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IA\POOL\www\docs\data\economics\hccis\docs\"/>
    </mc:Choice>
  </mc:AlternateContent>
  <xr:revisionPtr revIDLastSave="0" documentId="8_{E3F1907A-8789-4BD3-99E7-C84F25DC4F2E}" xr6:coauthVersionLast="47" xr6:coauthVersionMax="47" xr10:uidLastSave="{00000000-0000-0000-0000-000000000000}"/>
  <bookViews>
    <workbookView xWindow="2295" yWindow="2295" windowWidth="21600" windowHeight="11325" tabRatio="855" firstSheet="2" activeTab="2" xr2:uid="{00000000-000D-0000-FFFF-FFFF00000000}"/>
  </bookViews>
  <sheets>
    <sheet name="demog check" sheetId="9" state="hidden" r:id="rId1"/>
    <sheet name="load script" sheetId="6" state="hidden" r:id="rId2"/>
    <sheet name="Instructions" sheetId="4" r:id="rId3"/>
    <sheet name="CAP Data" sheetId="11" state="hidden" r:id="rId4"/>
    <sheet name="Capital Expend Detail" sheetId="1" r:id="rId5"/>
    <sheet name="Demog Contact (2)" sheetId="8" state="hidden" r:id="rId6"/>
    <sheet name="Capital Expend Project Specific" sheetId="7" r:id="rId7"/>
    <sheet name="Prior Cap Exp Report" sheetId="12" r:id="rId8"/>
    <sheet name="Definitions" sheetId="3" r:id="rId9"/>
    <sheet name="System_ID" sheetId="5" r:id="rId10"/>
    <sheet name="CapExpData" sheetId="10" state="hidden" r:id="rId11"/>
  </sheets>
  <definedNames>
    <definedName name="audit">#REF!</definedName>
    <definedName name="cap_exp_contact">'Capital Expend Detail'!$D$35</definedName>
    <definedName name="cap_exp_errors">'Capital Expend Detail'!$A$102</definedName>
    <definedName name="code_7594">'Capital Expend Detail'!$J$70</definedName>
    <definedName name="code_7595">'Capital Expend Detail'!$J$71</definedName>
    <definedName name="code_7596">'Capital Expend Detail'!$J$72</definedName>
    <definedName name="def_7594">Definitions!$A$11</definedName>
    <definedName name="def_cap_exp">Definitions!$B$11</definedName>
    <definedName name="def_date_of_spending_commitment">Definitions!$B$13</definedName>
    <definedName name="def_exceptions">Definitions!$B$21</definedName>
    <definedName name="def_NPI">Definitions!$B$9</definedName>
    <definedName name="ID_list">System_ID!$A$3:$CU$28</definedName>
    <definedName name="NPI">'Capital Expend Detail'!$I$6</definedName>
    <definedName name="_xlnm.Print_Area" localSheetId="10">CapExpData!$B$1:$J$42</definedName>
    <definedName name="_xlnm.Print_Area" localSheetId="4">'Capital Expend Detail'!$A$1:$O$99</definedName>
    <definedName name="_xlnm.Print_Area" localSheetId="6">'Capital Expend Project Specific'!$A$1:$Q$519</definedName>
    <definedName name="_xlnm.Print_Area" localSheetId="8">Definitions!$A$1:$C$21</definedName>
    <definedName name="_xlnm.Print_Area" localSheetId="0">'demog check'!$A$1:$K$57</definedName>
    <definedName name="_xlnm.Print_Area" localSheetId="2">Instructions!$A$1:$K$33</definedName>
    <definedName name="_xlnm.Print_Area" localSheetId="7">'Prior Cap Exp Report'!$A$1:$L$132</definedName>
    <definedName name="_xlnm.Print_Area" localSheetId="9">System_ID!$A$1:$C$29</definedName>
    <definedName name="_xlnm.Print_Titles" localSheetId="3">'CAP Data'!$D:$F,'CAP Data'!$1:$2</definedName>
    <definedName name="_xlnm.Print_Titles" localSheetId="8">Definitions!$1:$2</definedName>
    <definedName name="_xlnm.Print_Titles" localSheetId="9">System_ID!$A:$B,System_ID!$1:$1</definedName>
    <definedName name="start">'Capital Expend Detail'!$D$5</definedName>
    <definedName name="System_ID_list">System_ID!$A$1</definedName>
    <definedName name="ValidCapacity">CapExpData!$B$15:$B$16</definedName>
    <definedName name="ValidEvidence">CapExpData!$B$31:$B$32</definedName>
    <definedName name="ValidImpact">CapExpData!$B$27:$B$28</definedName>
    <definedName name="ValidPriorCap">CapExpData!$B$19:$B$22</definedName>
    <definedName name="ValidProjType">CapExpData!$E$5:$E$11</definedName>
    <definedName name="ValidRemote">CapExpData!$B$11:$B$12</definedName>
    <definedName name="ValidSubtype1">CapExpData!$G$5:$G$10</definedName>
    <definedName name="ValidSubtype2">CapExpData!$G$15:$G$41</definedName>
    <definedName name="ValidSubtype3">CapExpData!$I$5:$I$31</definedName>
    <definedName name="VCapacity">CapExpData!$B$15:$C$16</definedName>
    <definedName name="VEvidence">CapExpData!$B$31:$C$32</definedName>
    <definedName name="VImpact">CapExpData!$B$27:$C$28</definedName>
    <definedName name="VPriorCap">CapExpData!$B$19:$C$22</definedName>
    <definedName name="VProjType">CapExpData!$E$5:$F$9</definedName>
    <definedName name="VRemote">CapExpData!$B$11:$C$12</definedName>
    <definedName name="VSubtype1">CapExpData!$G$5:$H$10</definedName>
    <definedName name="VSubtype2">CapExpData!$G$15:$H$41</definedName>
    <definedName name="VSubtype3">CapExpData!$I$5:$J$31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3" i="11"/>
  <c r="J13" i="1" l="1"/>
  <c r="Q49" i="7" l="1"/>
  <c r="Q92" i="7" s="1"/>
  <c r="Q135" i="7" s="1"/>
  <c r="Q178" i="7" s="1"/>
  <c r="Q221" i="7" s="1"/>
  <c r="Q264" i="7" s="1"/>
  <c r="Q307" i="7" s="1"/>
  <c r="Q350" i="7" s="1"/>
  <c r="Q393" i="7" s="1"/>
  <c r="Q436" i="7" s="1"/>
  <c r="Q479" i="7" s="1"/>
  <c r="A6" i="12" l="1"/>
  <c r="A3" i="12"/>
  <c r="A2" i="12"/>
  <c r="O1" i="12"/>
  <c r="M9" i="12" s="1"/>
  <c r="W51" i="11"/>
  <c r="W53" i="11"/>
  <c r="W4" i="11"/>
  <c r="W5" i="11"/>
  <c r="W6" i="11"/>
  <c r="W7" i="11"/>
  <c r="W8" i="11"/>
  <c r="W27" i="11"/>
  <c r="W28" i="11"/>
  <c r="W29" i="11"/>
  <c r="W30" i="11"/>
  <c r="W31" i="11"/>
  <c r="W32" i="11"/>
  <c r="W33" i="11"/>
  <c r="W34" i="11"/>
  <c r="W35" i="11"/>
  <c r="W36" i="11"/>
  <c r="W37" i="11"/>
  <c r="W38" i="11"/>
  <c r="W39" i="11"/>
  <c r="W9" i="11"/>
  <c r="W10" i="11"/>
  <c r="W11" i="11"/>
  <c r="W12" i="11"/>
  <c r="W13" i="11"/>
  <c r="W40" i="11"/>
  <c r="W52" i="11"/>
  <c r="W41" i="11"/>
  <c r="W42" i="11"/>
  <c r="W43" i="11"/>
  <c r="W44" i="11"/>
  <c r="W14" i="11"/>
  <c r="W15" i="11"/>
  <c r="W16" i="11"/>
  <c r="W17" i="11"/>
  <c r="W18" i="11"/>
  <c r="W19" i="11"/>
  <c r="W20" i="11"/>
  <c r="W21" i="11"/>
  <c r="W22" i="11"/>
  <c r="W23" i="11"/>
  <c r="W24" i="11"/>
  <c r="W45" i="11"/>
  <c r="W25" i="11"/>
  <c r="W26" i="11"/>
  <c r="W46" i="11"/>
  <c r="W47" i="11"/>
  <c r="W48" i="11"/>
  <c r="W49" i="11"/>
  <c r="W50" i="11"/>
  <c r="W3" i="11"/>
  <c r="M117" i="12" l="1"/>
  <c r="J119" i="12" s="1"/>
  <c r="C120" i="12" l="1"/>
  <c r="K116" i="12"/>
  <c r="C119" i="12"/>
  <c r="F118" i="12"/>
  <c r="C117" i="12"/>
  <c r="F119" i="12"/>
  <c r="C118" i="12"/>
  <c r="M99" i="12"/>
  <c r="M75" i="12"/>
  <c r="M33" i="12"/>
  <c r="M27" i="12"/>
  <c r="M51" i="12"/>
  <c r="M123" i="12"/>
  <c r="M15" i="12"/>
  <c r="M39" i="12"/>
  <c r="M63" i="12"/>
  <c r="M87" i="12"/>
  <c r="M111" i="12"/>
  <c r="M57" i="12"/>
  <c r="M81" i="12"/>
  <c r="M105" i="12"/>
  <c r="M129" i="12"/>
  <c r="M21" i="12"/>
  <c r="M45" i="12"/>
  <c r="M69" i="12"/>
  <c r="M93" i="12"/>
  <c r="I6" i="1"/>
  <c r="A1" i="5"/>
  <c r="D9" i="1"/>
  <c r="C9" i="9" s="1"/>
  <c r="A1" i="3"/>
  <c r="H13" i="8"/>
  <c r="A2" i="8"/>
  <c r="K1" i="9"/>
  <c r="E1" i="9"/>
  <c r="H1" i="9"/>
  <c r="AN26" i="7"/>
  <c r="AM26" i="7"/>
  <c r="AL26" i="7"/>
  <c r="AK26" i="7"/>
  <c r="AJ26" i="7"/>
  <c r="AI26" i="7"/>
  <c r="AN25" i="7"/>
  <c r="AM25" i="7"/>
  <c r="AL25" i="7"/>
  <c r="AK25" i="7"/>
  <c r="AJ25" i="7"/>
  <c r="AI25" i="7"/>
  <c r="AN24" i="7"/>
  <c r="AM24" i="7"/>
  <c r="AL24" i="7"/>
  <c r="AK24" i="7"/>
  <c r="AJ24" i="7"/>
  <c r="AI24" i="7"/>
  <c r="AN23" i="7"/>
  <c r="AM23" i="7"/>
  <c r="AL23" i="7"/>
  <c r="AK23" i="7"/>
  <c r="AJ23" i="7"/>
  <c r="AI23" i="7"/>
  <c r="AN22" i="7"/>
  <c r="AM22" i="7"/>
  <c r="AL22" i="7"/>
  <c r="AK22" i="7"/>
  <c r="AJ22" i="7"/>
  <c r="AI22" i="7"/>
  <c r="AN21" i="7"/>
  <c r="AM21" i="7"/>
  <c r="AL21" i="7"/>
  <c r="AK21" i="7"/>
  <c r="AJ21" i="7"/>
  <c r="AI21" i="7"/>
  <c r="AN20" i="7"/>
  <c r="AM20" i="7"/>
  <c r="AL20" i="7"/>
  <c r="AK20" i="7"/>
  <c r="AJ20" i="7"/>
  <c r="AI20" i="7"/>
  <c r="AN19" i="7"/>
  <c r="AM19" i="7"/>
  <c r="AL19" i="7"/>
  <c r="AK19" i="7"/>
  <c r="AJ19" i="7"/>
  <c r="AI19" i="7"/>
  <c r="AN18" i="7"/>
  <c r="AM18" i="7"/>
  <c r="AL18" i="7"/>
  <c r="AK18" i="7"/>
  <c r="AJ18" i="7"/>
  <c r="AI18" i="7"/>
  <c r="AN17" i="7"/>
  <c r="AM17" i="7"/>
  <c r="AL17" i="7"/>
  <c r="AK17" i="7"/>
  <c r="AJ17" i="7"/>
  <c r="AI17" i="7"/>
  <c r="AN16" i="7"/>
  <c r="AM16" i="7"/>
  <c r="AL16" i="7"/>
  <c r="AK16" i="7"/>
  <c r="AJ16" i="7"/>
  <c r="AI16" i="7"/>
  <c r="AN15" i="7"/>
  <c r="AM15" i="7"/>
  <c r="AL15" i="7"/>
  <c r="AK15" i="7"/>
  <c r="AJ15" i="7"/>
  <c r="AI15" i="7"/>
  <c r="AE13" i="7"/>
  <c r="AE26" i="7" s="1"/>
  <c r="AE12" i="7"/>
  <c r="AE25" i="7" s="1"/>
  <c r="AE11" i="7"/>
  <c r="AE24" i="7" s="1"/>
  <c r="AE10" i="7"/>
  <c r="AE23" i="7" s="1"/>
  <c r="AE9" i="7"/>
  <c r="AE22" i="7" s="1"/>
  <c r="AE8" i="7"/>
  <c r="AE21" i="7" s="1"/>
  <c r="AE7" i="7"/>
  <c r="AE20" i="7" s="1"/>
  <c r="AE6" i="7"/>
  <c r="AE19" i="7" s="1"/>
  <c r="AE5" i="7"/>
  <c r="AE18" i="7" s="1"/>
  <c r="AE4" i="7"/>
  <c r="AE17" i="7" s="1"/>
  <c r="S518" i="7"/>
  <c r="AP13" i="7" s="1"/>
  <c r="S514" i="7"/>
  <c r="AT13" i="7" s="1"/>
  <c r="S511" i="7"/>
  <c r="AS13" i="7" s="1"/>
  <c r="S508" i="7"/>
  <c r="AN13" i="7" s="1"/>
  <c r="S507" i="7"/>
  <c r="BC110" i="7" s="1"/>
  <c r="S506" i="7"/>
  <c r="BC109" i="7"/>
  <c r="BA109" i="7" s="1"/>
  <c r="S503" i="7"/>
  <c r="AO13" i="7" s="1"/>
  <c r="S499" i="7"/>
  <c r="AR13" i="7"/>
  <c r="S498" i="7"/>
  <c r="BC108" i="7" s="1"/>
  <c r="BB108" i="7" s="1"/>
  <c r="S497" i="7"/>
  <c r="BC107" i="7" s="1"/>
  <c r="S496" i="7"/>
  <c r="BC106" i="7" s="1"/>
  <c r="V494" i="7"/>
  <c r="BC105" i="7" s="1"/>
  <c r="U494" i="7"/>
  <c r="BC104" i="7"/>
  <c r="BA104" i="7" s="1"/>
  <c r="T494" i="7"/>
  <c r="BC103" i="7" s="1"/>
  <c r="BB103" i="7" s="1"/>
  <c r="S494" i="7"/>
  <c r="BC102" i="7" s="1"/>
  <c r="S491" i="7"/>
  <c r="AX13" i="7" s="1"/>
  <c r="R491" i="7"/>
  <c r="S490" i="7"/>
  <c r="AW13" i="7" s="1"/>
  <c r="R490" i="7"/>
  <c r="S489" i="7"/>
  <c r="AV13" i="7" s="1"/>
  <c r="R489" i="7"/>
  <c r="S488" i="7"/>
  <c r="AU13" i="7"/>
  <c r="R488" i="7"/>
  <c r="S487" i="7"/>
  <c r="AM13" i="7" s="1"/>
  <c r="S486" i="7"/>
  <c r="AL13" i="7" s="1"/>
  <c r="S485" i="7"/>
  <c r="AK13" i="7" s="1"/>
  <c r="M485" i="7"/>
  <c r="S484" i="7"/>
  <c r="AJ13" i="7" s="1"/>
  <c r="M484" i="7"/>
  <c r="S483" i="7"/>
  <c r="AI13" i="7" s="1"/>
  <c r="M483" i="7"/>
  <c r="S482" i="7"/>
  <c r="AG13" i="7" s="1"/>
  <c r="M482" i="7"/>
  <c r="S481" i="7"/>
  <c r="AF13" i="7" s="1"/>
  <c r="M481" i="7"/>
  <c r="S480" i="7"/>
  <c r="AQ13" i="7" s="1"/>
  <c r="S475" i="7"/>
  <c r="AP12" i="7" s="1"/>
  <c r="S471" i="7"/>
  <c r="AT12" i="7" s="1"/>
  <c r="S468" i="7"/>
  <c r="AS12" i="7" s="1"/>
  <c r="S465" i="7"/>
  <c r="AN12" i="7" s="1"/>
  <c r="S464" i="7"/>
  <c r="BC101" i="7"/>
  <c r="BA101" i="7" s="1"/>
  <c r="S463" i="7"/>
  <c r="BC100" i="7" s="1"/>
  <c r="S460" i="7"/>
  <c r="AO12" i="7" s="1"/>
  <c r="S456" i="7"/>
  <c r="AR12" i="7" s="1"/>
  <c r="S455" i="7"/>
  <c r="BC99" i="7" s="1"/>
  <c r="S454" i="7"/>
  <c r="BC98" i="7" s="1"/>
  <c r="BB98" i="7" s="1"/>
  <c r="S453" i="7"/>
  <c r="BC97" i="7" s="1"/>
  <c r="BB97" i="7" s="1"/>
  <c r="V451" i="7"/>
  <c r="BC96" i="7" s="1"/>
  <c r="U451" i="7"/>
  <c r="BC95" i="7" s="1"/>
  <c r="T451" i="7"/>
  <c r="BC94" i="7" s="1"/>
  <c r="S451" i="7"/>
  <c r="BC93" i="7"/>
  <c r="BB93" i="7" s="1"/>
  <c r="S448" i="7"/>
  <c r="AX12" i="7"/>
  <c r="R448" i="7"/>
  <c r="S447" i="7"/>
  <c r="AW12" i="7" s="1"/>
  <c r="R447" i="7"/>
  <c r="S446" i="7"/>
  <c r="AV12" i="7" s="1"/>
  <c r="R446" i="7"/>
  <c r="S445" i="7"/>
  <c r="AU12" i="7"/>
  <c r="R445" i="7"/>
  <c r="S444" i="7"/>
  <c r="AM12" i="7"/>
  <c r="S443" i="7"/>
  <c r="AL12" i="7" s="1"/>
  <c r="S442" i="7"/>
  <c r="AK12" i="7" s="1"/>
  <c r="M442" i="7"/>
  <c r="S441" i="7"/>
  <c r="AJ12" i="7" s="1"/>
  <c r="M441" i="7"/>
  <c r="S440" i="7"/>
  <c r="AI12" i="7"/>
  <c r="M440" i="7"/>
  <c r="S439" i="7"/>
  <c r="AG12" i="7" s="1"/>
  <c r="M439" i="7"/>
  <c r="S438" i="7"/>
  <c r="AF12" i="7"/>
  <c r="M438" i="7"/>
  <c r="S437" i="7"/>
  <c r="AQ12" i="7" s="1"/>
  <c r="S432" i="7"/>
  <c r="AP11" i="7" s="1"/>
  <c r="S428" i="7"/>
  <c r="AT11" i="7" s="1"/>
  <c r="S425" i="7"/>
  <c r="AS11" i="7" s="1"/>
  <c r="S422" i="7"/>
  <c r="AN11" i="7" s="1"/>
  <c r="S421" i="7"/>
  <c r="BC92" i="7" s="1"/>
  <c r="S420" i="7"/>
  <c r="BC91" i="7" s="1"/>
  <c r="BB91" i="7" s="1"/>
  <c r="S417" i="7"/>
  <c r="AO11" i="7"/>
  <c r="S413" i="7"/>
  <c r="AR11" i="7"/>
  <c r="S412" i="7"/>
  <c r="BC90" i="7" s="1"/>
  <c r="S411" i="7"/>
  <c r="BC89" i="7" s="1"/>
  <c r="BB89" i="7" s="1"/>
  <c r="S410" i="7"/>
  <c r="BC88" i="7" s="1"/>
  <c r="BA88" i="7"/>
  <c r="V408" i="7"/>
  <c r="BC87" i="7"/>
  <c r="BA87" i="7" s="1"/>
  <c r="U408" i="7"/>
  <c r="BC86" i="7" s="1"/>
  <c r="T408" i="7"/>
  <c r="BC85" i="7" s="1"/>
  <c r="S408" i="7"/>
  <c r="BC84" i="7"/>
  <c r="BA84" i="7" s="1"/>
  <c r="S405" i="7"/>
  <c r="AX11" i="7" s="1"/>
  <c r="R405" i="7"/>
  <c r="S404" i="7"/>
  <c r="AW11" i="7" s="1"/>
  <c r="R404" i="7"/>
  <c r="S403" i="7"/>
  <c r="AV11" i="7"/>
  <c r="R403" i="7"/>
  <c r="S402" i="7"/>
  <c r="AU11" i="7" s="1"/>
  <c r="R402" i="7"/>
  <c r="S401" i="7"/>
  <c r="AM11" i="7"/>
  <c r="S400" i="7"/>
  <c r="AL11" i="7" s="1"/>
  <c r="S399" i="7"/>
  <c r="AK11" i="7" s="1"/>
  <c r="M399" i="7"/>
  <c r="S398" i="7"/>
  <c r="AJ11" i="7" s="1"/>
  <c r="M398" i="7"/>
  <c r="S397" i="7"/>
  <c r="AI11" i="7" s="1"/>
  <c r="M397" i="7"/>
  <c r="S396" i="7"/>
  <c r="AG11" i="7"/>
  <c r="M396" i="7"/>
  <c r="S395" i="7"/>
  <c r="AF11" i="7" s="1"/>
  <c r="M395" i="7"/>
  <c r="S394" i="7"/>
  <c r="AQ11" i="7" s="1"/>
  <c r="S389" i="7"/>
  <c r="AP10" i="7" s="1"/>
  <c r="S385" i="7"/>
  <c r="AT10" i="7" s="1"/>
  <c r="S382" i="7"/>
  <c r="AS10" i="7"/>
  <c r="S379" i="7"/>
  <c r="AN10" i="7" s="1"/>
  <c r="S378" i="7"/>
  <c r="BC83" i="7" s="1"/>
  <c r="S377" i="7"/>
  <c r="BC82" i="7" s="1"/>
  <c r="S374" i="7"/>
  <c r="AO10" i="7" s="1"/>
  <c r="S370" i="7"/>
  <c r="AR10" i="7" s="1"/>
  <c r="S369" i="7"/>
  <c r="BC81" i="7" s="1"/>
  <c r="BA81" i="7" s="1"/>
  <c r="S368" i="7"/>
  <c r="BC80" i="7" s="1"/>
  <c r="S367" i="7"/>
  <c r="BC79" i="7" s="1"/>
  <c r="BA79" i="7" s="1"/>
  <c r="V365" i="7"/>
  <c r="BC78" i="7" s="1"/>
  <c r="U365" i="7"/>
  <c r="BC77" i="7" s="1"/>
  <c r="BA77" i="7" s="1"/>
  <c r="T365" i="7"/>
  <c r="BC76" i="7" s="1"/>
  <c r="BB76" i="7" s="1"/>
  <c r="S365" i="7"/>
  <c r="BC75" i="7" s="1"/>
  <c r="BB75" i="7" s="1"/>
  <c r="S362" i="7"/>
  <c r="AX10" i="7" s="1"/>
  <c r="R362" i="7"/>
  <c r="S361" i="7"/>
  <c r="AW10" i="7" s="1"/>
  <c r="R361" i="7"/>
  <c r="S360" i="7"/>
  <c r="AV10" i="7" s="1"/>
  <c r="R360" i="7"/>
  <c r="S359" i="7"/>
  <c r="AU10" i="7" s="1"/>
  <c r="R359" i="7"/>
  <c r="S358" i="7"/>
  <c r="AM10" i="7" s="1"/>
  <c r="S357" i="7"/>
  <c r="AL10" i="7" s="1"/>
  <c r="S356" i="7"/>
  <c r="AK10" i="7" s="1"/>
  <c r="M356" i="7"/>
  <c r="S355" i="7"/>
  <c r="AJ10" i="7" s="1"/>
  <c r="M355" i="7"/>
  <c r="S354" i="7"/>
  <c r="AI10" i="7" s="1"/>
  <c r="M354" i="7"/>
  <c r="S353" i="7"/>
  <c r="AG10" i="7" s="1"/>
  <c r="M353" i="7"/>
  <c r="S352" i="7"/>
  <c r="AF10" i="7" s="1"/>
  <c r="M352" i="7"/>
  <c r="S351" i="7"/>
  <c r="AQ10" i="7" s="1"/>
  <c r="S346" i="7"/>
  <c r="AP9" i="7" s="1"/>
  <c r="S342" i="7"/>
  <c r="AT9" i="7" s="1"/>
  <c r="S339" i="7"/>
  <c r="AS9" i="7" s="1"/>
  <c r="S336" i="7"/>
  <c r="AN9" i="7" s="1"/>
  <c r="S335" i="7"/>
  <c r="BC74" i="7" s="1"/>
  <c r="BB74" i="7" s="1"/>
  <c r="S334" i="7"/>
  <c r="BC73" i="7" s="1"/>
  <c r="S331" i="7"/>
  <c r="AO9" i="7" s="1"/>
  <c r="S327" i="7"/>
  <c r="AR9" i="7" s="1"/>
  <c r="S326" i="7"/>
  <c r="BC72" i="7" s="1"/>
  <c r="S325" i="7"/>
  <c r="BC71" i="7"/>
  <c r="BB71" i="7" s="1"/>
  <c r="S324" i="7"/>
  <c r="BC70" i="7" s="1"/>
  <c r="V322" i="7"/>
  <c r="BC69" i="7" s="1"/>
  <c r="BA69" i="7" s="1"/>
  <c r="U322" i="7"/>
  <c r="BC68" i="7" s="1"/>
  <c r="T322" i="7"/>
  <c r="BC67" i="7" s="1"/>
  <c r="BA67" i="7" s="1"/>
  <c r="S322" i="7"/>
  <c r="BC66" i="7" s="1"/>
  <c r="S319" i="7"/>
  <c r="AX9" i="7"/>
  <c r="R319" i="7"/>
  <c r="S318" i="7"/>
  <c r="AW9" i="7" s="1"/>
  <c r="R318" i="7"/>
  <c r="S317" i="7"/>
  <c r="AV9" i="7" s="1"/>
  <c r="R317" i="7"/>
  <c r="S316" i="7"/>
  <c r="AU9" i="7" s="1"/>
  <c r="R316" i="7"/>
  <c r="S315" i="7"/>
  <c r="AM9" i="7" s="1"/>
  <c r="S314" i="7"/>
  <c r="AL9" i="7" s="1"/>
  <c r="S313" i="7"/>
  <c r="AK9" i="7" s="1"/>
  <c r="M313" i="7"/>
  <c r="S312" i="7"/>
  <c r="AJ9" i="7" s="1"/>
  <c r="M312" i="7"/>
  <c r="S311" i="7"/>
  <c r="AI9" i="7" s="1"/>
  <c r="M311" i="7"/>
  <c r="S310" i="7"/>
  <c r="AG9" i="7" s="1"/>
  <c r="M310" i="7"/>
  <c r="S309" i="7"/>
  <c r="AF9" i="7" s="1"/>
  <c r="M309" i="7"/>
  <c r="S308" i="7"/>
  <c r="AQ9" i="7" s="1"/>
  <c r="S303" i="7"/>
  <c r="AP8" i="7"/>
  <c r="S299" i="7"/>
  <c r="AT8" i="7" s="1"/>
  <c r="S296" i="7"/>
  <c r="AS8" i="7"/>
  <c r="S293" i="7"/>
  <c r="AN8" i="7" s="1"/>
  <c r="S292" i="7"/>
  <c r="BC65" i="7" s="1"/>
  <c r="BB65" i="7" s="1"/>
  <c r="S291" i="7"/>
  <c r="BC64" i="7" s="1"/>
  <c r="S288" i="7"/>
  <c r="AO8" i="7" s="1"/>
  <c r="S284" i="7"/>
  <c r="AR8" i="7" s="1"/>
  <c r="S283" i="7"/>
  <c r="BC63" i="7" s="1"/>
  <c r="BB63" i="7" s="1"/>
  <c r="S282" i="7"/>
  <c r="BC62" i="7" s="1"/>
  <c r="BB62" i="7" s="1"/>
  <c r="S281" i="7"/>
  <c r="BC61" i="7"/>
  <c r="BB61" i="7" s="1"/>
  <c r="V279" i="7"/>
  <c r="BC60" i="7" s="1"/>
  <c r="BA60" i="7" s="1"/>
  <c r="U279" i="7"/>
  <c r="BC59" i="7"/>
  <c r="BA59" i="7" s="1"/>
  <c r="T279" i="7"/>
  <c r="BC58" i="7" s="1"/>
  <c r="S279" i="7"/>
  <c r="BC57" i="7" s="1"/>
  <c r="BB57" i="7" s="1"/>
  <c r="S276" i="7"/>
  <c r="AX8" i="7" s="1"/>
  <c r="R276" i="7"/>
  <c r="S275" i="7"/>
  <c r="AW8" i="7"/>
  <c r="R275" i="7"/>
  <c r="S274" i="7"/>
  <c r="AV8" i="7"/>
  <c r="R274" i="7"/>
  <c r="S273" i="7"/>
  <c r="AU8" i="7" s="1"/>
  <c r="R273" i="7"/>
  <c r="S272" i="7"/>
  <c r="AM8" i="7"/>
  <c r="S271" i="7"/>
  <c r="AL8" i="7" s="1"/>
  <c r="S270" i="7"/>
  <c r="AK8" i="7" s="1"/>
  <c r="M270" i="7"/>
  <c r="S269" i="7"/>
  <c r="AJ8" i="7" s="1"/>
  <c r="M269" i="7"/>
  <c r="S268" i="7"/>
  <c r="AI8" i="7" s="1"/>
  <c r="M268" i="7"/>
  <c r="S267" i="7"/>
  <c r="AG8" i="7" s="1"/>
  <c r="M267" i="7"/>
  <c r="S266" i="7"/>
  <c r="AF8" i="7" s="1"/>
  <c r="M266" i="7"/>
  <c r="S265" i="7"/>
  <c r="AQ8" i="7" s="1"/>
  <c r="S260" i="7"/>
  <c r="AP7" i="7" s="1"/>
  <c r="S256" i="7"/>
  <c r="AT7" i="7" s="1"/>
  <c r="S253" i="7"/>
  <c r="AS7" i="7" s="1"/>
  <c r="S250" i="7"/>
  <c r="AN7" i="7" s="1"/>
  <c r="S249" i="7"/>
  <c r="BC56" i="7" s="1"/>
  <c r="BA56" i="7" s="1"/>
  <c r="S248" i="7"/>
  <c r="BC55" i="7"/>
  <c r="BB55" i="7" s="1"/>
  <c r="S245" i="7"/>
  <c r="AO7" i="7" s="1"/>
  <c r="S241" i="7"/>
  <c r="AR7" i="7" s="1"/>
  <c r="S240" i="7"/>
  <c r="BC54" i="7" s="1"/>
  <c r="S239" i="7"/>
  <c r="BC53" i="7" s="1"/>
  <c r="BB53" i="7" s="1"/>
  <c r="S238" i="7"/>
  <c r="BC52" i="7" s="1"/>
  <c r="V236" i="7"/>
  <c r="BC51" i="7"/>
  <c r="BA51" i="7" s="1"/>
  <c r="U236" i="7"/>
  <c r="BC50" i="7" s="1"/>
  <c r="T236" i="7"/>
  <c r="BC49" i="7" s="1"/>
  <c r="BA49" i="7" s="1"/>
  <c r="S236" i="7"/>
  <c r="BC48" i="7" s="1"/>
  <c r="BA48" i="7" s="1"/>
  <c r="S233" i="7"/>
  <c r="AX7" i="7" s="1"/>
  <c r="R233" i="7"/>
  <c r="S232" i="7"/>
  <c r="AW7" i="7" s="1"/>
  <c r="R232" i="7"/>
  <c r="S231" i="7"/>
  <c r="AV7" i="7" s="1"/>
  <c r="R231" i="7"/>
  <c r="S230" i="7"/>
  <c r="AU7" i="7" s="1"/>
  <c r="R230" i="7"/>
  <c r="S229" i="7"/>
  <c r="AM7" i="7" s="1"/>
  <c r="S228" i="7"/>
  <c r="AL7" i="7"/>
  <c r="S227" i="7"/>
  <c r="AK7" i="7" s="1"/>
  <c r="M227" i="7"/>
  <c r="S226" i="7"/>
  <c r="AJ7" i="7" s="1"/>
  <c r="M226" i="7"/>
  <c r="S225" i="7"/>
  <c r="AI7" i="7" s="1"/>
  <c r="M225" i="7"/>
  <c r="S224" i="7"/>
  <c r="AG7" i="7" s="1"/>
  <c r="M224" i="7"/>
  <c r="S223" i="7"/>
  <c r="AF7" i="7"/>
  <c r="M223" i="7"/>
  <c r="S222" i="7"/>
  <c r="AQ7" i="7" s="1"/>
  <c r="S217" i="7"/>
  <c r="AP6" i="7" s="1"/>
  <c r="S213" i="7"/>
  <c r="AT6" i="7" s="1"/>
  <c r="S210" i="7"/>
  <c r="AS6" i="7" s="1"/>
  <c r="S207" i="7"/>
  <c r="AN6" i="7"/>
  <c r="S206" i="7"/>
  <c r="BC47" i="7" s="1"/>
  <c r="S205" i="7"/>
  <c r="BC46" i="7" s="1"/>
  <c r="S202" i="7"/>
  <c r="AO6" i="7" s="1"/>
  <c r="S198" i="7"/>
  <c r="AR6" i="7"/>
  <c r="S197" i="7"/>
  <c r="BC45" i="7"/>
  <c r="BB45" i="7" s="1"/>
  <c r="S196" i="7"/>
  <c r="BC44" i="7" s="1"/>
  <c r="S195" i="7"/>
  <c r="BC43" i="7" s="1"/>
  <c r="V193" i="7"/>
  <c r="BC42" i="7"/>
  <c r="BB42" i="7" s="1"/>
  <c r="U193" i="7"/>
  <c r="BC41" i="7" s="1"/>
  <c r="T193" i="7"/>
  <c r="BC40" i="7" s="1"/>
  <c r="S193" i="7"/>
  <c r="BC39" i="7" s="1"/>
  <c r="BA39" i="7" s="1"/>
  <c r="S190" i="7"/>
  <c r="AX6" i="7" s="1"/>
  <c r="R190" i="7"/>
  <c r="S189" i="7"/>
  <c r="AW6" i="7" s="1"/>
  <c r="R189" i="7"/>
  <c r="S188" i="7"/>
  <c r="AV6" i="7" s="1"/>
  <c r="R188" i="7"/>
  <c r="S187" i="7"/>
  <c r="AU6" i="7" s="1"/>
  <c r="R187" i="7"/>
  <c r="S186" i="7"/>
  <c r="AM6" i="7" s="1"/>
  <c r="S185" i="7"/>
  <c r="AL6" i="7" s="1"/>
  <c r="S184" i="7"/>
  <c r="AK6" i="7" s="1"/>
  <c r="M184" i="7"/>
  <c r="S183" i="7"/>
  <c r="AJ6" i="7" s="1"/>
  <c r="M183" i="7"/>
  <c r="S182" i="7"/>
  <c r="AI6" i="7" s="1"/>
  <c r="M182" i="7"/>
  <c r="S181" i="7"/>
  <c r="AG6" i="7"/>
  <c r="M181" i="7"/>
  <c r="S180" i="7"/>
  <c r="AF6" i="7"/>
  <c r="M180" i="7"/>
  <c r="S179" i="7"/>
  <c r="AQ6" i="7"/>
  <c r="S174" i="7"/>
  <c r="AP5" i="7"/>
  <c r="S170" i="7"/>
  <c r="AT5" i="7" s="1"/>
  <c r="S167" i="7"/>
  <c r="AS5" i="7" s="1"/>
  <c r="S164" i="7"/>
  <c r="AN5" i="7"/>
  <c r="S163" i="7"/>
  <c r="BC38" i="7"/>
  <c r="BB38" i="7" s="1"/>
  <c r="S162" i="7"/>
  <c r="BC37" i="7" s="1"/>
  <c r="S159" i="7"/>
  <c r="AO5" i="7" s="1"/>
  <c r="S155" i="7"/>
  <c r="AR5" i="7"/>
  <c r="S154" i="7"/>
  <c r="BC36" i="7"/>
  <c r="BB36" i="7" s="1"/>
  <c r="S153" i="7"/>
  <c r="BC35" i="7" s="1"/>
  <c r="BB35" i="7" s="1"/>
  <c r="S152" i="7"/>
  <c r="BC34" i="7" s="1"/>
  <c r="BB34" i="7" s="1"/>
  <c r="V150" i="7"/>
  <c r="BC33" i="7" s="1"/>
  <c r="U150" i="7"/>
  <c r="BC32" i="7" s="1"/>
  <c r="BA32" i="7"/>
  <c r="T150" i="7"/>
  <c r="BC31" i="7"/>
  <c r="BA31" i="7" s="1"/>
  <c r="S150" i="7"/>
  <c r="BC30" i="7" s="1"/>
  <c r="S147" i="7"/>
  <c r="AX5" i="7" s="1"/>
  <c r="R147" i="7"/>
  <c r="S146" i="7"/>
  <c r="AW5" i="7"/>
  <c r="R146" i="7"/>
  <c r="S145" i="7"/>
  <c r="AV5" i="7" s="1"/>
  <c r="R145" i="7"/>
  <c r="S144" i="7"/>
  <c r="AU5" i="7"/>
  <c r="R144" i="7"/>
  <c r="S143" i="7"/>
  <c r="AM5" i="7" s="1"/>
  <c r="S142" i="7"/>
  <c r="AL5" i="7" s="1"/>
  <c r="S141" i="7"/>
  <c r="AK5" i="7" s="1"/>
  <c r="M141" i="7"/>
  <c r="S140" i="7"/>
  <c r="AJ5" i="7" s="1"/>
  <c r="M140" i="7"/>
  <c r="S139" i="7"/>
  <c r="AI5" i="7" s="1"/>
  <c r="M139" i="7"/>
  <c r="S138" i="7"/>
  <c r="AG5" i="7" s="1"/>
  <c r="M138" i="7"/>
  <c r="S137" i="7"/>
  <c r="AF5" i="7" s="1"/>
  <c r="M137" i="7"/>
  <c r="S136" i="7"/>
  <c r="AQ5" i="7" s="1"/>
  <c r="S131" i="7"/>
  <c r="AP4" i="7"/>
  <c r="S127" i="7"/>
  <c r="AT4" i="7"/>
  <c r="S124" i="7"/>
  <c r="AS4" i="7" s="1"/>
  <c r="S121" i="7"/>
  <c r="AN4" i="7" s="1"/>
  <c r="S120" i="7"/>
  <c r="BC29" i="7"/>
  <c r="BA29" i="7" s="1"/>
  <c r="S119" i="7"/>
  <c r="BC28" i="7" s="1"/>
  <c r="BA28" i="7" s="1"/>
  <c r="S116" i="7"/>
  <c r="AO4" i="7" s="1"/>
  <c r="S112" i="7"/>
  <c r="AR4" i="7" s="1"/>
  <c r="S111" i="7"/>
  <c r="BC27" i="7" s="1"/>
  <c r="S110" i="7"/>
  <c r="BC26" i="7" s="1"/>
  <c r="S109" i="7"/>
  <c r="BC25" i="7" s="1"/>
  <c r="V107" i="7"/>
  <c r="BC24" i="7" s="1"/>
  <c r="U107" i="7"/>
  <c r="BC23" i="7" s="1"/>
  <c r="T107" i="7"/>
  <c r="BC22" i="7" s="1"/>
  <c r="S107" i="7"/>
  <c r="BC21" i="7" s="1"/>
  <c r="BB21" i="7" s="1"/>
  <c r="S104" i="7"/>
  <c r="AX4" i="7" s="1"/>
  <c r="R104" i="7"/>
  <c r="S103" i="7"/>
  <c r="AW4" i="7"/>
  <c r="R103" i="7"/>
  <c r="S102" i="7"/>
  <c r="AV4" i="7" s="1"/>
  <c r="R102" i="7"/>
  <c r="S101" i="7"/>
  <c r="AU4" i="7" s="1"/>
  <c r="R101" i="7"/>
  <c r="S100" i="7"/>
  <c r="AM4" i="7"/>
  <c r="S99" i="7"/>
  <c r="AL4" i="7" s="1"/>
  <c r="S98" i="7"/>
  <c r="AK4" i="7" s="1"/>
  <c r="M98" i="7"/>
  <c r="S97" i="7"/>
  <c r="AJ4" i="7" s="1"/>
  <c r="M97" i="7"/>
  <c r="S96" i="7"/>
  <c r="AI4" i="7" s="1"/>
  <c r="M96" i="7"/>
  <c r="S95" i="7"/>
  <c r="AG4" i="7" s="1"/>
  <c r="M95" i="7"/>
  <c r="S94" i="7"/>
  <c r="AF4" i="7" s="1"/>
  <c r="M94" i="7"/>
  <c r="S93" i="7"/>
  <c r="AQ4" i="7" s="1"/>
  <c r="S88" i="7"/>
  <c r="AP3" i="7" s="1"/>
  <c r="S84" i="7"/>
  <c r="AT3" i="7"/>
  <c r="S81" i="7"/>
  <c r="AS3" i="7" s="1"/>
  <c r="S78" i="7"/>
  <c r="AN3" i="7" s="1"/>
  <c r="S77" i="7"/>
  <c r="BC20" i="7" s="1"/>
  <c r="S76" i="7"/>
  <c r="BC19" i="7"/>
  <c r="BB19" i="7" s="1"/>
  <c r="S73" i="7"/>
  <c r="AO3" i="7" s="1"/>
  <c r="S69" i="7"/>
  <c r="AR3" i="7" s="1"/>
  <c r="S68" i="7"/>
  <c r="BC18" i="7"/>
  <c r="BB18" i="7" s="1"/>
  <c r="S67" i="7"/>
  <c r="BC17" i="7" s="1"/>
  <c r="BA17" i="7" s="1"/>
  <c r="S66" i="7"/>
  <c r="BC16" i="7"/>
  <c r="BB16" i="7" s="1"/>
  <c r="V64" i="7"/>
  <c r="BC15" i="7" s="1"/>
  <c r="BB15" i="7" s="1"/>
  <c r="U64" i="7"/>
  <c r="BC14" i="7" s="1"/>
  <c r="T64" i="7"/>
  <c r="BC13" i="7" s="1"/>
  <c r="S64" i="7"/>
  <c r="BC12" i="7" s="1"/>
  <c r="S61" i="7"/>
  <c r="AX3" i="7" s="1"/>
  <c r="S60" i="7"/>
  <c r="AW3" i="7" s="1"/>
  <c r="S59" i="7"/>
  <c r="AV3" i="7" s="1"/>
  <c r="S58" i="7"/>
  <c r="AU3" i="7" s="1"/>
  <c r="S57" i="7"/>
  <c r="AM3" i="7"/>
  <c r="S56" i="7"/>
  <c r="AL3" i="7" s="1"/>
  <c r="S55" i="7"/>
  <c r="AK3" i="7" s="1"/>
  <c r="S54" i="7"/>
  <c r="AJ3" i="7" s="1"/>
  <c r="S53" i="7"/>
  <c r="AI3" i="7" s="1"/>
  <c r="S52" i="7"/>
  <c r="AG3" i="7" s="1"/>
  <c r="S51" i="7"/>
  <c r="AF3" i="7" s="1"/>
  <c r="S50" i="7"/>
  <c r="AQ3" i="7" s="1"/>
  <c r="M55" i="7"/>
  <c r="M54" i="7"/>
  <c r="M53" i="7"/>
  <c r="M52" i="7"/>
  <c r="M51" i="7"/>
  <c r="M12" i="7"/>
  <c r="M11" i="7"/>
  <c r="M10" i="7"/>
  <c r="M9" i="7"/>
  <c r="M8" i="7"/>
  <c r="N2" i="7"/>
  <c r="AE3" i="7"/>
  <c r="AE16" i="7" s="1"/>
  <c r="R61" i="7"/>
  <c r="R60" i="7"/>
  <c r="R59" i="7"/>
  <c r="R58" i="7"/>
  <c r="AE2" i="7"/>
  <c r="AE15" i="7" s="1"/>
  <c r="R16" i="7"/>
  <c r="R17" i="7"/>
  <c r="R18" i="7"/>
  <c r="R15" i="7"/>
  <c r="S41" i="7"/>
  <c r="AT2" i="7"/>
  <c r="S14" i="7"/>
  <c r="AM2" i="7" s="1"/>
  <c r="S13" i="7"/>
  <c r="AL2" i="7" s="1"/>
  <c r="S16" i="7"/>
  <c r="AV2" i="7"/>
  <c r="S17" i="7"/>
  <c r="AW2" i="7"/>
  <c r="S18" i="7"/>
  <c r="AX2" i="7" s="1"/>
  <c r="S15" i="7"/>
  <c r="AU2" i="7" s="1"/>
  <c r="S23" i="7"/>
  <c r="BC7" i="7"/>
  <c r="BA7" i="7" s="1"/>
  <c r="S34" i="7"/>
  <c r="BC11" i="7"/>
  <c r="BB11" i="7" s="1"/>
  <c r="S33" i="7"/>
  <c r="BC10" i="7" s="1"/>
  <c r="S25" i="7"/>
  <c r="BC9" i="7" s="1"/>
  <c r="S38" i="7"/>
  <c r="AS2" i="7"/>
  <c r="S35" i="7"/>
  <c r="AN2" i="7" s="1"/>
  <c r="S24" i="7"/>
  <c r="BC8" i="7"/>
  <c r="BB8" i="7" s="1"/>
  <c r="S45" i="7"/>
  <c r="AP2" i="7" s="1"/>
  <c r="S26" i="7"/>
  <c r="AR2" i="7" s="1"/>
  <c r="V21" i="7"/>
  <c r="BC6" i="7" s="1"/>
  <c r="BB6" i="7" s="1"/>
  <c r="U21" i="7"/>
  <c r="BC5" i="7" s="1"/>
  <c r="T21" i="7"/>
  <c r="BC4" i="7" s="1"/>
  <c r="BB4" i="7" s="1"/>
  <c r="S21" i="7"/>
  <c r="BC3" i="7" s="1"/>
  <c r="S30" i="7"/>
  <c r="AO2" i="7" s="1"/>
  <c r="AC3" i="7"/>
  <c r="AC4" i="7"/>
  <c r="AC5" i="7"/>
  <c r="AC6" i="7"/>
  <c r="AC7" i="7"/>
  <c r="AC8" i="7"/>
  <c r="AC9" i="7"/>
  <c r="AC10" i="7"/>
  <c r="AC11" i="7"/>
  <c r="AC12" i="7"/>
  <c r="AC13" i="7"/>
  <c r="AC2" i="7"/>
  <c r="AB11" i="7"/>
  <c r="AB12" i="7"/>
  <c r="AB13" i="7"/>
  <c r="N5" i="7"/>
  <c r="N91" i="7" s="1"/>
  <c r="A2" i="4"/>
  <c r="N75" i="1"/>
  <c r="B69" i="1"/>
  <c r="J68" i="1"/>
  <c r="H13" i="1"/>
  <c r="A2" i="1"/>
  <c r="S12" i="7"/>
  <c r="AK2" i="7" s="1"/>
  <c r="S11" i="7"/>
  <c r="AJ2" i="7" s="1"/>
  <c r="S10" i="7"/>
  <c r="AI2" i="7" s="1"/>
  <c r="S9" i="7"/>
  <c r="AG2" i="7" s="1"/>
  <c r="S8" i="7"/>
  <c r="AF2" i="7" s="1"/>
  <c r="S7" i="7"/>
  <c r="AQ2" i="7" s="1"/>
  <c r="A9" i="6"/>
  <c r="F9" i="6" s="1"/>
  <c r="A10" i="6"/>
  <c r="F10" i="6" s="1"/>
  <c r="A11" i="6"/>
  <c r="F11" i="6" s="1"/>
  <c r="A12" i="6"/>
  <c r="F12" i="6" s="1"/>
  <c r="A13" i="6"/>
  <c r="F13" i="6" s="1"/>
  <c r="A14" i="6"/>
  <c r="F14" i="6" s="1"/>
  <c r="A15" i="6"/>
  <c r="F15" i="6" s="1"/>
  <c r="A16" i="6"/>
  <c r="F16" i="6" s="1"/>
  <c r="A17" i="6"/>
  <c r="F17" i="6" s="1"/>
  <c r="A18" i="6"/>
  <c r="F18" i="6" s="1"/>
  <c r="A19" i="6"/>
  <c r="F19" i="6" s="1"/>
  <c r="A20" i="6"/>
  <c r="F20" i="6" s="1"/>
  <c r="A21" i="6"/>
  <c r="F21" i="6" s="1"/>
  <c r="A22" i="6"/>
  <c r="F22" i="6" s="1"/>
  <c r="A23" i="6"/>
  <c r="F23" i="6" s="1"/>
  <c r="A24" i="6"/>
  <c r="F24" i="6" s="1"/>
  <c r="A25" i="6"/>
  <c r="F25" i="6" s="1"/>
  <c r="A26" i="6"/>
  <c r="F26" i="6" s="1"/>
  <c r="A27" i="6"/>
  <c r="F27" i="6" s="1"/>
  <c r="A28" i="6"/>
  <c r="F28" i="6" s="1"/>
  <c r="A29" i="6"/>
  <c r="F29" i="6" s="1"/>
  <c r="A30" i="6"/>
  <c r="F30" i="6" s="1"/>
  <c r="A31" i="6"/>
  <c r="F31" i="6" s="1"/>
  <c r="A32" i="6"/>
  <c r="F32" i="6" s="1"/>
  <c r="A33" i="6"/>
  <c r="F33" i="6" s="1"/>
  <c r="A34" i="6"/>
  <c r="F34" i="6" s="1"/>
  <c r="A35" i="6"/>
  <c r="F35" i="6" s="1"/>
  <c r="A36" i="6"/>
  <c r="F36" i="6" s="1"/>
  <c r="A37" i="6"/>
  <c r="F37" i="6" s="1"/>
  <c r="A38" i="6"/>
  <c r="F38" i="6" s="1"/>
  <c r="A39" i="6"/>
  <c r="F39" i="6" s="1"/>
  <c r="A40" i="6"/>
  <c r="F40" i="6" s="1"/>
  <c r="A41" i="6"/>
  <c r="F41" i="6" s="1"/>
  <c r="A42" i="6"/>
  <c r="F42" i="6" s="1"/>
  <c r="A43" i="6"/>
  <c r="F43" i="6" s="1"/>
  <c r="A44" i="6"/>
  <c r="F44" i="6" s="1"/>
  <c r="A45" i="6"/>
  <c r="F45" i="6" s="1"/>
  <c r="A46" i="6"/>
  <c r="F46" i="6" s="1"/>
  <c r="A47" i="6"/>
  <c r="F47" i="6" s="1"/>
  <c r="A48" i="6"/>
  <c r="F48" i="6" s="1"/>
  <c r="A49" i="6"/>
  <c r="F49" i="6" s="1"/>
  <c r="A50" i="6"/>
  <c r="F50" i="6" s="1"/>
  <c r="A51" i="6"/>
  <c r="F51" i="6" s="1"/>
  <c r="A52" i="6"/>
  <c r="F52" i="6" s="1"/>
  <c r="A53" i="6"/>
  <c r="F53" i="6" s="1"/>
  <c r="A54" i="6"/>
  <c r="F54" i="6" s="1"/>
  <c r="A55" i="6"/>
  <c r="F55" i="6" s="1"/>
  <c r="A56" i="6"/>
  <c r="F56" i="6" s="1"/>
  <c r="A57" i="6"/>
  <c r="F57" i="6" s="1"/>
  <c r="A58" i="6"/>
  <c r="F58" i="6" s="1"/>
  <c r="A59" i="6"/>
  <c r="F59" i="6" s="1"/>
  <c r="A60" i="6"/>
  <c r="F60" i="6" s="1"/>
  <c r="A61" i="6"/>
  <c r="F61" i="6" s="1"/>
  <c r="A62" i="6"/>
  <c r="F62" i="6" s="1"/>
  <c r="A63" i="6"/>
  <c r="F63" i="6" s="1"/>
  <c r="A64" i="6"/>
  <c r="F64" i="6" s="1"/>
  <c r="A65" i="6"/>
  <c r="F65" i="6" s="1"/>
  <c r="A66" i="6"/>
  <c r="F66" i="6" s="1"/>
  <c r="A67" i="6"/>
  <c r="F67" i="6" s="1"/>
  <c r="A68" i="6"/>
  <c r="F68" i="6" s="1"/>
  <c r="A69" i="6"/>
  <c r="F69" i="6" s="1"/>
  <c r="A70" i="6"/>
  <c r="F70" i="6" s="1"/>
  <c r="A71" i="6"/>
  <c r="F71" i="6" s="1"/>
  <c r="A72" i="6"/>
  <c r="F72" i="6" s="1"/>
  <c r="A73" i="6"/>
  <c r="F73" i="6" s="1"/>
  <c r="A74" i="6"/>
  <c r="F74" i="6" s="1"/>
  <c r="A75" i="6"/>
  <c r="F75" i="6" s="1"/>
  <c r="A76" i="6"/>
  <c r="F76" i="6" s="1"/>
  <c r="A77" i="6"/>
  <c r="F77" i="6" s="1"/>
  <c r="A78" i="6"/>
  <c r="F78" i="6" s="1"/>
  <c r="A79" i="6"/>
  <c r="F79" i="6" s="1"/>
  <c r="A80" i="6"/>
  <c r="F80" i="6" s="1"/>
  <c r="A81" i="6"/>
  <c r="F81" i="6" s="1"/>
  <c r="A82" i="6"/>
  <c r="F82" i="6" s="1"/>
  <c r="A83" i="6"/>
  <c r="F83" i="6" s="1"/>
  <c r="A84" i="6"/>
  <c r="F84" i="6" s="1"/>
  <c r="A85" i="6"/>
  <c r="F85" i="6" s="1"/>
  <c r="A86" i="6"/>
  <c r="F86" i="6" s="1"/>
  <c r="A87" i="6"/>
  <c r="F87" i="6" s="1"/>
  <c r="A88" i="6"/>
  <c r="F88" i="6" s="1"/>
  <c r="A89" i="6"/>
  <c r="F89" i="6" s="1"/>
  <c r="A90" i="6"/>
  <c r="F90" i="6" s="1"/>
  <c r="A91" i="6"/>
  <c r="F91" i="6" s="1"/>
  <c r="A92" i="6"/>
  <c r="F92" i="6" s="1"/>
  <c r="A93" i="6"/>
  <c r="F93" i="6" s="1"/>
  <c r="A94" i="6"/>
  <c r="F94" i="6" s="1"/>
  <c r="A95" i="6"/>
  <c r="F95" i="6" s="1"/>
  <c r="A96" i="6"/>
  <c r="F96" i="6" s="1"/>
  <c r="D5" i="8"/>
  <c r="D37" i="8" s="1"/>
  <c r="D29" i="9" s="1"/>
  <c r="I48" i="1"/>
  <c r="C57" i="9" s="1"/>
  <c r="E13" i="9"/>
  <c r="N81" i="1"/>
  <c r="D78" i="6" s="1"/>
  <c r="D55" i="6"/>
  <c r="D32" i="6"/>
  <c r="D9" i="6"/>
  <c r="N98" i="1"/>
  <c r="D95" i="6" s="1"/>
  <c r="N97" i="1"/>
  <c r="D94" i="6" s="1"/>
  <c r="N96" i="1"/>
  <c r="N82" i="1"/>
  <c r="D79" i="6" s="1"/>
  <c r="N83" i="1"/>
  <c r="N80" i="1"/>
  <c r="D77" i="6" s="1"/>
  <c r="E5" i="1"/>
  <c r="E2" i="9"/>
  <c r="D7" i="1"/>
  <c r="C6" i="9" s="1"/>
  <c r="B1" i="9"/>
  <c r="AD14" i="7"/>
  <c r="E53" i="9"/>
  <c r="E48" i="9"/>
  <c r="E44" i="9"/>
  <c r="E35" i="9"/>
  <c r="E30" i="9"/>
  <c r="E26" i="9"/>
  <c r="E17" i="9"/>
  <c r="E12" i="9"/>
  <c r="AL256" i="7"/>
  <c r="AL253" i="7"/>
  <c r="AL252" i="7"/>
  <c r="AL251" i="7"/>
  <c r="AL249" i="7"/>
  <c r="AL248" i="7"/>
  <c r="AI14" i="7"/>
  <c r="AB10" i="7"/>
  <c r="AB9" i="7"/>
  <c r="AB8" i="7"/>
  <c r="AB7" i="7"/>
  <c r="AB6" i="7"/>
  <c r="AB5" i="7"/>
  <c r="AB4" i="7"/>
  <c r="AB3" i="7"/>
  <c r="AB2" i="7"/>
  <c r="N84" i="1"/>
  <c r="D81" i="6"/>
  <c r="N85" i="1"/>
  <c r="D82" i="6"/>
  <c r="N91" i="1"/>
  <c r="D88" i="6" s="1"/>
  <c r="N92" i="1"/>
  <c r="N93" i="1"/>
  <c r="N94" i="1"/>
  <c r="D91" i="6"/>
  <c r="N86" i="1"/>
  <c r="D83" i="6"/>
  <c r="N87" i="1"/>
  <c r="D84" i="6" s="1"/>
  <c r="N88" i="1"/>
  <c r="D85" i="6" s="1"/>
  <c r="U70" i="1"/>
  <c r="N78" i="1"/>
  <c r="N79" i="1"/>
  <c r="D76" i="6" s="1"/>
  <c r="N89" i="1"/>
  <c r="D86" i="6" s="1"/>
  <c r="K95" i="1"/>
  <c r="D69" i="6" s="1"/>
  <c r="K90" i="1"/>
  <c r="D64" i="6" s="1"/>
  <c r="A2" i="6"/>
  <c r="F2" i="6" s="1"/>
  <c r="A3" i="6"/>
  <c r="F3" i="6" s="1"/>
  <c r="A4" i="6"/>
  <c r="F4" i="6" s="1"/>
  <c r="A5" i="6"/>
  <c r="F5" i="6" s="1"/>
  <c r="A6" i="6"/>
  <c r="F6" i="6" s="1"/>
  <c r="A7" i="6"/>
  <c r="F7" i="6" s="1"/>
  <c r="A8" i="6"/>
  <c r="F8" i="6" s="1"/>
  <c r="L70" i="1"/>
  <c r="D75" i="6"/>
  <c r="D80" i="6"/>
  <c r="D90" i="6"/>
  <c r="C96" i="6"/>
  <c r="C95" i="6"/>
  <c r="C94" i="6"/>
  <c r="C93" i="6"/>
  <c r="C92" i="6"/>
  <c r="C91" i="6"/>
  <c r="C90" i="6"/>
  <c r="C89" i="6"/>
  <c r="C88" i="6"/>
  <c r="C87" i="6"/>
  <c r="C86" i="6"/>
  <c r="C85" i="6"/>
  <c r="C84" i="6"/>
  <c r="C83" i="6"/>
  <c r="C82" i="6"/>
  <c r="C81" i="6"/>
  <c r="C80" i="6"/>
  <c r="C79" i="6"/>
  <c r="C77" i="6"/>
  <c r="C76" i="6"/>
  <c r="C75" i="6"/>
  <c r="C74" i="6"/>
  <c r="D72" i="6"/>
  <c r="D71" i="6"/>
  <c r="D70" i="6"/>
  <c r="D68" i="6"/>
  <c r="D67" i="6"/>
  <c r="D66" i="6"/>
  <c r="D65" i="6"/>
  <c r="D63" i="6"/>
  <c r="D62" i="6"/>
  <c r="D61" i="6"/>
  <c r="D60" i="6"/>
  <c r="D59" i="6"/>
  <c r="D58" i="6"/>
  <c r="D57" i="6"/>
  <c r="D56" i="6"/>
  <c r="D54" i="6"/>
  <c r="D53" i="6"/>
  <c r="D52" i="6"/>
  <c r="C73" i="6"/>
  <c r="C72" i="6"/>
  <c r="C71" i="6"/>
  <c r="C70" i="6"/>
  <c r="C69" i="6"/>
  <c r="C68" i="6"/>
  <c r="C67" i="6"/>
  <c r="C66" i="6"/>
  <c r="C65" i="6"/>
  <c r="C64" i="6"/>
  <c r="C63" i="6"/>
  <c r="C62" i="6"/>
  <c r="C61" i="6"/>
  <c r="C60" i="6"/>
  <c r="C59" i="6"/>
  <c r="C58" i="6"/>
  <c r="C57" i="6"/>
  <c r="C56" i="6"/>
  <c r="C54" i="6"/>
  <c r="C53" i="6"/>
  <c r="C52" i="6"/>
  <c r="C51" i="6"/>
  <c r="H90" i="1"/>
  <c r="D41" i="6" s="1"/>
  <c r="H77" i="1"/>
  <c r="D28" i="6" s="1"/>
  <c r="H99" i="1"/>
  <c r="D50" i="6" s="1"/>
  <c r="H95" i="1"/>
  <c r="D49" i="6"/>
  <c r="D48" i="6"/>
  <c r="D47" i="6"/>
  <c r="D46" i="6"/>
  <c r="D45" i="6"/>
  <c r="D44" i="6"/>
  <c r="D43" i="6"/>
  <c r="D42" i="6"/>
  <c r="D40" i="6"/>
  <c r="D39" i="6"/>
  <c r="D38" i="6"/>
  <c r="D37" i="6"/>
  <c r="D36" i="6"/>
  <c r="D35" i="6"/>
  <c r="D34" i="6"/>
  <c r="D33" i="6"/>
  <c r="D31" i="6"/>
  <c r="D30" i="6"/>
  <c r="D29" i="6"/>
  <c r="C29" i="6"/>
  <c r="C30" i="6"/>
  <c r="C31" i="6"/>
  <c r="C33" i="6"/>
  <c r="C34" i="6"/>
  <c r="C35" i="6"/>
  <c r="C36" i="6"/>
  <c r="C37" i="6"/>
  <c r="C38" i="6"/>
  <c r="C39" i="6"/>
  <c r="C40" i="6"/>
  <c r="C41" i="6"/>
  <c r="C42" i="6"/>
  <c r="C43" i="6"/>
  <c r="C44" i="6"/>
  <c r="C45" i="6"/>
  <c r="C46" i="6"/>
  <c r="C47" i="6"/>
  <c r="C48" i="6"/>
  <c r="C49" i="6"/>
  <c r="C50" i="6"/>
  <c r="C28" i="6"/>
  <c r="E90" i="1"/>
  <c r="E95" i="1"/>
  <c r="D26" i="6"/>
  <c r="D25" i="6"/>
  <c r="D24" i="6"/>
  <c r="D23" i="6"/>
  <c r="D22" i="6"/>
  <c r="D21" i="6"/>
  <c r="D20" i="6"/>
  <c r="D19" i="6"/>
  <c r="D17" i="6"/>
  <c r="D16" i="6"/>
  <c r="D15" i="6"/>
  <c r="D14" i="6"/>
  <c r="D13" i="6"/>
  <c r="D12" i="6"/>
  <c r="D11" i="6"/>
  <c r="D10" i="6"/>
  <c r="D8" i="6"/>
  <c r="D7" i="6"/>
  <c r="D6" i="6"/>
  <c r="C27" i="6"/>
  <c r="C26" i="6"/>
  <c r="C25" i="6"/>
  <c r="C24" i="6"/>
  <c r="C23" i="6"/>
  <c r="C22" i="6"/>
  <c r="C21" i="6"/>
  <c r="C20" i="6"/>
  <c r="C19" i="6"/>
  <c r="C18" i="6"/>
  <c r="C17" i="6"/>
  <c r="C16" i="6"/>
  <c r="C15" i="6"/>
  <c r="C14" i="6"/>
  <c r="C13" i="6"/>
  <c r="C12" i="6"/>
  <c r="C11" i="6"/>
  <c r="C10" i="6"/>
  <c r="C8" i="6"/>
  <c r="C7" i="6"/>
  <c r="C6" i="6"/>
  <c r="C5" i="6"/>
  <c r="S70" i="1"/>
  <c r="D4" i="6"/>
  <c r="R70" i="1"/>
  <c r="C4" i="6" s="1"/>
  <c r="S69" i="1"/>
  <c r="D3" i="6"/>
  <c r="R69" i="1"/>
  <c r="C3" i="6" s="1"/>
  <c r="S68" i="1"/>
  <c r="D2" i="6"/>
  <c r="R68" i="1"/>
  <c r="C2" i="6" s="1"/>
  <c r="K77" i="1"/>
  <c r="K99" i="1" s="1"/>
  <c r="D73" i="6" s="1"/>
  <c r="D89" i="6"/>
  <c r="H21" i="9"/>
  <c r="BB26" i="7"/>
  <c r="BA26" i="7"/>
  <c r="BA62" i="7"/>
  <c r="BA4" i="7"/>
  <c r="BB51" i="7"/>
  <c r="BB96" i="7"/>
  <c r="BA96" i="7"/>
  <c r="BB32" i="7"/>
  <c r="BA41" i="7"/>
  <c r="BB41" i="7"/>
  <c r="BB77" i="7"/>
  <c r="D51" i="6"/>
  <c r="BA47" i="7"/>
  <c r="BB47" i="7"/>
  <c r="N90" i="1"/>
  <c r="D87" i="6" s="1"/>
  <c r="BA100" i="7"/>
  <c r="BB100" i="7"/>
  <c r="BA35" i="7"/>
  <c r="BB67" i="7"/>
  <c r="BB79" i="7"/>
  <c r="BB29" i="7"/>
  <c r="BA55" i="7"/>
  <c r="BB84" i="7"/>
  <c r="BA97" i="7"/>
  <c r="BB39" i="7"/>
  <c r="BA38" i="7"/>
  <c r="BB94" i="7"/>
  <c r="BA94" i="7"/>
  <c r="BB48" i="7"/>
  <c r="BA34" i="7"/>
  <c r="BB64" i="7"/>
  <c r="BA64" i="7"/>
  <c r="BB81" i="7"/>
  <c r="J21" i="1"/>
  <c r="V21" i="1" s="1"/>
  <c r="H22" i="1"/>
  <c r="T22" i="1" s="1"/>
  <c r="D11" i="1"/>
  <c r="C11" i="9" s="1"/>
  <c r="I54" i="1"/>
  <c r="I55" i="9" s="1"/>
  <c r="H23" i="1"/>
  <c r="T23" i="1" s="1"/>
  <c r="S42" i="1"/>
  <c r="E42" i="9" s="1"/>
  <c r="I56" i="1"/>
  <c r="I57" i="9" s="1"/>
  <c r="H21" i="1"/>
  <c r="T21" i="1" s="1"/>
  <c r="J23" i="1"/>
  <c r="V23" i="1" s="1"/>
  <c r="S34" i="1"/>
  <c r="E24" i="9" s="1"/>
  <c r="J22" i="1"/>
  <c r="V22" i="1" s="1"/>
  <c r="I47" i="1"/>
  <c r="C56" i="9" s="1"/>
  <c r="I53" i="1"/>
  <c r="I54" i="9" s="1"/>
  <c r="D41" i="1"/>
  <c r="C34" i="9" s="1"/>
  <c r="D39" i="1"/>
  <c r="C32" i="9" s="1"/>
  <c r="D37" i="1"/>
  <c r="C29" i="9" s="1"/>
  <c r="I35" i="1"/>
  <c r="C27" i="9" s="1"/>
  <c r="J14" i="1"/>
  <c r="D56" i="1"/>
  <c r="I51" i="9" s="1"/>
  <c r="D54" i="1"/>
  <c r="I49" i="9" s="1"/>
  <c r="D52" i="1"/>
  <c r="I46" i="9" s="1"/>
  <c r="D51" i="1"/>
  <c r="I43" i="9" s="1"/>
  <c r="D22" i="1"/>
  <c r="I14" i="9" s="1"/>
  <c r="D49" i="1"/>
  <c r="C52" i="9" s="1"/>
  <c r="D47" i="1"/>
  <c r="C50" i="9" s="1"/>
  <c r="D45" i="1"/>
  <c r="C47" i="9" s="1"/>
  <c r="I43" i="1"/>
  <c r="C45" i="9" s="1"/>
  <c r="D18" i="1"/>
  <c r="C21" i="9" s="1"/>
  <c r="D16" i="1"/>
  <c r="D14" i="1"/>
  <c r="C16" i="9" s="1"/>
  <c r="D12" i="1"/>
  <c r="C14" i="9" s="1"/>
  <c r="D35" i="1"/>
  <c r="A436" i="7" s="1"/>
  <c r="I46" i="1"/>
  <c r="C55" i="9" s="1"/>
  <c r="I40" i="1"/>
  <c r="C39" i="9" s="1"/>
  <c r="S50" i="1"/>
  <c r="K42" i="9" s="1"/>
  <c r="S7" i="1"/>
  <c r="E5" i="9" s="1"/>
  <c r="D10" i="1"/>
  <c r="C10" i="9" s="1"/>
  <c r="D8" i="1"/>
  <c r="C8" i="9" s="1"/>
  <c r="K23" i="1"/>
  <c r="W23" i="1" s="1"/>
  <c r="I23" i="1"/>
  <c r="U23" i="1" s="1"/>
  <c r="K22" i="1"/>
  <c r="W22" i="1" s="1"/>
  <c r="I22" i="1"/>
  <c r="U22" i="1" s="1"/>
  <c r="K21" i="1"/>
  <c r="W21" i="1" s="1"/>
  <c r="I21" i="1"/>
  <c r="U21" i="1" s="1"/>
  <c r="I55" i="1"/>
  <c r="I56" i="9" s="1"/>
  <c r="I7" i="1"/>
  <c r="O49" i="7" s="1"/>
  <c r="I38" i="1"/>
  <c r="C37" i="9" s="1"/>
  <c r="D40" i="1"/>
  <c r="C33" i="9" s="1"/>
  <c r="D38" i="1"/>
  <c r="C31" i="9" s="1"/>
  <c r="D36" i="1"/>
  <c r="C28" i="9" s="1"/>
  <c r="I8" i="9"/>
  <c r="D57" i="1"/>
  <c r="I52" i="9" s="1"/>
  <c r="D55" i="1"/>
  <c r="I50" i="9" s="1"/>
  <c r="D53" i="1"/>
  <c r="I47" i="9" s="1"/>
  <c r="I51" i="1"/>
  <c r="I45" i="9" s="1"/>
  <c r="D23" i="1"/>
  <c r="I16" i="9" s="1"/>
  <c r="D21" i="1"/>
  <c r="I12" i="9" s="1"/>
  <c r="I45" i="1"/>
  <c r="C54" i="9" s="1"/>
  <c r="D48" i="1"/>
  <c r="C51" i="9" s="1"/>
  <c r="D46" i="1"/>
  <c r="C49" i="9" s="1"/>
  <c r="D44" i="1"/>
  <c r="C46" i="9" s="1"/>
  <c r="D43" i="1"/>
  <c r="C43" i="9" s="1"/>
  <c r="D17" i="1"/>
  <c r="C20" i="9" s="1"/>
  <c r="D15" i="1"/>
  <c r="C18" i="9" s="1"/>
  <c r="D13" i="1"/>
  <c r="C15" i="9" s="1"/>
  <c r="D6" i="1"/>
  <c r="I37" i="1"/>
  <c r="C36" i="9" s="1"/>
  <c r="I39" i="1"/>
  <c r="C38" i="9" s="1"/>
  <c r="BA18" i="7"/>
  <c r="BA8" i="7"/>
  <c r="BA11" i="7"/>
  <c r="BB110" i="7"/>
  <c r="BA110" i="7"/>
  <c r="BA19" i="7"/>
  <c r="BB88" i="7"/>
  <c r="BA103" i="7"/>
  <c r="D7" i="8"/>
  <c r="D6" i="9" s="1"/>
  <c r="BB43" i="7" l="1"/>
  <c r="BA43" i="7"/>
  <c r="BB10" i="7"/>
  <c r="BA10" i="7"/>
  <c r="BB44" i="7"/>
  <c r="BA44" i="7"/>
  <c r="BA68" i="7"/>
  <c r="BB68" i="7"/>
  <c r="BA73" i="7"/>
  <c r="BB73" i="7"/>
  <c r="BA80" i="7"/>
  <c r="BB80" i="7"/>
  <c r="BB99" i="7"/>
  <c r="BA99" i="7"/>
  <c r="BA102" i="7"/>
  <c r="BB102" i="7"/>
  <c r="BB9" i="7"/>
  <c r="BA9" i="7"/>
  <c r="BB27" i="7"/>
  <c r="BA27" i="7"/>
  <c r="BB52" i="7"/>
  <c r="BA52" i="7"/>
  <c r="BB13" i="7"/>
  <c r="BA13" i="7"/>
  <c r="BB70" i="7"/>
  <c r="BA70" i="7"/>
  <c r="BA92" i="7"/>
  <c r="BB92" i="7"/>
  <c r="BB33" i="7"/>
  <c r="BA33" i="7"/>
  <c r="BA40" i="7"/>
  <c r="BB40" i="7"/>
  <c r="BB54" i="7"/>
  <c r="BA54" i="7"/>
  <c r="BA37" i="7"/>
  <c r="BB37" i="7"/>
  <c r="BB3" i="7"/>
  <c r="BA3" i="7"/>
  <c r="BA22" i="7"/>
  <c r="BB22" i="7"/>
  <c r="BA30" i="7"/>
  <c r="BB30" i="7"/>
  <c r="BB82" i="7"/>
  <c r="BA82" i="7"/>
  <c r="BB90" i="7"/>
  <c r="BA90" i="7"/>
  <c r="BB105" i="7"/>
  <c r="BA105" i="7"/>
  <c r="BA25" i="7"/>
  <c r="BB25" i="7"/>
  <c r="BA23" i="7"/>
  <c r="BB23" i="7"/>
  <c r="BA72" i="7"/>
  <c r="BB72" i="7"/>
  <c r="BA106" i="7"/>
  <c r="BB106" i="7"/>
  <c r="BA5" i="7"/>
  <c r="BB5" i="7"/>
  <c r="BB20" i="7"/>
  <c r="BA20" i="7"/>
  <c r="BB24" i="7"/>
  <c r="BA24" i="7"/>
  <c r="BB46" i="7"/>
  <c r="BA46" i="7"/>
  <c r="BA58" i="7"/>
  <c r="BB58" i="7"/>
  <c r="BB66" i="7"/>
  <c r="BA66" i="7"/>
  <c r="BB78" i="7"/>
  <c r="BA78" i="7"/>
  <c r="BB86" i="7"/>
  <c r="BA86" i="7"/>
  <c r="BB31" i="7"/>
  <c r="BB49" i="7"/>
  <c r="BA42" i="7"/>
  <c r="BB56" i="7"/>
  <c r="BA75" i="7"/>
  <c r="BB101" i="7"/>
  <c r="AH21" i="7"/>
  <c r="BB7" i="7"/>
  <c r="N134" i="7"/>
  <c r="BA57" i="7"/>
  <c r="BB28" i="7"/>
  <c r="BA45" i="7"/>
  <c r="N77" i="1"/>
  <c r="D74" i="6" s="1"/>
  <c r="BA74" i="7"/>
  <c r="BB59" i="7"/>
  <c r="BA98" i="7"/>
  <c r="BA16" i="7"/>
  <c r="BA61" i="7"/>
  <c r="BA65" i="7"/>
  <c r="BB104" i="7"/>
  <c r="R21" i="1"/>
  <c r="S21" i="1" s="1"/>
  <c r="I13" i="9" s="1"/>
  <c r="N220" i="7"/>
  <c r="AH15" i="7"/>
  <c r="AH26" i="7"/>
  <c r="AH24" i="7"/>
  <c r="AH23" i="7"/>
  <c r="AH22" i="7"/>
  <c r="AH20" i="7"/>
  <c r="AJ14" i="7"/>
  <c r="P1" i="7" s="1"/>
  <c r="W70" i="1" s="1"/>
  <c r="AH18" i="7"/>
  <c r="L13" i="1"/>
  <c r="O393" i="7"/>
  <c r="N435" i="7"/>
  <c r="N48" i="7"/>
  <c r="N392" i="7"/>
  <c r="N306" i="7"/>
  <c r="N349" i="7"/>
  <c r="N478" i="7"/>
  <c r="N177" i="7"/>
  <c r="N263" i="7"/>
  <c r="I53" i="8"/>
  <c r="J54" i="9" s="1"/>
  <c r="K54" i="9" s="1"/>
  <c r="D23" i="8"/>
  <c r="J16" i="9" s="1"/>
  <c r="K16" i="9" s="1"/>
  <c r="J23" i="8"/>
  <c r="V23" i="8" s="1"/>
  <c r="D24" i="1"/>
  <c r="I23" i="8"/>
  <c r="U23" i="8" s="1"/>
  <c r="I47" i="8"/>
  <c r="D56" i="9" s="1"/>
  <c r="E56" i="9" s="1"/>
  <c r="K23" i="8"/>
  <c r="W23" i="8" s="1"/>
  <c r="D35" i="8"/>
  <c r="D25" i="9" s="1"/>
  <c r="H21" i="8"/>
  <c r="T21" i="8" s="1"/>
  <c r="I6" i="8"/>
  <c r="D6" i="8"/>
  <c r="A32" i="8" s="1"/>
  <c r="J22" i="8"/>
  <c r="V22" i="8" s="1"/>
  <c r="I38" i="8"/>
  <c r="D37" i="9" s="1"/>
  <c r="E37" i="9" s="1"/>
  <c r="I56" i="8"/>
  <c r="J57" i="9" s="1"/>
  <c r="K57" i="9" s="1"/>
  <c r="D16" i="8"/>
  <c r="D45" i="8"/>
  <c r="D47" i="9" s="1"/>
  <c r="E47" i="9" s="1"/>
  <c r="D57" i="8"/>
  <c r="J52" i="9" s="1"/>
  <c r="K52" i="9" s="1"/>
  <c r="S34" i="8"/>
  <c r="D13" i="8"/>
  <c r="D15" i="9" s="1"/>
  <c r="E15" i="9" s="1"/>
  <c r="D47" i="8"/>
  <c r="D50" i="9" s="1"/>
  <c r="E50" i="9" s="1"/>
  <c r="D55" i="8"/>
  <c r="J50" i="9" s="1"/>
  <c r="K50" i="9" s="1"/>
  <c r="J21" i="8"/>
  <c r="V21" i="8" s="1"/>
  <c r="S42" i="8"/>
  <c r="J14" i="8"/>
  <c r="J9" i="9" s="1"/>
  <c r="D22" i="8"/>
  <c r="J14" i="9" s="1"/>
  <c r="K14" i="9" s="1"/>
  <c r="D17" i="8"/>
  <c r="D20" i="9" s="1"/>
  <c r="E20" i="9" s="1"/>
  <c r="D14" i="8"/>
  <c r="D16" i="9" s="1"/>
  <c r="E16" i="9" s="1"/>
  <c r="I55" i="8"/>
  <c r="J56" i="9" s="1"/>
  <c r="K56" i="9" s="1"/>
  <c r="D56" i="8"/>
  <c r="J51" i="9" s="1"/>
  <c r="K51" i="9" s="1"/>
  <c r="I46" i="8"/>
  <c r="D55" i="9" s="1"/>
  <c r="E55" i="9" s="1"/>
  <c r="D8" i="8"/>
  <c r="D8" i="9" s="1"/>
  <c r="E8" i="9" s="1"/>
  <c r="D48" i="8"/>
  <c r="D51" i="9" s="1"/>
  <c r="E51" i="9" s="1"/>
  <c r="D38" i="8"/>
  <c r="D31" i="9" s="1"/>
  <c r="E31" i="9" s="1"/>
  <c r="I7" i="8"/>
  <c r="J4" i="9" s="1"/>
  <c r="D49" i="8"/>
  <c r="D52" i="9" s="1"/>
  <c r="E52" i="9" s="1"/>
  <c r="D18" i="8"/>
  <c r="D21" i="9" s="1"/>
  <c r="E21" i="9" s="1"/>
  <c r="D11" i="8"/>
  <c r="D11" i="9" s="1"/>
  <c r="E11" i="9" s="1"/>
  <c r="D43" i="8"/>
  <c r="D43" i="9" s="1"/>
  <c r="E43" i="9" s="1"/>
  <c r="D52" i="8"/>
  <c r="J46" i="9" s="1"/>
  <c r="K46" i="9" s="1"/>
  <c r="D10" i="8"/>
  <c r="D10" i="9" s="1"/>
  <c r="E10" i="9" s="1"/>
  <c r="I21" i="8"/>
  <c r="U21" i="8" s="1"/>
  <c r="I54" i="8"/>
  <c r="J55" i="9" s="1"/>
  <c r="K55" i="9" s="1"/>
  <c r="D36" i="8"/>
  <c r="D28" i="9" s="1"/>
  <c r="E28" i="9" s="1"/>
  <c r="D21" i="8"/>
  <c r="D24" i="8" s="1"/>
  <c r="I40" i="8"/>
  <c r="D39" i="9" s="1"/>
  <c r="E39" i="9" s="1"/>
  <c r="D40" i="8"/>
  <c r="D33" i="9" s="1"/>
  <c r="E33" i="9" s="1"/>
  <c r="I43" i="8"/>
  <c r="D45" i="9" s="1"/>
  <c r="E45" i="9" s="1"/>
  <c r="D39" i="8"/>
  <c r="D32" i="9" s="1"/>
  <c r="E32" i="9" s="1"/>
  <c r="I39" i="8"/>
  <c r="D38" i="9" s="1"/>
  <c r="E38" i="9" s="1"/>
  <c r="D44" i="8"/>
  <c r="D46" i="9" s="1"/>
  <c r="E46" i="9" s="1"/>
  <c r="D51" i="8"/>
  <c r="J43" i="9" s="1"/>
  <c r="K43" i="9" s="1"/>
  <c r="D12" i="8"/>
  <c r="D14" i="9" s="1"/>
  <c r="E14" i="9" s="1"/>
  <c r="S7" i="8"/>
  <c r="D15" i="8"/>
  <c r="D18" i="9" s="1"/>
  <c r="E18" i="9" s="1"/>
  <c r="D41" i="8"/>
  <c r="D34" i="9" s="1"/>
  <c r="E34" i="9" s="1"/>
  <c r="I35" i="8"/>
  <c r="D27" i="9" s="1"/>
  <c r="E27" i="9" s="1"/>
  <c r="D53" i="8"/>
  <c r="J47" i="9" s="1"/>
  <c r="K47" i="9" s="1"/>
  <c r="H23" i="8"/>
  <c r="T23" i="8" s="1"/>
  <c r="E5" i="8"/>
  <c r="H22" i="8"/>
  <c r="T22" i="8" s="1"/>
  <c r="I22" i="8"/>
  <c r="U22" i="8" s="1"/>
  <c r="I48" i="8"/>
  <c r="D57" i="9" s="1"/>
  <c r="E57" i="9" s="1"/>
  <c r="L14" i="1"/>
  <c r="I9" i="9"/>
  <c r="A32" i="1"/>
  <c r="A1" i="12" s="1"/>
  <c r="C3" i="9"/>
  <c r="I3" i="9"/>
  <c r="L6" i="1"/>
  <c r="J23" i="12"/>
  <c r="C22" i="12"/>
  <c r="F23" i="12"/>
  <c r="C21" i="12"/>
  <c r="C24" i="12"/>
  <c r="C23" i="12"/>
  <c r="K20" i="12"/>
  <c r="F22" i="12"/>
  <c r="J59" i="12"/>
  <c r="C58" i="12"/>
  <c r="F59" i="12"/>
  <c r="C57" i="12"/>
  <c r="F58" i="12"/>
  <c r="C59" i="12"/>
  <c r="K56" i="12"/>
  <c r="C60" i="12"/>
  <c r="J41" i="12"/>
  <c r="C40" i="12"/>
  <c r="F41" i="12"/>
  <c r="C39" i="12"/>
  <c r="C41" i="12"/>
  <c r="K38" i="12"/>
  <c r="C42" i="12"/>
  <c r="F40" i="12"/>
  <c r="J29" i="12"/>
  <c r="C28" i="12"/>
  <c r="F29" i="12"/>
  <c r="C27" i="12"/>
  <c r="C30" i="12"/>
  <c r="C29" i="12"/>
  <c r="K26" i="12"/>
  <c r="F28" i="12"/>
  <c r="J101" i="12"/>
  <c r="C100" i="12"/>
  <c r="F101" i="12"/>
  <c r="C99" i="12"/>
  <c r="C102" i="12"/>
  <c r="F100" i="12"/>
  <c r="C101" i="12"/>
  <c r="K98" i="12"/>
  <c r="S50" i="8"/>
  <c r="D54" i="8"/>
  <c r="J49" i="9" s="1"/>
  <c r="K49" i="9" s="1"/>
  <c r="I45" i="8"/>
  <c r="D54" i="9" s="1"/>
  <c r="E54" i="9" s="1"/>
  <c r="H24" i="1"/>
  <c r="J13" i="8"/>
  <c r="J8" i="9" s="1"/>
  <c r="K8" i="9" s="1"/>
  <c r="I51" i="8"/>
  <c r="J45" i="9" s="1"/>
  <c r="K45" i="9" s="1"/>
  <c r="D46" i="8"/>
  <c r="D49" i="9" s="1"/>
  <c r="E49" i="9" s="1"/>
  <c r="I37" i="8"/>
  <c r="D36" i="9" s="1"/>
  <c r="E36" i="9" s="1"/>
  <c r="K22" i="8"/>
  <c r="W22" i="8" s="1"/>
  <c r="D9" i="8"/>
  <c r="D9" i="9" s="1"/>
  <c r="E9" i="9" s="1"/>
  <c r="K21" i="8"/>
  <c r="W21" i="8" s="1"/>
  <c r="C19" i="9"/>
  <c r="L16" i="1"/>
  <c r="J113" i="12"/>
  <c r="C112" i="12"/>
  <c r="F113" i="12"/>
  <c r="C111" i="12"/>
  <c r="F112" i="12"/>
  <c r="C113" i="12"/>
  <c r="K110" i="12"/>
  <c r="C114" i="12"/>
  <c r="E6" i="9"/>
  <c r="J71" i="12"/>
  <c r="C70" i="12"/>
  <c r="F71" i="12"/>
  <c r="C69" i="12"/>
  <c r="F70" i="12"/>
  <c r="C71" i="12"/>
  <c r="K68" i="12"/>
  <c r="C72" i="12"/>
  <c r="J107" i="12"/>
  <c r="C106" i="12"/>
  <c r="F107" i="12"/>
  <c r="C105" i="12"/>
  <c r="C107" i="12"/>
  <c r="K104" i="12"/>
  <c r="C108" i="12"/>
  <c r="F106" i="12"/>
  <c r="J125" i="12"/>
  <c r="C124" i="12"/>
  <c r="F125" i="12"/>
  <c r="C123" i="12"/>
  <c r="F124" i="12"/>
  <c r="K128" i="12"/>
  <c r="C125" i="12"/>
  <c r="K122" i="12"/>
  <c r="C126" i="12"/>
  <c r="J11" i="12"/>
  <c r="C10" i="12"/>
  <c r="F11" i="12"/>
  <c r="C9" i="12"/>
  <c r="C12" i="12"/>
  <c r="C11" i="12"/>
  <c r="K8" i="12"/>
  <c r="F10" i="12"/>
  <c r="J95" i="12"/>
  <c r="C94" i="12"/>
  <c r="J89" i="12"/>
  <c r="C88" i="12"/>
  <c r="F95" i="12"/>
  <c r="C93" i="12"/>
  <c r="F89" i="12"/>
  <c r="C87" i="12"/>
  <c r="F94" i="12"/>
  <c r="C95" i="12"/>
  <c r="K92" i="12"/>
  <c r="C89" i="12"/>
  <c r="K86" i="12"/>
  <c r="C96" i="12"/>
  <c r="C90" i="12"/>
  <c r="F88" i="12"/>
  <c r="J131" i="12"/>
  <c r="C130" i="12"/>
  <c r="F131" i="12"/>
  <c r="C129" i="12"/>
  <c r="F130" i="12"/>
  <c r="C131" i="12"/>
  <c r="C132" i="12"/>
  <c r="J17" i="12"/>
  <c r="C16" i="12"/>
  <c r="F17" i="12"/>
  <c r="C15" i="12"/>
  <c r="C17" i="12"/>
  <c r="K14" i="12"/>
  <c r="C18" i="12"/>
  <c r="F16" i="12"/>
  <c r="J35" i="12"/>
  <c r="C34" i="12"/>
  <c r="F35" i="12"/>
  <c r="C33" i="12"/>
  <c r="C36" i="12"/>
  <c r="C35" i="12"/>
  <c r="K32" i="12"/>
  <c r="F34" i="12"/>
  <c r="R23" i="1"/>
  <c r="S23" i="1" s="1"/>
  <c r="I17" i="9" s="1"/>
  <c r="E29" i="9"/>
  <c r="J47" i="12"/>
  <c r="C46" i="12"/>
  <c r="F47" i="12"/>
  <c r="C45" i="12"/>
  <c r="F46" i="12"/>
  <c r="C47" i="12"/>
  <c r="K44" i="12"/>
  <c r="C48" i="12"/>
  <c r="J83" i="12"/>
  <c r="C82" i="12"/>
  <c r="F83" i="12"/>
  <c r="C81" i="12"/>
  <c r="C84" i="12"/>
  <c r="C83" i="12"/>
  <c r="K80" i="12"/>
  <c r="F82" i="12"/>
  <c r="J65" i="12"/>
  <c r="C64" i="12"/>
  <c r="F65" i="12"/>
  <c r="C63" i="12"/>
  <c r="F64" i="12"/>
  <c r="C65" i="12"/>
  <c r="K62" i="12"/>
  <c r="C66" i="12"/>
  <c r="J53" i="12"/>
  <c r="C52" i="12"/>
  <c r="F53" i="12"/>
  <c r="C51" i="12"/>
  <c r="F52" i="12"/>
  <c r="C53" i="12"/>
  <c r="K50" i="12"/>
  <c r="C54" i="12"/>
  <c r="J77" i="12"/>
  <c r="C76" i="12"/>
  <c r="F77" i="12"/>
  <c r="C75" i="12"/>
  <c r="C78" i="12"/>
  <c r="C77" i="12"/>
  <c r="K74" i="12"/>
  <c r="F76" i="12"/>
  <c r="R22" i="1"/>
  <c r="S22" i="1" s="1"/>
  <c r="I15" i="9" s="1"/>
  <c r="A307" i="7"/>
  <c r="A264" i="7"/>
  <c r="O264" i="7"/>
  <c r="A350" i="7"/>
  <c r="I4" i="9"/>
  <c r="O307" i="7"/>
  <c r="A92" i="7"/>
  <c r="I73" i="1"/>
  <c r="O6" i="7"/>
  <c r="O92" i="7"/>
  <c r="BA14" i="7"/>
  <c r="BB14" i="7"/>
  <c r="BB95" i="7"/>
  <c r="BA95" i="7"/>
  <c r="BB12" i="7"/>
  <c r="BA12" i="7"/>
  <c r="BA91" i="7"/>
  <c r="O479" i="7"/>
  <c r="O221" i="7"/>
  <c r="BA71" i="7"/>
  <c r="D18" i="6"/>
  <c r="E77" i="1"/>
  <c r="BB85" i="7"/>
  <c r="BA85" i="7"/>
  <c r="A178" i="7"/>
  <c r="A6" i="7"/>
  <c r="A221" i="7"/>
  <c r="A393" i="7"/>
  <c r="BA108" i="7"/>
  <c r="BA63" i="7"/>
  <c r="BB69" i="7"/>
  <c r="N95" i="1"/>
  <c r="D92" i="6" s="1"/>
  <c r="D93" i="6"/>
  <c r="A49" i="7"/>
  <c r="O350" i="7"/>
  <c r="O436" i="7"/>
  <c r="BA36" i="7"/>
  <c r="BA6" i="7"/>
  <c r="BB87" i="7"/>
  <c r="BB17" i="7"/>
  <c r="BA93" i="7"/>
  <c r="AE14" i="7"/>
  <c r="K1" i="7" s="1"/>
  <c r="A100" i="1" s="1"/>
  <c r="R101" i="1" s="1"/>
  <c r="BB83" i="7"/>
  <c r="BA83" i="7"/>
  <c r="AH17" i="7"/>
  <c r="AH19" i="7"/>
  <c r="A479" i="7"/>
  <c r="C25" i="9"/>
  <c r="L35" i="1"/>
  <c r="A135" i="7"/>
  <c r="O135" i="7"/>
  <c r="O178" i="7"/>
  <c r="BB109" i="7"/>
  <c r="BA53" i="7"/>
  <c r="BA76" i="7"/>
  <c r="BA21" i="7"/>
  <c r="BA15" i="7"/>
  <c r="BA89" i="7"/>
  <c r="BB50" i="7"/>
  <c r="BA50" i="7"/>
  <c r="BB60" i="7"/>
  <c r="BB107" i="7"/>
  <c r="BA107" i="7"/>
  <c r="A30" i="8"/>
  <c r="R30" i="8" s="1"/>
  <c r="AH16" i="7"/>
  <c r="AH25" i="7"/>
  <c r="R23" i="8" l="1"/>
  <c r="S23" i="8" s="1"/>
  <c r="J17" i="9" s="1"/>
  <c r="K17" i="9" s="1"/>
  <c r="R21" i="8"/>
  <c r="S21" i="8" s="1"/>
  <c r="J13" i="9" s="1"/>
  <c r="K13" i="9" s="1"/>
  <c r="J12" i="9"/>
  <c r="K12" i="9" s="1"/>
  <c r="N99" i="1"/>
  <c r="D96" i="6" s="1"/>
  <c r="G100" i="1"/>
  <c r="AH14" i="7"/>
  <c r="A66" i="1"/>
  <c r="A1" i="7"/>
  <c r="A133" i="7" s="1"/>
  <c r="K4" i="9"/>
  <c r="R22" i="8"/>
  <c r="S22" i="8" s="1"/>
  <c r="J15" i="9" s="1"/>
  <c r="K15" i="9" s="1"/>
  <c r="E25" i="9"/>
  <c r="K9" i="9"/>
  <c r="D3" i="9"/>
  <c r="E3" i="9" s="1"/>
  <c r="L16" i="8"/>
  <c r="D19" i="9"/>
  <c r="E19" i="9" s="1"/>
  <c r="J3" i="9"/>
  <c r="K3" i="9" s="1"/>
  <c r="L6" i="8"/>
  <c r="H24" i="8"/>
  <c r="A101" i="1"/>
  <c r="F31" i="8"/>
  <c r="A31" i="8"/>
  <c r="D5" i="6"/>
  <c r="E99" i="1"/>
  <c r="D27" i="6" s="1"/>
  <c r="M100" i="1"/>
  <c r="V70" i="1"/>
  <c r="A90" i="7" l="1"/>
  <c r="T101" i="1"/>
  <c r="I101" i="1" s="1"/>
  <c r="A477" i="7"/>
  <c r="A262" i="7"/>
  <c r="A348" i="7"/>
  <c r="A47" i="7"/>
  <c r="A305" i="7"/>
  <c r="A391" i="7"/>
  <c r="A434" i="7"/>
  <c r="A176" i="7"/>
  <c r="A219" i="7"/>
  <c r="K102" i="1" l="1"/>
  <c r="A30" i="1"/>
  <c r="R30" i="1" s="1"/>
  <c r="A31" i="1" s="1"/>
  <c r="F31" i="1" l="1"/>
</calcChain>
</file>

<file path=xl/sharedStrings.xml><?xml version="1.0" encoding="utf-8"?>
<sst xmlns="http://schemas.openxmlformats.org/spreadsheetml/2006/main" count="2879" uniqueCount="1076">
  <si>
    <t>MA Contact ID</t>
  </si>
  <si>
    <t>FP Contact ID</t>
  </si>
  <si>
    <t>CC1 Contact ID</t>
  </si>
  <si>
    <t>CC2 Contact ID</t>
  </si>
  <si>
    <t>CXC Contact ID</t>
  </si>
  <si>
    <t>Section 1: Capital Expenditure Commitment Summary</t>
  </si>
  <si>
    <t>Section 2: Capital Expenditure Commitment Detail</t>
  </si>
  <si>
    <t>Capital Expenditure Project Specific Tab
Please supply information on each project</t>
  </si>
  <si>
    <t>Compare Total Cap Exp
Proj $$s reported</t>
  </si>
  <si>
    <t>Sect 1
Summary</t>
  </si>
  <si>
    <t>Sect 2
Detail</t>
  </si>
  <si>
    <t>Project
Specific</t>
  </si>
  <si>
    <t>Please disregard the order of the account numbers.  These are for MDH recording purposes only and do not reflect any priority to the data items on the form.</t>
  </si>
  <si>
    <t>e-mail</t>
  </si>
  <si>
    <t>HCCIS ID</t>
  </si>
  <si>
    <t>Multiple unit</t>
  </si>
  <si>
    <t>Zip4</t>
  </si>
  <si>
    <t>Phone</t>
  </si>
  <si>
    <t>Fax</t>
  </si>
  <si>
    <t>Administrator First Name</t>
  </si>
  <si>
    <t>Administrator Last Name</t>
  </si>
  <si>
    <t>Administrator Title</t>
  </si>
  <si>
    <t>Administrator e-mail</t>
  </si>
  <si>
    <t>CFO Name</t>
  </si>
  <si>
    <t>MN</t>
  </si>
  <si>
    <t>Reporting Entity Name</t>
  </si>
  <si>
    <t>PROJECT_NUMBER</t>
  </si>
  <si>
    <t>STREET_ADDRESS</t>
  </si>
  <si>
    <t>CITY_NAME</t>
  </si>
  <si>
    <t>STATE</t>
  </si>
  <si>
    <t>SPEND_COMMIT_DATE</t>
  </si>
  <si>
    <t>PROJECT_COST</t>
  </si>
  <si>
    <t>DISTANCE_TO_EQUIVALENT_SVC</t>
  </si>
  <si>
    <t>DESC_PROJECT</t>
  </si>
  <si>
    <t>DESC_PURPOSE</t>
  </si>
  <si>
    <t>PROJECT_IMPACT</t>
  </si>
  <si>
    <t>EQUIVALENT_SVC_AVAIL</t>
  </si>
  <si>
    <t>LAWFUL_COLLABORATIVE</t>
  </si>
  <si>
    <t>Web site</t>
  </si>
  <si>
    <t>N/A</t>
  </si>
  <si>
    <t>Complete this page, print it and have it signed.  Indicate any changes or corrections to data shown.</t>
  </si>
  <si>
    <t xml:space="preserve"> # of Months in Reporting Year</t>
  </si>
  <si>
    <t>OWNER_HCCIS_ID</t>
  </si>
  <si>
    <t>Yes</t>
  </si>
  <si>
    <t>No</t>
  </si>
  <si>
    <t>Printed or Typed:</t>
  </si>
  <si>
    <t>Date:</t>
  </si>
  <si>
    <t>Position:</t>
  </si>
  <si>
    <t>Fiscal Year</t>
  </si>
  <si>
    <t>Address</t>
  </si>
  <si>
    <t>City</t>
  </si>
  <si>
    <t>Zip Code</t>
  </si>
  <si>
    <t>Check Type of Affiliation(s):</t>
  </si>
  <si>
    <t>Owned</t>
  </si>
  <si>
    <t>Managed</t>
  </si>
  <si>
    <t>Leased</t>
  </si>
  <si>
    <t>County</t>
  </si>
  <si>
    <t>Title</t>
  </si>
  <si>
    <t>State</t>
  </si>
  <si>
    <t>Direct Phone #</t>
  </si>
  <si>
    <t>Fax #</t>
  </si>
  <si>
    <t>Name of Person completing this form</t>
  </si>
  <si>
    <t>Administrator's Name</t>
  </si>
  <si>
    <t>Administrator's Title</t>
  </si>
  <si>
    <t>NPI</t>
  </si>
  <si>
    <t>National Provider Identifier</t>
  </si>
  <si>
    <t>HCCIS_ID</t>
  </si>
  <si>
    <t>RPT_YEAR</t>
  </si>
  <si>
    <t>CODE</t>
  </si>
  <si>
    <t>VALUE</t>
  </si>
  <si>
    <t>FORMSET_TYPE_ID</t>
  </si>
  <si>
    <t>System Affiliation 3</t>
  </si>
  <si>
    <t>Affiliation Type 3</t>
  </si>
  <si>
    <t>Additional Formatting within the formset:</t>
  </si>
  <si>
    <t>a</t>
  </si>
  <si>
    <t>b</t>
  </si>
  <si>
    <t>c</t>
  </si>
  <si>
    <t>d</t>
  </si>
  <si>
    <t>All items in the formset are REQUIRED unless otherwise noted.</t>
  </si>
  <si>
    <t>Courtesy Contact 1</t>
  </si>
  <si>
    <t>Courtesy Contact 2</t>
  </si>
  <si>
    <t>CFO's Name</t>
  </si>
  <si>
    <t>Total Major Capital Expenditure Commitments (for projects listed in code 7595 above)</t>
  </si>
  <si>
    <t>Medical Equipment</t>
  </si>
  <si>
    <t>Building and Space</t>
  </si>
  <si>
    <t>Other Capital Expenditures</t>
  </si>
  <si>
    <t>Total Capital Expenditures</t>
  </si>
  <si>
    <t>Patient Care Services</t>
  </si>
  <si>
    <t>Cardiac Care</t>
  </si>
  <si>
    <t>Chemical Dependency</t>
  </si>
  <si>
    <t>Mental Health</t>
  </si>
  <si>
    <t>Neurology</t>
  </si>
  <si>
    <t>Obstetrics</t>
  </si>
  <si>
    <t>Orthopedics</t>
  </si>
  <si>
    <t>Capital Expenditure Detail by Project</t>
  </si>
  <si>
    <t>Project 1</t>
  </si>
  <si>
    <t>back to formset</t>
  </si>
  <si>
    <t>Date of Spending Commitment</t>
  </si>
  <si>
    <t>Radiation Therapy</t>
  </si>
  <si>
    <t>Rehabilitation</t>
  </si>
  <si>
    <t>Surgery</t>
  </si>
  <si>
    <t>Other Patient Care Services</t>
  </si>
  <si>
    <t>MRI</t>
  </si>
  <si>
    <t>CT</t>
  </si>
  <si>
    <t>PET</t>
  </si>
  <si>
    <t>Other Imaging</t>
  </si>
  <si>
    <t>General Infrastructure</t>
  </si>
  <si>
    <t>Building, Renovation, Non-Patient</t>
  </si>
  <si>
    <t>Computer, Laboratory, Phone, or Monitoring</t>
  </si>
  <si>
    <t>Electronic Medical Records</t>
  </si>
  <si>
    <t>Total Major Capital Expenditure Commitment Expense</t>
  </si>
  <si>
    <t>Emergency / Urgent Care</t>
  </si>
  <si>
    <t>script for loading data</t>
  </si>
  <si>
    <t>cap exp</t>
  </si>
  <si>
    <t xml:space="preserve">A drop down box located in the upper left part of the screen lists several ‘key’ accounts.  You can jump directly to a specific account by selecting it in the box. </t>
  </si>
  <si>
    <t>mailing address</t>
  </si>
  <si>
    <t>physical location of facility</t>
  </si>
  <si>
    <t>Zip5</t>
  </si>
  <si>
    <t>System Affiliation 1</t>
  </si>
  <si>
    <t>Affiliation Type 1</t>
  </si>
  <si>
    <t>System Affiliation 2</t>
  </si>
  <si>
    <t>Affiliation Type 2</t>
  </si>
  <si>
    <t>Contact Information</t>
  </si>
  <si>
    <t>Organization Name</t>
  </si>
  <si>
    <t>Affiliations</t>
  </si>
  <si>
    <t>Administrator's e-mail</t>
  </si>
  <si>
    <t>org name</t>
  </si>
  <si>
    <t xml:space="preserve">City </t>
  </si>
  <si>
    <t>Courtesy Contact Name</t>
  </si>
  <si>
    <t>Definition</t>
  </si>
  <si>
    <t>Label</t>
  </si>
  <si>
    <t>Code</t>
  </si>
  <si>
    <t>start of formset</t>
  </si>
  <si>
    <t>Allina Hospitals and Clinics</t>
  </si>
  <si>
    <t>Fairview Health Services</t>
  </si>
  <si>
    <t>Reporting Entity Phone #</t>
  </si>
  <si>
    <t>Reporting Entity Fax #</t>
  </si>
  <si>
    <t>Reporting Entity Identification</t>
  </si>
  <si>
    <t>System ID</t>
  </si>
  <si>
    <t>Capital Expenditure Retrospective Review Reporting
for a Health Care System</t>
  </si>
  <si>
    <t>Reporting Entity Web Site Address</t>
  </si>
  <si>
    <t>The date the project was authorized by an Executive or Board of Directors.</t>
  </si>
  <si>
    <t>MA Address</t>
  </si>
  <si>
    <t>MA Multiple unit</t>
  </si>
  <si>
    <t>MA City</t>
  </si>
  <si>
    <t>MA County</t>
  </si>
  <si>
    <t>MA State</t>
  </si>
  <si>
    <t>MA Zip5</t>
  </si>
  <si>
    <t>MA Zip4</t>
  </si>
  <si>
    <t>FP First Name</t>
  </si>
  <si>
    <t>FP Last Name</t>
  </si>
  <si>
    <t>FP Title</t>
  </si>
  <si>
    <t>FP Phone</t>
  </si>
  <si>
    <t>FP Extension</t>
  </si>
  <si>
    <t>FP Fax</t>
  </si>
  <si>
    <t>FP e-mail</t>
  </si>
  <si>
    <t>FP Address</t>
  </si>
  <si>
    <t>FP Multiple unit</t>
  </si>
  <si>
    <t>FP City</t>
  </si>
  <si>
    <t>FP County</t>
  </si>
  <si>
    <t>FP State</t>
  </si>
  <si>
    <t>FP Zip</t>
  </si>
  <si>
    <t>FP Zip4</t>
  </si>
  <si>
    <t>FP org name</t>
  </si>
  <si>
    <t>CC1 First Name</t>
  </si>
  <si>
    <t>CC1 Last Name</t>
  </si>
  <si>
    <t>CC1 Title</t>
  </si>
  <si>
    <t>CC1 Phone</t>
  </si>
  <si>
    <t>CC1 Extension</t>
  </si>
  <si>
    <t>CC1 Fax</t>
  </si>
  <si>
    <t>CC1 e-mail</t>
  </si>
  <si>
    <t>CC1 Address</t>
  </si>
  <si>
    <t>CC1 Multiple unit</t>
  </si>
  <si>
    <t>CC1 City</t>
  </si>
  <si>
    <t>CC1 County</t>
  </si>
  <si>
    <t>CC1 State</t>
  </si>
  <si>
    <t>CC1 Zip</t>
  </si>
  <si>
    <t>CC1 Zip4</t>
  </si>
  <si>
    <t>CC1 org name</t>
  </si>
  <si>
    <t>CC2 First Name</t>
  </si>
  <si>
    <t>CC2 Last Name</t>
  </si>
  <si>
    <t>CC2 Title</t>
  </si>
  <si>
    <t>CC2 Phone</t>
  </si>
  <si>
    <t>CC2 Extension</t>
  </si>
  <si>
    <t>CC2 Fax</t>
  </si>
  <si>
    <t>CC2 e-mail</t>
  </si>
  <si>
    <t>CC2 Address</t>
  </si>
  <si>
    <t>CC2 Multiple unit</t>
  </si>
  <si>
    <t>CC2 City</t>
  </si>
  <si>
    <t>CC2 County</t>
  </si>
  <si>
    <t>CC2 State</t>
  </si>
  <si>
    <t>CC2 Zip</t>
  </si>
  <si>
    <t>CC2 Zip4</t>
  </si>
  <si>
    <t>CXC First Name</t>
  </si>
  <si>
    <t>CXC Last Name</t>
  </si>
  <si>
    <t>CXC Title</t>
  </si>
  <si>
    <t>CXC Phone</t>
  </si>
  <si>
    <t>CXC Extension</t>
  </si>
  <si>
    <t>CXC Fax</t>
  </si>
  <si>
    <t>CXC e-mail</t>
  </si>
  <si>
    <t>CXC Address</t>
  </si>
  <si>
    <t>CXC Multiple unit</t>
  </si>
  <si>
    <t>CXC City</t>
  </si>
  <si>
    <t>CXC County</t>
  </si>
  <si>
    <t>CXC State</t>
  </si>
  <si>
    <t>CXC Zip</t>
  </si>
  <si>
    <t>CXC Zip4</t>
  </si>
  <si>
    <t>CXC org name</t>
  </si>
  <si>
    <t>FYE</t>
  </si>
  <si>
    <t>Months in YR</t>
  </si>
  <si>
    <t xml:space="preserve">“Major spending commitment” means an expenditure in excess of $1,000,000 for:
     (1) acquisition of a unit of medical equipment;
     (2) a capital expenditure for a single project for the
     purposes of providing health care services, other 
     than for the acquisition of medical equipment;
     (3) offering a new specialized service not 
     offered before;
     (4) planning for an activity that would qualify as a 
     major spending commitment under this 
     paragraph; or
     (5) a project involving a combination of two or 
     more of the activities in clauses (1) to (4).
The cost of acquisition of medical equipment, and the 
amount of a capital expenditure, is the total cost to the
provider regardless of whether the cost is distributed over
time through a lease arrangement or other financing or 
payment mechanism.
</t>
  </si>
  <si>
    <t>Projects Reported</t>
  </si>
  <si>
    <t>Total value of Projects Reported</t>
  </si>
  <si>
    <t>Vref</t>
  </si>
  <si>
    <t>entered</t>
  </si>
  <si>
    <t>vlookup</t>
  </si>
  <si>
    <t>System_Affiliation_1</t>
  </si>
  <si>
    <t>Affiliation_Type_1</t>
  </si>
  <si>
    <t>System_Affiliation_2</t>
  </si>
  <si>
    <t>Admin_First_ Name &amp;
Admin_Last_Name</t>
  </si>
  <si>
    <t>Affiliation_Type_2</t>
  </si>
  <si>
    <t>System_Affiliation_3</t>
  </si>
  <si>
    <t>Admin_Title</t>
  </si>
  <si>
    <t>Affiliation_Type_3</t>
  </si>
  <si>
    <t>Admin_e-mail</t>
  </si>
  <si>
    <t>CFO_Name</t>
  </si>
  <si>
    <t>Web Site</t>
  </si>
  <si>
    <t>MA-Address &amp;
MA-Mult Unit</t>
  </si>
  <si>
    <t>FP-Last_Name</t>
  </si>
  <si>
    <t>MA-City</t>
  </si>
  <si>
    <t>MA-County</t>
  </si>
  <si>
    <t>MA-State</t>
  </si>
  <si>
    <t>MA-Zip5 &amp;
MA-Zip4</t>
  </si>
  <si>
    <t>CC1-First_Name &amp;
CC1-Last_Name</t>
  </si>
  <si>
    <t>CC2-First_Name &amp;
CC2-Last_Name</t>
  </si>
  <si>
    <t>CC1-Last_Name</t>
  </si>
  <si>
    <t>CC2-Last_Name</t>
  </si>
  <si>
    <t>CC1-Title</t>
  </si>
  <si>
    <t>CC2-Title</t>
  </si>
  <si>
    <t>CC1-Org_Name</t>
  </si>
  <si>
    <t>CC2-Org_Name</t>
  </si>
  <si>
    <t>CC1-Address &amp;
CC1-Mult Unit</t>
  </si>
  <si>
    <t>CC2-Address &amp;
 CC-2-Mult Unit</t>
  </si>
  <si>
    <t>CC1-City</t>
  </si>
  <si>
    <t>CC2-City</t>
  </si>
  <si>
    <t>CC1-County</t>
  </si>
  <si>
    <t>CC2-County</t>
  </si>
  <si>
    <t>CC1-State</t>
  </si>
  <si>
    <t>CC2-State</t>
  </si>
  <si>
    <t>CC1-Zip5 &amp;
CC1-Zip4</t>
  </si>
  <si>
    <t>CC2-Zip5 &amp;
CC2-Zip4</t>
  </si>
  <si>
    <t>CC1-e-mail</t>
  </si>
  <si>
    <t>CC2-e-mail</t>
  </si>
  <si>
    <t>CC1-Phone</t>
  </si>
  <si>
    <t>CC2-Phone</t>
  </si>
  <si>
    <t>CC1-Ext</t>
  </si>
  <si>
    <t>CC2-Ext</t>
  </si>
  <si>
    <t>CC1-Fax</t>
  </si>
  <si>
    <t>CC2-Fax</t>
  </si>
  <si>
    <t>CXC-First_Name &amp;
CXC-Last_Name</t>
  </si>
  <si>
    <t>CXC-Title</t>
  </si>
  <si>
    <t>CXC-Org_Name</t>
  </si>
  <si>
    <t>CXC-City</t>
  </si>
  <si>
    <t>CXC-County</t>
  </si>
  <si>
    <t>CXC-State</t>
  </si>
  <si>
    <t>CXC-Zip5 &amp;
CXC-Zip4</t>
  </si>
  <si>
    <t>CXC-e-mail</t>
  </si>
  <si>
    <t>CXC-Phone</t>
  </si>
  <si>
    <t>CXC-Ext</t>
  </si>
  <si>
    <t>CXC-Fax</t>
  </si>
  <si>
    <t>THIS TAB IS HIDDEN FROM PROVIDER</t>
  </si>
  <si>
    <t>CER ID</t>
  </si>
  <si>
    <t>System Information</t>
  </si>
  <si>
    <t>System Name</t>
  </si>
  <si>
    <t>CXC-Address &amp;
 CXC-Mult Unit</t>
  </si>
  <si>
    <t>Mailing Address</t>
  </si>
  <si>
    <t>Cap Exp Formset Preparer</t>
  </si>
  <si>
    <t xml:space="preserve">Capital Expenditure Formset Preparer </t>
  </si>
  <si>
    <t>CER</t>
  </si>
  <si>
    <t xml:space="preserve">The CER System ID is for MDH staff reference only. </t>
  </si>
  <si>
    <t>Federal Tax ID</t>
  </si>
  <si>
    <t>NAIC Code</t>
  </si>
  <si>
    <t>NAIC Group</t>
  </si>
  <si>
    <t>Medicare</t>
  </si>
  <si>
    <t>Accounting Method</t>
  </si>
  <si>
    <t>Type of Practice</t>
  </si>
  <si>
    <t>Country</t>
  </si>
  <si>
    <t>International Code</t>
  </si>
  <si>
    <t>health.hccis@state.mn.us</t>
  </si>
  <si>
    <t xml:space="preserve">Minnesota Statutes, section 62J.17 requires that health care providers report all major capital spending commitments of $1 million or more to the Minnesota Department of Health. </t>
  </si>
  <si>
    <t>Minnesota Statutes,section 62J.17</t>
  </si>
  <si>
    <t>Providers are required to report major capital expenditures on an annual basis. The law previously required providers to report within 60 days after the date of the spending commitment.</t>
  </si>
  <si>
    <t xml:space="preserve">The Minnesota Department of Health (MDH) will continue retrospective reviews of major capital spending commitments, as required by Minnesota Statutes, section 62J.17, subd. 5a, and prospective reviews under certain circumstances, as specified by Minnesota Statutes, section 62J.17, subd. 6a. </t>
  </si>
  <si>
    <t>In order to complete the retrospective review on a particular project, MDH may request additional information about the project. Providers that fail retrospective review may become subject to prospective review of major capital spending commitments.</t>
  </si>
  <si>
    <t>MDH requires the use of the electronic spreadsheet in completing the formset as many of the fields are automatically calculated for you and have built in audits that will save you time and reduce the possibility of errors.</t>
  </si>
  <si>
    <t>Capital Expenditure Retrospective Review Reporting for a Health Care System</t>
  </si>
  <si>
    <t>Information for EACH project over 1 million needs to be submitted on this formset on the Capital Expend Project Specific tab. Reporting this information is required by Minnesota Statutes, section 62J.17, subdivision 2.</t>
  </si>
  <si>
    <t>THIS TAB IS HIDDEN FROM THE PROVIDER</t>
  </si>
  <si>
    <t>Major Spending Commitment</t>
  </si>
  <si>
    <t>Capital Expenditure</t>
  </si>
  <si>
    <t>Health Care Service</t>
  </si>
  <si>
    <t>A Capital Expenditure is an expenditure which, under generally accepted accounting principles, is not properly chargeable as an expense of operation and maintenance.</t>
  </si>
  <si>
    <t xml:space="preserve">Medical Equipments means fixed and movable equipment that is used by a provider in the provision of a health care service. </t>
  </si>
  <si>
    <t>New Specialized Service</t>
  </si>
  <si>
    <t>New Specialized Service means a specialized health care procedure or treatment regimen offered by a provider that was not previously offered by the provider.</t>
  </si>
  <si>
    <t>Specialty Care</t>
  </si>
  <si>
    <t>Specialty Care includes but is not limited to cardiac, neurology, orthopedic, obstetrics, mental health, chemical dependency, and emergency services.</t>
  </si>
  <si>
    <t>Exceptions</t>
  </si>
  <si>
    <t>Center for Diagnostic Imaging</t>
  </si>
  <si>
    <t>CentraCare Health System</t>
  </si>
  <si>
    <t>Children's Hospitals and Clinics</t>
  </si>
  <si>
    <t>HealthPartners, Inc.</t>
  </si>
  <si>
    <t>Sanford Health</t>
  </si>
  <si>
    <t>St. Luke's Hospital, Duluth</t>
  </si>
  <si>
    <t>Consulting Radiologists, LTD</t>
  </si>
  <si>
    <t>Park Nicollet Health Services</t>
  </si>
  <si>
    <t>St. Paul Radiology</t>
  </si>
  <si>
    <t>Mayo Clinic</t>
  </si>
  <si>
    <t>Retrospective Review Reporting Exceptions</t>
  </si>
  <si>
    <t>Return to Project Specific tab</t>
  </si>
  <si>
    <t>Minnesota Statutes Chapter 256B.0625</t>
  </si>
  <si>
    <t>x</t>
  </si>
  <si>
    <t>Suburban Imaging</t>
  </si>
  <si>
    <t>Intenstive Care (ICU or NICU)</t>
  </si>
  <si>
    <t>CER Sys ID</t>
  </si>
  <si>
    <t>Phone Ext</t>
  </si>
  <si>
    <t>Capital Expenditure Formset Preparer (required)</t>
  </si>
  <si>
    <t>Courtesy Contact 1 (optional)</t>
  </si>
  <si>
    <t>Courtesy Contact 2 (optional)</t>
  </si>
  <si>
    <t>Formset Preparer (See Cap Exp Contact (CXC) information)</t>
  </si>
  <si>
    <t>2910 Centre Pointe Drive</t>
  </si>
  <si>
    <t>ROSEVILLE</t>
  </si>
  <si>
    <t>RAMSEY</t>
  </si>
  <si>
    <t>Dave</t>
  </si>
  <si>
    <t>Overman</t>
  </si>
  <si>
    <t>Chief Operating Officer</t>
  </si>
  <si>
    <t>dave.overman@childrensmn.org</t>
  </si>
  <si>
    <t>Janet</t>
  </si>
  <si>
    <t>McCarthy</t>
  </si>
  <si>
    <t>Government Reporting Supervisor</t>
  </si>
  <si>
    <t>janet.mccarthy@childrensmn.org</t>
  </si>
  <si>
    <t>www.childrensmn.org</t>
  </si>
  <si>
    <t>Consulting Radiologists, Ltd.</t>
  </si>
  <si>
    <t>MINNEAPOLIS</t>
  </si>
  <si>
    <t>HENNEPIN</t>
  </si>
  <si>
    <t>Sr. Business Consultant</t>
  </si>
  <si>
    <t>www.fairview.org</t>
  </si>
  <si>
    <t>Suite 400</t>
  </si>
  <si>
    <t>Essentia Community Hospitals and Clinics (ECHC)</t>
  </si>
  <si>
    <t>915 East First Street</t>
  </si>
  <si>
    <t>DULUTH</t>
  </si>
  <si>
    <t>ST. LOUIS</t>
  </si>
  <si>
    <t>John</t>
  </si>
  <si>
    <t>Strange</t>
  </si>
  <si>
    <t>President/CEO</t>
  </si>
  <si>
    <t>jstrange@slhduluth.com</t>
  </si>
  <si>
    <t>James Wuellner</t>
  </si>
  <si>
    <t>Ann</t>
  </si>
  <si>
    <t>Coleman</t>
  </si>
  <si>
    <t>Manager, Accounting</t>
  </si>
  <si>
    <t>acoleman@slhduluth.com</t>
  </si>
  <si>
    <t>Mike</t>
  </si>
  <si>
    <t>Feiro</t>
  </si>
  <si>
    <t>Manager, Decision Support</t>
  </si>
  <si>
    <t>mfeiro@slhduluth.com</t>
  </si>
  <si>
    <t>www.slhduluth.com</t>
  </si>
  <si>
    <t>Central Minnesota Diagnostics, Inc.</t>
  </si>
  <si>
    <t>MILACA</t>
  </si>
  <si>
    <t>150 Tenth Street NW</t>
  </si>
  <si>
    <t>MILLE LACS</t>
  </si>
  <si>
    <t>PO Box 158</t>
  </si>
  <si>
    <t>Jody</t>
  </si>
  <si>
    <t>Link</t>
  </si>
  <si>
    <t>Central Minnesota Diagnostic, Inc.</t>
  </si>
  <si>
    <t>jlink1@fairview.org</t>
  </si>
  <si>
    <t>www.cmdi.org</t>
  </si>
  <si>
    <t>Central Minnesota Diagnostic, Inc</t>
  </si>
  <si>
    <t>Twin Cities Orthopedics</t>
  </si>
  <si>
    <t>EDINA</t>
  </si>
  <si>
    <t>Troy</t>
  </si>
  <si>
    <t>Simonson</t>
  </si>
  <si>
    <t>AmSurg Corp</t>
  </si>
  <si>
    <t>Imaging Solutions, Inc.</t>
  </si>
  <si>
    <t>1406 Sixth Avenue North</t>
  </si>
  <si>
    <t>ST. CLOUD</t>
  </si>
  <si>
    <t>STEARNS</t>
  </si>
  <si>
    <t>Terence</t>
  </si>
  <si>
    <t>Pladson</t>
  </si>
  <si>
    <t>President, CEO CentraCare Health System</t>
  </si>
  <si>
    <t>pladsont@centracare.com</t>
  </si>
  <si>
    <t>Greg Klugherz</t>
  </si>
  <si>
    <t>Christy</t>
  </si>
  <si>
    <t>Meirhofer</t>
  </si>
  <si>
    <t>Financial Planning Specialist</t>
  </si>
  <si>
    <t>St, Cloud Hospital</t>
  </si>
  <si>
    <t>meierhoferc@centracare.com</t>
  </si>
  <si>
    <t>www.centracare.com</t>
  </si>
  <si>
    <t>8170 33rd Avenue South</t>
  </si>
  <si>
    <t>BLOOMINGTON</t>
  </si>
  <si>
    <t>Group Health Plan, Inc.</t>
  </si>
  <si>
    <t>www.healthpartners.com</t>
  </si>
  <si>
    <t>3800 Park Nicollet Boulevard</t>
  </si>
  <si>
    <t>ST. LOUIS PARK</t>
  </si>
  <si>
    <t>Patricia</t>
  </si>
  <si>
    <t>Harris</t>
  </si>
  <si>
    <t>harrip@parknicollet.com</t>
  </si>
  <si>
    <t>5050 Excelsior Boulevard</t>
  </si>
  <si>
    <t>LOCATION</t>
  </si>
  <si>
    <t>Todd</t>
  </si>
  <si>
    <t>200 First Street SW</t>
  </si>
  <si>
    <t>ROCHESTER</t>
  </si>
  <si>
    <t>OLMSTED</t>
  </si>
  <si>
    <t>Daniel</t>
  </si>
  <si>
    <t>Bulger</t>
  </si>
  <si>
    <t>Mgr Fin &amp; Acctg Svcs</t>
  </si>
  <si>
    <t>bulger.daniel@mayo.edu</t>
  </si>
  <si>
    <t>www.mayoclinic.com</t>
  </si>
  <si>
    <t>Sr. Financial Analyst - Capital</t>
  </si>
  <si>
    <t>4200 Dahlberg Drive</t>
  </si>
  <si>
    <t>Suite 300</t>
  </si>
  <si>
    <t>GOLDEN VALLEY</t>
  </si>
  <si>
    <t>CEO</t>
  </si>
  <si>
    <t>troysimonson@tcomn.com</t>
  </si>
  <si>
    <t>Alan Ness</t>
  </si>
  <si>
    <t>same as facility</t>
  </si>
  <si>
    <t>www.tcomn.com</t>
  </si>
  <si>
    <t>Distance to the location of the nearest equivalent service or technology</t>
  </si>
  <si>
    <t>Indirect Patient Care</t>
  </si>
  <si>
    <t>Laboratory</t>
  </si>
  <si>
    <t>Non-Patient Care</t>
  </si>
  <si>
    <t>Radiology</t>
  </si>
  <si>
    <t>Proj. ID</t>
  </si>
  <si>
    <t>Project Location or Facility Name</t>
  </si>
  <si>
    <t xml:space="preserve"> Project Address</t>
  </si>
  <si>
    <t>Project City</t>
  </si>
  <si>
    <t>Project Cost</t>
  </si>
  <si>
    <t>Actual Commitment Date</t>
  </si>
  <si>
    <t>Definition of Spending Commitment Date</t>
  </si>
  <si>
    <t>CAP_EXP_RR_TBL</t>
  </si>
  <si>
    <t>CER_PROJECT_TYPE_TBL</t>
  </si>
  <si>
    <t>SYSTEM_ID</t>
  </si>
  <si>
    <t>PROJECT_ID</t>
  </si>
  <si>
    <t>PROJECT_TYPE_ID</t>
  </si>
  <si>
    <t>For MDH Staff</t>
  </si>
  <si>
    <t>Project Number 1</t>
  </si>
  <si>
    <t>Project Number 2</t>
  </si>
  <si>
    <t>Project Number 3</t>
  </si>
  <si>
    <t>Project 2</t>
  </si>
  <si>
    <t>hccis.cer_project_type_tbl  data load</t>
  </si>
  <si>
    <t>Cap_Exp_RR_TBL Data Load</t>
  </si>
  <si>
    <t>Project Type</t>
  </si>
  <si>
    <t>ProjType</t>
  </si>
  <si>
    <t>Health Information Technology</t>
  </si>
  <si>
    <t>Subtype1</t>
  </si>
  <si>
    <t>Inpatient Hospital</t>
  </si>
  <si>
    <t>Diagnostic Imaging Center</t>
  </si>
  <si>
    <t>Outpatient Surgery Center</t>
  </si>
  <si>
    <t>Subtype2</t>
  </si>
  <si>
    <t>Emergency Services</t>
  </si>
  <si>
    <t>Oncology</t>
  </si>
  <si>
    <t>Other Patient Care</t>
  </si>
  <si>
    <t>Peri-Operative Care</t>
  </si>
  <si>
    <t>Pharmacy</t>
  </si>
  <si>
    <t>Primary Care/Family Medicine</t>
  </si>
  <si>
    <t>Urgent Care</t>
  </si>
  <si>
    <t>Project Subtype 3</t>
  </si>
  <si>
    <t>Anesthesia</t>
  </si>
  <si>
    <t>Angiography or Arteriography</t>
  </si>
  <si>
    <t>Chemical Dependency/Detoxification</t>
  </si>
  <si>
    <t>Computer, Phone, or Monitoring</t>
  </si>
  <si>
    <t>Dialysis</t>
  </si>
  <si>
    <t>Geriatrics</t>
  </si>
  <si>
    <t>Inpatient Bed Expansion (single occupancy)</t>
  </si>
  <si>
    <t>Inpatient Bed Expansion (double occupancy)</t>
  </si>
  <si>
    <t>Nursery</t>
  </si>
  <si>
    <t>Operating Room</t>
  </si>
  <si>
    <t>Pediatrics</t>
  </si>
  <si>
    <t>Robotic Surgery</t>
  </si>
  <si>
    <t>Project Subtype 1</t>
  </si>
  <si>
    <t>Project Subtype 2</t>
  </si>
  <si>
    <t>Subtype3</t>
  </si>
  <si>
    <t>Miles</t>
  </si>
  <si>
    <t>Please describe any lawful collaborative arrangements, including the type of collaboration, the partnership name, the names of the partners, a description of their involvement and any other information that will facilitate a complete review of this project.</t>
  </si>
  <si>
    <t>Please provide details regarding improved access to care.</t>
  </si>
  <si>
    <t>What was the capacity level prior to expansion or added equipment?</t>
  </si>
  <si>
    <t>0-20% occupied or used</t>
  </si>
  <si>
    <t>20-50% occupied or used</t>
  </si>
  <si>
    <t>50-80% occupied or used</t>
  </si>
  <si>
    <t>Over 80% occupied or used</t>
  </si>
  <si>
    <t>PRIOR_CAPACITY</t>
  </si>
  <si>
    <t>DESC_ACCESS</t>
  </si>
  <si>
    <t>Project_Type_Table Elements</t>
  </si>
  <si>
    <t>Prior Capacity (PriorCap)</t>
  </si>
  <si>
    <t>MORE_EFFECTIVE</t>
  </si>
  <si>
    <t>EFFECTIVE_EVIDENCE</t>
  </si>
  <si>
    <t>Building and Space &amp; Medical Equipment</t>
  </si>
  <si>
    <t>Other Women's &amp; Children's Patient Care</t>
  </si>
  <si>
    <t>Critical Care (ICU or NICU)</t>
  </si>
  <si>
    <t>Other Specialty Care</t>
  </si>
  <si>
    <t>Infusion</t>
  </si>
  <si>
    <t>Other Health Information Technology</t>
  </si>
  <si>
    <t>Other Medical/Surgical Care</t>
  </si>
  <si>
    <t>Outpatient Hospital or Hospital-Based Clinic(s)</t>
  </si>
  <si>
    <t>Physician Clinic(s)</t>
  </si>
  <si>
    <t>Please provide details regarding improved patient quality and/or clinical effectiveness of care.</t>
  </si>
  <si>
    <t>Yes, quality and/or effectiveness is supported by evidence</t>
  </si>
  <si>
    <t>No, quality and/or effectiveness is not supported by evidence</t>
  </si>
  <si>
    <t>Inpatient &amp; Outpatient Hosptial</t>
  </si>
  <si>
    <t>Multiple Specialty Areas</t>
  </si>
  <si>
    <t>Clinical Practice Space</t>
  </si>
  <si>
    <t>Other Surgical Equipment</t>
  </si>
  <si>
    <t>Ambulatory Care</t>
  </si>
  <si>
    <t>Please provide any additional information describing how the project improves patient quality or clinical effectiveness of care.</t>
  </si>
  <si>
    <t>Please list the source(s) of evidence for improved quality and/or clinical effectiveness.</t>
  </si>
  <si>
    <t>Please list the closest providers (name and town/city) of equivalent services or technology currently available within 10 miles.</t>
  </si>
  <si>
    <t>Please provide any additional information regarding how this project improves access to care.</t>
  </si>
  <si>
    <t>Medical Education</t>
  </si>
  <si>
    <t>Building Maintenance</t>
  </si>
  <si>
    <t>Non-Patient Care Services</t>
  </si>
  <si>
    <t>This information is required by Minnesota Statutes, section 62J.17, subdivision 5a in order for the Minnesota Department of Health (MDH) to complete a retrospective review of commitments made for each project totaling over $1 million. If you have questions about completing this information, please contact health.hccis@state.mn.us.</t>
  </si>
  <si>
    <t>Change in Ownership Resulting in
Non-Expansion in Service Capacity</t>
  </si>
  <si>
    <t>LOC_NAME</t>
  </si>
  <si>
    <t>Computed Tomography (CT) - Replacement</t>
  </si>
  <si>
    <t>Magnetic Resonance Imaging (MRI) - Replacement</t>
  </si>
  <si>
    <t>PET/CT - New</t>
  </si>
  <si>
    <t>PET/CT - Replacement</t>
  </si>
  <si>
    <t>Positron Emission Tomography (PET) - Replacement</t>
  </si>
  <si>
    <t>Single-Photon Emission CT (SPECT) - Replacement</t>
  </si>
  <si>
    <t>SPECT/CT - Replacement</t>
  </si>
  <si>
    <t>Does the project involve new or increased capacity?</t>
  </si>
  <si>
    <t>Computed Tomography (CT) - Additional</t>
  </si>
  <si>
    <t>Magnetic Resonance Imaging (MRI) - Additional</t>
  </si>
  <si>
    <t>Positron Emission Tomography (PET) - Additional</t>
  </si>
  <si>
    <t>Single-Photon Emission CT (SPECT) - Additional</t>
  </si>
  <si>
    <t>SPECT/CT - Additional</t>
  </si>
  <si>
    <t>Exceptions Definitions</t>
  </si>
  <si>
    <t>No Increase in Capacity</t>
  </si>
  <si>
    <t>ACCESS</t>
  </si>
  <si>
    <t>Yes, Capacity will be Increased</t>
  </si>
  <si>
    <t>CAPACITY</t>
  </si>
  <si>
    <t>IMPACT</t>
  </si>
  <si>
    <t>Impact</t>
  </si>
  <si>
    <t>DESC_EVIDENCE</t>
  </si>
  <si>
    <t>Evidence</t>
  </si>
  <si>
    <t>Are equivalent services available within 30 miles for your patient population?</t>
  </si>
  <si>
    <t>REMOTE_ACCESS</t>
  </si>
  <si>
    <t>Please select elements of your project from as many drop down menus as apply.</t>
  </si>
  <si>
    <t>Remote Access</t>
  </si>
  <si>
    <t>Yes, services are available within 30 miles</t>
  </si>
  <si>
    <t>No, services are not available within 30 miles</t>
  </si>
  <si>
    <t>Capacity</t>
  </si>
  <si>
    <t>Yes, project will improve patient quality and/or clinical effectiveness</t>
  </si>
  <si>
    <t>No, project will not improve patient quality and/or clinical effectiveness</t>
  </si>
  <si>
    <t>Title and General Description of the Project</t>
  </si>
  <si>
    <t>Are any improvements in quality or clinical effectiveness supported by evidence?</t>
  </si>
  <si>
    <t>Please provide a description of alternatives considered and why more or less cost effective options were discarded.</t>
  </si>
  <si>
    <t>ALTERNATIVES</t>
  </si>
  <si>
    <t>Does the project result in improved patient quality and/or more effective clinical care than prior to the expenditure?</t>
  </si>
  <si>
    <t>What is the General Purpose of the Project?</t>
  </si>
  <si>
    <t>CAP_EXP_RR_TYPE_TBL</t>
  </si>
  <si>
    <t>for DI, FOSC, and Systems</t>
  </si>
  <si>
    <t>for HAR</t>
  </si>
  <si>
    <t>DESC_ALTERNATIVES</t>
  </si>
  <si>
    <t>EXCL_MEDED</t>
  </si>
  <si>
    <t>EXCL_BLGDMNT</t>
  </si>
  <si>
    <t>EXCL_NONPT</t>
  </si>
  <si>
    <t>EXCL_OWNCHG</t>
  </si>
  <si>
    <t>Project 3</t>
  </si>
  <si>
    <t>Project 4</t>
  </si>
  <si>
    <t>Project 5</t>
  </si>
  <si>
    <t>Project 6</t>
  </si>
  <si>
    <t>Project 7</t>
  </si>
  <si>
    <t>Project 8</t>
  </si>
  <si>
    <t>Project 9</t>
  </si>
  <si>
    <t>Project 10</t>
  </si>
  <si>
    <t>Project 11</t>
  </si>
  <si>
    <t>Project 12</t>
  </si>
  <si>
    <t>Project Number 4</t>
  </si>
  <si>
    <t>Project Number 5</t>
  </si>
  <si>
    <t>Project Number 6</t>
  </si>
  <si>
    <t>Project Number 7</t>
  </si>
  <si>
    <t>Project Number 8</t>
  </si>
  <si>
    <t>Project Number 9</t>
  </si>
  <si>
    <t>Project Number 10</t>
  </si>
  <si>
    <t>Project Number 11</t>
  </si>
  <si>
    <t>Project Number 12</t>
  </si>
  <si>
    <t>COLUMNS S and to the right of S are HIDDEN FROM PROVIDER</t>
  </si>
  <si>
    <t>Affiliated Community Medical Centers, P.A.</t>
  </si>
  <si>
    <t>WILLMAR</t>
  </si>
  <si>
    <t>101 Willmar Avenue SW</t>
  </si>
  <si>
    <t>KANDIYOHI</t>
  </si>
  <si>
    <t>Terry</t>
  </si>
  <si>
    <t>Tone</t>
  </si>
  <si>
    <t>Administrator</t>
  </si>
  <si>
    <t>terryt@acmc.com</t>
  </si>
  <si>
    <t>Thomas Rozendaal</t>
  </si>
  <si>
    <t>Thomas</t>
  </si>
  <si>
    <t>Rozendaal</t>
  </si>
  <si>
    <t>CFO</t>
  </si>
  <si>
    <t>tomr@acmc.com</t>
  </si>
  <si>
    <t>www.acmc.com</t>
  </si>
  <si>
    <t>Affiliated Community Medical Centers</t>
  </si>
  <si>
    <t>2925 Chicago Avenue South</t>
  </si>
  <si>
    <t>Vice President of Finance</t>
  </si>
  <si>
    <t>Kim</t>
  </si>
  <si>
    <t>Dembsky</t>
  </si>
  <si>
    <t>Director</t>
  </si>
  <si>
    <t>Allina Health</t>
  </si>
  <si>
    <t>kim.dembsky@allina.com</t>
  </si>
  <si>
    <t>Allina Health System</t>
  </si>
  <si>
    <t>Emergency Physicians Professional Association (EPPA)</t>
  </si>
  <si>
    <t>MINNETONKA</t>
  </si>
  <si>
    <t>5435 Feltl Road</t>
  </si>
  <si>
    <t>Klassen</t>
  </si>
  <si>
    <t>COO</t>
  </si>
  <si>
    <t>tklassen@emer-phys.com</t>
  </si>
  <si>
    <t>Kristi</t>
  </si>
  <si>
    <t>Rennich</t>
  </si>
  <si>
    <t>Director of Finance</t>
  </si>
  <si>
    <t>Emergency Physicians, P.A.</t>
  </si>
  <si>
    <t>krennich@emer-phys.com</t>
  </si>
  <si>
    <t>Wendy</t>
  </si>
  <si>
    <t>Jackson</t>
  </si>
  <si>
    <t>Sr. Financial Analyst</t>
  </si>
  <si>
    <t>wjackson@emer-phys.com</t>
  </si>
  <si>
    <t>www.urgencyroom.com</t>
  </si>
  <si>
    <t>Emergency Physicians, P.A. (EPPA)</t>
  </si>
  <si>
    <t>PrairieCare</t>
  </si>
  <si>
    <t>659 Bielenberg Drive</t>
  </si>
  <si>
    <t>WOODBURY</t>
  </si>
  <si>
    <t>WASHINGTON</t>
  </si>
  <si>
    <t>CEO and Chief Medical Officer</t>
  </si>
  <si>
    <t>Joel</t>
  </si>
  <si>
    <t>Oberstar</t>
  </si>
  <si>
    <t>Jerry Magnison</t>
  </si>
  <si>
    <t>www.prairie-care.com</t>
  </si>
  <si>
    <t>Tracy.L.Johnson@state.mn.us</t>
  </si>
  <si>
    <t>5775 Wayzata Boulevard</t>
  </si>
  <si>
    <r>
      <t xml:space="preserve">Report all financial data in </t>
    </r>
    <r>
      <rPr>
        <b/>
        <i/>
        <sz val="10"/>
        <rFont val="Calibri"/>
        <family val="2"/>
      </rPr>
      <t>whole dollars</t>
    </r>
    <r>
      <rPr>
        <sz val="10"/>
        <rFont val="Calibri"/>
        <family val="2"/>
      </rPr>
      <t>.</t>
    </r>
  </si>
  <si>
    <r>
      <t xml:space="preserve">Audits have been added and will show as </t>
    </r>
    <r>
      <rPr>
        <b/>
        <sz val="10"/>
        <color indexed="10"/>
        <rFont val="Calibri"/>
        <family val="2"/>
      </rPr>
      <t>RED</t>
    </r>
    <r>
      <rPr>
        <sz val="10"/>
        <rFont val="Calibri"/>
        <family val="2"/>
      </rPr>
      <t xml:space="preserve"> text to the right of the potential error.</t>
    </r>
  </si>
  <si>
    <r>
      <t xml:space="preserve">Tips throughout the formset are highlighted in </t>
    </r>
    <r>
      <rPr>
        <sz val="10"/>
        <color indexed="10"/>
        <rFont val="Calibri"/>
        <family val="2"/>
      </rPr>
      <t>YELLOW</t>
    </r>
    <r>
      <rPr>
        <sz val="10"/>
        <rFont val="Calibri"/>
        <family val="2"/>
      </rPr>
      <t>.</t>
    </r>
  </si>
  <si>
    <r>
      <t xml:space="preserve">Many </t>
    </r>
    <r>
      <rPr>
        <u/>
        <sz val="10"/>
        <color indexed="12"/>
        <rFont val="Calibri"/>
        <family val="2"/>
      </rPr>
      <t>hyperlinks</t>
    </r>
    <r>
      <rPr>
        <sz val="10"/>
        <rFont val="Calibri"/>
        <family val="2"/>
      </rPr>
      <t xml:space="preserve"> also appear throughout the formset for ease of navigation.</t>
    </r>
  </si>
  <si>
    <r>
      <t>Mailing Address</t>
    </r>
    <r>
      <rPr>
        <sz val="10"/>
        <rFont val="Calibri"/>
        <family val="2"/>
      </rPr>
      <t xml:space="preserve"> for Reporting Entity</t>
    </r>
  </si>
  <si>
    <r>
      <t xml:space="preserve">Total number of Capital Expenditure </t>
    </r>
    <r>
      <rPr>
        <b/>
        <i/>
        <sz val="10"/>
        <rFont val="Calibri"/>
        <family val="2"/>
      </rPr>
      <t>projects</t>
    </r>
    <r>
      <rPr>
        <sz val="10"/>
        <rFont val="Calibri"/>
        <family val="2"/>
      </rPr>
      <t xml:space="preserve"> over $1 million dollars each</t>
    </r>
  </si>
  <si>
    <r>
      <t xml:space="preserve">For all projects that are over 1 million, report the detail in this section.  Note that the parts of any project </t>
    </r>
    <r>
      <rPr>
        <b/>
        <i/>
        <sz val="10"/>
        <color indexed="16"/>
        <rFont val="Calibri"/>
        <family val="2"/>
      </rPr>
      <t>can</t>
    </r>
    <r>
      <rPr>
        <sz val="10"/>
        <color indexed="16"/>
        <rFont val="Calibri"/>
        <family val="2"/>
      </rPr>
      <t xml:space="preserve"> be reported in more than one category, but should </t>
    </r>
    <r>
      <rPr>
        <b/>
        <i/>
        <sz val="10"/>
        <color indexed="16"/>
        <rFont val="Calibri"/>
        <family val="2"/>
      </rPr>
      <t>not</t>
    </r>
    <r>
      <rPr>
        <sz val="10"/>
        <color indexed="16"/>
        <rFont val="Calibri"/>
        <family val="2"/>
      </rPr>
      <t xml:space="preserve"> be double counted. Reporting this information is required by Minnesota Statutes, section 62J.17, subdivision 2.</t>
    </r>
  </si>
  <si>
    <r>
      <t>Diagnostic Imaging</t>
    </r>
    <r>
      <rPr>
        <sz val="10"/>
        <rFont val="Calibri"/>
        <family val="2"/>
      </rPr>
      <t xml:space="preserve"> (includes new </t>
    </r>
    <r>
      <rPr>
        <i/>
        <sz val="10"/>
        <rFont val="Calibri"/>
        <family val="2"/>
      </rPr>
      <t>and</t>
    </r>
    <r>
      <rPr>
        <sz val="10"/>
        <rFont val="Calibri"/>
        <family val="2"/>
      </rPr>
      <t xml:space="preserve"> replacement equipment)</t>
    </r>
  </si>
  <si>
    <r>
      <t>Retrospective Review Exceptions
(please indicate if this project falls</t>
    </r>
    <r>
      <rPr>
        <b/>
        <i/>
        <sz val="10"/>
        <color indexed="16"/>
        <rFont val="Calibri"/>
        <family val="2"/>
      </rPr>
      <t xml:space="preserve">
</t>
    </r>
    <r>
      <rPr>
        <b/>
        <sz val="10"/>
        <color indexed="16"/>
        <rFont val="Calibri"/>
        <family val="2"/>
      </rPr>
      <t>in any of the following categories)</t>
    </r>
  </si>
  <si>
    <r>
      <t xml:space="preserve">Health Care Service means: 
   1) a service or item that would be covered by the medical assistance program under Minnesota Statutes Chapter 256B if provided in accordance with medical assistance requirements to an eligible medical assistance recipient; and 
   2) a service or item that would be covered by medical assistance except that it is characterized as experimental, cosmetic, or voluntary.
Health Care Service </t>
    </r>
    <r>
      <rPr>
        <b/>
        <sz val="11"/>
        <rFont val="Calibri"/>
        <family val="2"/>
      </rPr>
      <t xml:space="preserve">DOES NOT INCLUDE:
   </t>
    </r>
    <r>
      <rPr>
        <sz val="11"/>
        <rFont val="Calibri"/>
        <family val="2"/>
      </rPr>
      <t>retail, over-the-counter sales of nonprescription drugs and other retail sales of health-related products that are not generally paid for by medical assistance and other third-party coverage.</t>
    </r>
  </si>
  <si>
    <r>
      <t>Enter this number if you have been assigned an NPI from the Centers for Medicare &amp; Medicaid Services (CMS).  See</t>
    </r>
    <r>
      <rPr>
        <u/>
        <sz val="11"/>
        <color indexed="12"/>
        <rFont val="Calibri"/>
        <family val="2"/>
      </rPr>
      <t xml:space="preserve"> http://www.cms.hhs.gov/NationalProvIdentStand/ </t>
    </r>
    <r>
      <rPr>
        <sz val="11"/>
        <rFont val="Calibri"/>
        <family val="2"/>
      </rPr>
      <t>for more information.</t>
    </r>
  </si>
  <si>
    <r>
      <t xml:space="preserve">Capital Expenditure Retrospective Review reporting requirements </t>
    </r>
    <r>
      <rPr>
        <b/>
        <sz val="11"/>
        <rFont val="Calibri"/>
        <family val="2"/>
      </rPr>
      <t>do not apply</t>
    </r>
    <r>
      <rPr>
        <sz val="11"/>
        <rFont val="Calibri"/>
        <family val="2"/>
      </rPr>
      <t xml:space="preserve"> to the following capital activities:
  1) a major spending commitment made by a research and teaching institution for purposes of conducting medical education, medical research supported or sponsored by a medical school, or by a federal or foundation grant or clinical trials;
  2) a major spending commitment for building maintenance including heating, water, electricity, and other maintenance-related expenditures; and
  3) a major spending commitment for activities, not directly related to the delivery of patient care services, including food service, laundry, housekeeping, and other service-related activities.
  4) mergers, acquisitions, and other changes in ownership or control that, in the judgment of the commissioner, do not involve a substantial expansion of service capacity or a substantial change in the nature of health care services provided.</t>
    </r>
  </si>
  <si>
    <t>Becky Woitalwicz (Interim)</t>
  </si>
  <si>
    <t>Lucas</t>
  </si>
  <si>
    <t>Hinz</t>
  </si>
  <si>
    <t>lucas.hinz@childrensmn.org</t>
  </si>
  <si>
    <t>Vice President/Director of Operations</t>
  </si>
  <si>
    <r>
      <t xml:space="preserve">SUBMISSION REQUIREMENTS: 
</t>
    </r>
    <r>
      <rPr>
        <sz val="10"/>
        <rFont val="Calibri"/>
        <family val="2"/>
      </rPr>
      <t xml:space="preserve">Please </t>
    </r>
    <r>
      <rPr>
        <b/>
        <sz val="10"/>
        <rFont val="Calibri"/>
        <family val="2"/>
      </rPr>
      <t>e-mail the completed Microsoft Excel™</t>
    </r>
    <r>
      <rPr>
        <sz val="10"/>
        <rFont val="Calibri"/>
        <family val="2"/>
      </rPr>
      <t xml:space="preserve"> </t>
    </r>
    <r>
      <rPr>
        <b/>
        <sz val="10"/>
        <rFont val="Calibri"/>
        <family val="2"/>
      </rPr>
      <t>formset</t>
    </r>
    <r>
      <rPr>
        <sz val="10"/>
        <rFont val="Calibri"/>
        <family val="2"/>
      </rPr>
      <t xml:space="preserve"> to MDH at health.hccis@state.mn.us. </t>
    </r>
  </si>
  <si>
    <r>
      <t xml:space="preserve">Certification Statement: </t>
    </r>
    <r>
      <rPr>
        <b/>
        <sz val="14"/>
        <rFont val="Calibri"/>
        <family val="2"/>
      </rPr>
      <t>By adding my name below, I hereby certify that I have examined this Annual Report and to the best of my knowledge, the information contained in this report is accurate.</t>
    </r>
  </si>
  <si>
    <t>Richard Magnuson</t>
  </si>
  <si>
    <t>www.allina.com</t>
  </si>
  <si>
    <t>Larkin Hoffman Attorneys</t>
  </si>
  <si>
    <t>8300 Norman Center Drive</t>
  </si>
  <si>
    <t>Suite 1000</t>
  </si>
  <si>
    <t>MINEAPOLIS</t>
  </si>
  <si>
    <t>www.larkinhoffman.com</t>
  </si>
  <si>
    <t>MedExpress Urgent Care Minnesota P.C.</t>
  </si>
  <si>
    <t>1751 Earl Core Road</t>
  </si>
  <si>
    <t>MORGANTOWN</t>
  </si>
  <si>
    <t>WV</t>
  </si>
  <si>
    <t>President/Treasurer</t>
  </si>
  <si>
    <t>www.medexpress.com</t>
  </si>
  <si>
    <t>Essentia Health</t>
  </si>
  <si>
    <t>Freeman</t>
  </si>
  <si>
    <t>tfreeman@larkinhoffman.com</t>
  </si>
  <si>
    <t>MONONGALIA</t>
  </si>
  <si>
    <t>Kelly</t>
  </si>
  <si>
    <t>Sorice</t>
  </si>
  <si>
    <t>VP of Communications</t>
  </si>
  <si>
    <t>Matt</t>
  </si>
  <si>
    <t>Henderson</t>
  </si>
  <si>
    <t>Controller</t>
  </si>
  <si>
    <t>mhenderson@medexpress.com</t>
  </si>
  <si>
    <t>MedExpress Urgent Care</t>
  </si>
  <si>
    <t>Urgent Care MSO, LLC (d/b/a MedExpress)</t>
  </si>
  <si>
    <t>Complete this form and include a name in the Certification block on row 28.  Indicate any changes or corrections to data shown.</t>
  </si>
  <si>
    <t>This certification must include an officer of the Reporting Entity such as the Administrator, CEO, or CFO.</t>
  </si>
  <si>
    <r>
      <t xml:space="preserve">Certification Statement: </t>
    </r>
    <r>
      <rPr>
        <b/>
        <sz val="14"/>
        <rFont val="Calibri"/>
        <family val="2"/>
      </rPr>
      <t>I hereby certify that I have examined the accompanying Annual Report and to the best of my knowledge, the information contained in this report is accurate.</t>
    </r>
  </si>
  <si>
    <t>Sr. V.P. and CFO</t>
  </si>
  <si>
    <t>Carl</t>
  </si>
  <si>
    <t>Ammons</t>
  </si>
  <si>
    <t>Senior Counsel</t>
  </si>
  <si>
    <t>carl.a.ammons@healthpartners.com</t>
  </si>
  <si>
    <t>c/o 1751 Earl Core Road</t>
  </si>
  <si>
    <t>David R.</t>
  </si>
  <si>
    <t>Ferrell MD</t>
  </si>
  <si>
    <t>No System Affiliation need to assign new CER ID</t>
  </si>
  <si>
    <t>No Affiliation</t>
  </si>
  <si>
    <t>North Memorial Health Care</t>
  </si>
  <si>
    <t>Project Number</t>
  </si>
  <si>
    <t>Unique ID</t>
  </si>
  <si>
    <t>Reference MDH System Name</t>
  </si>
  <si>
    <t>Reference MDH System ID</t>
  </si>
  <si>
    <t>Reference MDH Project ID</t>
  </si>
  <si>
    <t>Report Year</t>
  </si>
  <si>
    <t>Reporting Entity</t>
  </si>
  <si>
    <t>Reporting Entity City</t>
  </si>
  <si>
    <t>Original Reporting Form</t>
  </si>
  <si>
    <t>Original Project Number</t>
  </si>
  <si>
    <t>Reported Commitment Date</t>
  </si>
  <si>
    <t>Reported Commitment Dollars</t>
  </si>
  <si>
    <t>Project Location Name</t>
  </si>
  <si>
    <t>Project Location Address</t>
  </si>
  <si>
    <t>Project Location City</t>
  </si>
  <si>
    <t>Project Description</t>
  </si>
  <si>
    <t>Minneapolis</t>
  </si>
  <si>
    <t>Northfield</t>
  </si>
  <si>
    <t>St. Paul</t>
  </si>
  <si>
    <t>Various Locations</t>
  </si>
  <si>
    <t>HealthPartners</t>
  </si>
  <si>
    <t>Rochester</t>
  </si>
  <si>
    <t>Shakopee</t>
  </si>
  <si>
    <t>Return to Capital Expend Project Specific tab</t>
  </si>
  <si>
    <t>Project</t>
  </si>
  <si>
    <t>Previous Project MDH Reference ID</t>
  </si>
  <si>
    <t>Project Location</t>
  </si>
  <si>
    <t>Commitment Date</t>
  </si>
  <si>
    <t>Commitment Dollars</t>
  </si>
  <si>
    <t>Brief Description</t>
  </si>
  <si>
    <t>CapExp</t>
  </si>
  <si>
    <t>Woodbury</t>
  </si>
  <si>
    <t>ROBBINSDALE</t>
  </si>
  <si>
    <t>North Memorial Health - Medical Transportation</t>
  </si>
  <si>
    <t>3300 Oakdale Avenue N</t>
  </si>
  <si>
    <t>Robbinsdale</t>
  </si>
  <si>
    <t>Purchase of medical transportation equipment, specifically aircraft.</t>
  </si>
  <si>
    <t>525 Tenth Street NE</t>
  </si>
  <si>
    <t>Chad</t>
  </si>
  <si>
    <t>Cooper</t>
  </si>
  <si>
    <t>President</t>
  </si>
  <si>
    <t>chad.cooper@cmdi.org</t>
  </si>
  <si>
    <t>M Health Fairview</t>
  </si>
  <si>
    <t>Todd N.</t>
  </si>
  <si>
    <t>Hofheins</t>
  </si>
  <si>
    <t>todd.n.hofheins@healthpartners.com</t>
  </si>
  <si>
    <t>Todd N. Hofheins</t>
  </si>
  <si>
    <t>Jeff</t>
  </si>
  <si>
    <t>Chief Administrative Officer</t>
  </si>
  <si>
    <t>3300 Oakdale Avenue North</t>
  </si>
  <si>
    <t>3366 Oakdale Avenue North</t>
  </si>
  <si>
    <t>Suite 500</t>
  </si>
  <si>
    <t>Kevin</t>
  </si>
  <si>
    <t>Croston</t>
  </si>
  <si>
    <t>kevin.croston@northmemorial.com</t>
  </si>
  <si>
    <t>Richter</t>
  </si>
  <si>
    <t>Regulatory Reimbursment Manager</t>
  </si>
  <si>
    <t>jeff.richter@northmemorial.com</t>
  </si>
  <si>
    <t>Katy</t>
  </si>
  <si>
    <t>Durst</t>
  </si>
  <si>
    <t>katy.durst@northmemorial.com</t>
  </si>
  <si>
    <t>www.northmemorial.com</t>
  </si>
  <si>
    <t>This section should be completed by an officer of the Reporting Entity such as the Administrator, CEO, or CFO.</t>
  </si>
  <si>
    <t>Allina Health Urgent Care - Shoreview</t>
  </si>
  <si>
    <t>4194 N. Lexington Ave, 1st Floor</t>
  </si>
  <si>
    <t>Shoerview</t>
  </si>
  <si>
    <t>To relocate and expand urgent care services in the Allina Health Shoreview Clinic, which will be located at the 3,600 rentable sq. ft. adjacent to the existing Allina Health Shoreview Clinic.  This is relocating the Maplewood Urgent care and expanding the Shoreview Urgent care.</t>
  </si>
  <si>
    <t>Women's Health Clinic Expansion</t>
  </si>
  <si>
    <t>2800 Chicago Avenue</t>
  </si>
  <si>
    <t xml:space="preserve">Women's Health Consultants Chicago Ave Office Expansion.  Currently this clinic occupies 4,370 sq. ft. The adjoining office space of 2,525 sq. ft. has recently become available. </t>
  </si>
  <si>
    <t>SAOS Expansion (part of Ortho Trauma Program)</t>
  </si>
  <si>
    <t>2800 Chicago Ave. Suite 400 and 402</t>
  </si>
  <si>
    <t>Additional space for the Ortho Trauma and lease extension of SAOS space at 2800 Chicago Ave Mpls.</t>
  </si>
  <si>
    <t>AHG Orthopedic Growth Strategy</t>
  </si>
  <si>
    <t>Location unknown at this time</t>
  </si>
  <si>
    <t>Integrated Orthopedics System of Care -Network Development Phase 1. This phase includes building out the physician components of the orthopedic service line including recruitment, Allina primary care/urgent care coordination and joint program development.</t>
  </si>
  <si>
    <t>Fairview Health Services - Information Technology</t>
  </si>
  <si>
    <t>Corporate Address:  2450 Riverside</t>
  </si>
  <si>
    <t xml:space="preserve">Epic Quarterly 2019 Program - this is license, IT hardware, and professional fees to update the Information Technology infrastructure to support the Epic upgrades going from an every other year to quarterly. </t>
  </si>
  <si>
    <t xml:space="preserve">Epic and Laboratory Information Services Integration Program. This is a consolidation of two instances of Epic to one. </t>
  </si>
  <si>
    <t xml:space="preserve">Wireless Hospital Refresh Program. This refresh includes the wireless and core backbone of the network.  Upon completion existing wireless APs will be repurposed for gap remediation in the clinics.  Network deployment models have been created for hospitals and clinics to promote stronger standards, greater service consistency and availability, while improving agility to further move at the speed of business.  The new deployment model accounts for added capacity needs to support currently requirements and more.  It will also have the flexibility to expand capacity significantly beyond the current design as business drives greater network consumption demands.  </t>
  </si>
  <si>
    <t xml:space="preserve">Nurse Call and Nurse Unit Communication - this project is provide new middleware and endpoint devices for the St Joseph, St John's, Woodwinds, and Bethesda hospitals. </t>
  </si>
  <si>
    <t>Nurse Call &amp; Communication - Northland and Southdale Hospitals.  The is the nurse call communication equipment and construction to complete Northland and Southdale.</t>
  </si>
  <si>
    <t>Vibrant Health Clinics</t>
  </si>
  <si>
    <t>1687 E Division Str</t>
  </si>
  <si>
    <t>Riverfalls, WI</t>
  </si>
  <si>
    <t xml:space="preserve">Vibrant Health Clinics.  Fairview has aqcuired the Vibrant Health Clinics with the main clinic in Riverfalls and the other two clinics located in Ellsworth and Spring Valley. </t>
  </si>
  <si>
    <t>M Health Fairview Walk in Clinic</t>
  </si>
  <si>
    <t>60 E. Broadway, #332</t>
  </si>
  <si>
    <t xml:space="preserve">Bloomington, MN </t>
  </si>
  <si>
    <t xml:space="preserve">Mall of Americal Retail Partnership. Fairview responded to the Triple Five Worldwide RFP on providing health and wellness services. Fairview will lease space within the MOA to implement a clinic that provides a robust set of services including medical care, basic laboratory services (including drug specimen collection), pharmacy, and radiology.  All services and fee schedules align with Fairview’s urgent care model. </t>
  </si>
  <si>
    <t>M Health Fairview Edina Clinic</t>
  </si>
  <si>
    <t>6545 France Ave S.</t>
  </si>
  <si>
    <t>Edina, MN</t>
  </si>
  <si>
    <t>Edina Clinic Expansion. Additional lease space opened up within the building to expand the clinic.</t>
  </si>
  <si>
    <t>Twin Cities Area</t>
  </si>
  <si>
    <t>Primary Care Transformation (Model Implementation).  There are IT updates to existing systems that are required to support the workflow changes related to patient access, registration, billing and clinical care processes.  Service bundle-specific processes will be supported through this work by leveraging discrete data capture, decision support tools and analytics algorithms to assign patients to the proper clinical services.  Primary Care Transformation will require limited renovations to traditional primary care clinic sites. This may include changes to care team space or limited updates to exam room or consult rooms (e.g. to support video-based visits).  This model will impact 8 primary care clinics, an acute care hospital, a long term care facility, and shared clinical services.</t>
  </si>
  <si>
    <t>Epic License Increase</t>
  </si>
  <si>
    <t>M Health Fairview - Adolescent Lodging/Maplewood IOP</t>
  </si>
  <si>
    <t>1675 Beam</t>
  </si>
  <si>
    <t>Maplewood, MN</t>
  </si>
  <si>
    <t>Chisago Adolescent Lodging Program/Adolescent Maplewood IOP Move to St John's Professional Building. These two program are relocating to the St John's Professional Builing.  This project is funded from the Fairview Foundation.</t>
  </si>
  <si>
    <t>M Health Fairview - Emergency Medical Services</t>
  </si>
  <si>
    <t>21350 Forest Lake Boulevard</t>
  </si>
  <si>
    <t xml:space="preserve">Forest Lake </t>
  </si>
  <si>
    <t xml:space="preserve">Emergency Medical Services Expansion into the Northern Market.  This project is to purchase ambulances and minor modeling of space. </t>
  </si>
  <si>
    <t>Health Delivery Optimization Project Design Funds.</t>
  </si>
  <si>
    <t>7979 Hargis Parkway</t>
  </si>
  <si>
    <t>This project involved the purchase of seven (7) acres of land in Woodbury, Minnesota.</t>
  </si>
  <si>
    <t>ROGO19C0050 - Gonda 3 Patient Prep Remodel</t>
  </si>
  <si>
    <t>Mayo Clinic Northwest</t>
  </si>
  <si>
    <t>41st Street NW</t>
  </si>
  <si>
    <t>ROFF19C0020 - Comprehensive Occupational Recovery and Care Coordination (CORCC)</t>
  </si>
  <si>
    <t>ROGO19C0020 - Center for Aesthetic Medicine and Surgery</t>
  </si>
  <si>
    <t>CPC2051426 - GE Healthcare</t>
  </si>
  <si>
    <t>CPC2065060 - GE</t>
  </si>
  <si>
    <t>Replacement of 3 Fixed Fluoro Units on GO7S Urology Outpatient Clinic Practice</t>
  </si>
  <si>
    <t>Northfield Radiation Therpy Clinic</t>
  </si>
  <si>
    <t>1821 North Avenue</t>
  </si>
  <si>
    <t>E18-X-NF-R-Varian-TrueBeam Linear Accelerator: This free-standing clinic provides outreach external beam radiotherapy services to patients in the northern reaches of Southeast Minnesota and extending into the Twin Cities.  On October 17th, 2018, pending equipment endorsement, the Midwest CPC Space Subcommittee endorsed program and budget approval for an incremental vault to house the new accelerator in order to meet increasing patient volume demands and minimize patient treatment delays and lost revenue resulting from accelerator outages.  The Northfield facility has not been remodeled since it opened in 2011.  The original construction plans were designed with two symmetric vaults and associated control rooms.  Only one of the vaults was constructed; however, the site for the incremental vault was prepared and graded and thus no existing functions will be displaced by the addition.  The additional control room is vacant and ready for utilization.</t>
  </si>
  <si>
    <t>Park Nicollet Maple Grove Regional Center Expansion</t>
  </si>
  <si>
    <t>9555 Upland Lane North</t>
  </si>
  <si>
    <t>Maple Grove</t>
  </si>
  <si>
    <t>Park Nicollet Maple Grove Clinic Expansion</t>
  </si>
  <si>
    <t>Park Nicollet Meadowbrook Clinic</t>
  </si>
  <si>
    <t>3931 Louisiana Ave S</t>
  </si>
  <si>
    <t>St. Louis Park</t>
  </si>
  <si>
    <t>Remodel of Park Nicollet Meadowbrook Ortho.</t>
  </si>
  <si>
    <t>Purchase of medical transportation equipment, specifically ambulances.</t>
  </si>
  <si>
    <t>Robert</t>
  </si>
  <si>
    <t>robert.peterson2@allina.com</t>
  </si>
  <si>
    <t>Hayes</t>
  </si>
  <si>
    <t>Batson</t>
  </si>
  <si>
    <t>Hayes Batson</t>
  </si>
  <si>
    <t>Barb</t>
  </si>
  <si>
    <t>Tellers</t>
  </si>
  <si>
    <t>SVP &amp; CFO HealthPartners</t>
  </si>
  <si>
    <t>Dani</t>
  </si>
  <si>
    <t>Engelhart</t>
  </si>
  <si>
    <t>Associate Counsel</t>
  </si>
  <si>
    <t>dani.s.engelhart@healthpartners.com</t>
  </si>
  <si>
    <t>Jennifer</t>
  </si>
  <si>
    <t>Bastian</t>
  </si>
  <si>
    <t>Medicare Analyst</t>
  </si>
  <si>
    <t>bastian.jennifer@may.edu</t>
  </si>
  <si>
    <t>Savage Urgent Care</t>
  </si>
  <si>
    <t>6350 143rd St. Suite 200 Savage MN  55378</t>
  </si>
  <si>
    <t>Savage</t>
  </si>
  <si>
    <t>Development of Urgent Care at the Savage Medical Bldg It will be a 4,853 square feet in a suite above AH Savage clinic located at 6350 143rd Street Savage, MN  55378</t>
  </si>
  <si>
    <t>MHealth Riverfalls Clinic</t>
  </si>
  <si>
    <t>1687 E Division Street</t>
  </si>
  <si>
    <t xml:space="preserve">Mhealth Riverfalls Clinic Relocation. The project is the relocation of the clinic to another buidling in Riversfalls, Wi.  Costs include lease space, leasehold improvement, information technology ,and equipment. </t>
  </si>
  <si>
    <t>Distributed Antenna Service (DAS) Commercial Cellular Public Safety Radio Augmentation Program. This project is to augment our coverage of cellular and public radio at our sites which will include gathering data and implementing the needed hardware at these sites: CSC, UMMC, Northland,and Woodwinds.</t>
  </si>
  <si>
    <t>The Hospital Refresh Program for 2020 phase 1 will support the implementation of GICH and additional services needed to further plan and design for FRMC.  IT will return in April for the request of further finding needed to complete FRMC as defined for 2020.   Work completed in phase 1 includes: 1) GICH network refresh, which is a dependent for the Segmentation project also underway 2) Site Surveys for GICH and FRMC 3) Network hardware, software and maintenance for GICH 4) Network hardware, software and maintenance for Southdale patient Monitoring 5) Network resource augmentation for additional design work associated with FRMC and other planned locations</t>
  </si>
  <si>
    <t>SDS Segmentation: The effort and costs associated with this project are for service from Cisco advanced services.  Cisco will be working with Fairview IT to define the Security requirements, design of the solution, configuration and testing in the Fairview lab and pilots of the solution in 323 Stinson and GICH hospital.  Upon completion Fairview will have successfully rolled out segmentation and Software Defined Access (SDA) in the pilot sites and have the templates and approach guidelines that enable the solution to be rolled out to the remainder of the enterprise.</t>
  </si>
  <si>
    <t>Fairview Health Services - Corporate Services</t>
  </si>
  <si>
    <t xml:space="preserve">Interactive Voice Response (IVR) technology software with natural language capabilities as a critical component to achieving our single point of contact. This technology enables customers to interact with our phone system through conversation rather than selecting options on phone touchpads (e.g. press one for scheduling).  Customers can freely answer open-ended questions such as “How can we help you today?” to be routed to the appropriate place. </t>
  </si>
  <si>
    <t>The Southdale Clinics Network Rrefresh is the first phase of a multi-year implementation.  It will address all of the clinics around and attached to the Southdale Hospital.  The project will address the network life cycle management needs by refreshing the core, access, and wireless networks in the clinics.</t>
  </si>
  <si>
    <t xml:space="preserve">Fairview Health Services </t>
  </si>
  <si>
    <t xml:space="preserve">The Health Delivery System Optimization Project is the acute care and ambulatory expansion, closures, renovations and moves based on the system capacity assessment. The funding will cover three years as the specific projects are identified. </t>
  </si>
  <si>
    <t>Clinical Research Unit</t>
  </si>
  <si>
    <t>516 Delaware Str SE</t>
  </si>
  <si>
    <t>Remodeling and updating the Clinical Research Unit which includes implementing Epic.</t>
  </si>
  <si>
    <t>Stillwater Medical Group Curve Crest Clinic</t>
  </si>
  <si>
    <t>1500 Curve Crest Blvd</t>
  </si>
  <si>
    <t>Stillwater</t>
  </si>
  <si>
    <t>Curve Crest Lower Level Remodel: remodel to accommodate expansion of patient care space</t>
  </si>
  <si>
    <t>HealthPartners West Clinic</t>
  </si>
  <si>
    <t>1665 Utica Avenue South, Suite 100</t>
  </si>
  <si>
    <t>St. Louis Park, MN</t>
  </si>
  <si>
    <t>HealthPartners West Clinic Interior Remodel Project - this project scope includes remodeling of interior spaces to provide additional space for patient care areas and department growth. In addition, the exterior windows have all been replaced and all interior finishes have been updated.</t>
  </si>
  <si>
    <t>Increase Capacity for Chemo Chairs and Check Out Desk Remodel</t>
  </si>
  <si>
    <t>Exam Buildout Gonda 6</t>
  </si>
  <si>
    <t>Medical Transportation: Contingency Center Construction and Setup.</t>
  </si>
  <si>
    <t>Medical Transportation: Monitor/Defibrillator Replacement.</t>
  </si>
  <si>
    <t>Medical Transportation: Ambulance Vehicle Replacement Project</t>
  </si>
  <si>
    <t>Gunderson Lutheran</t>
  </si>
  <si>
    <t>Gundersen Lutheran Health System</t>
  </si>
  <si>
    <t>Gundersen Lutheran Medical Center - Winona Campus OSC</t>
  </si>
  <si>
    <t>1122 West Highway 61</t>
  </si>
  <si>
    <t>Winona</t>
  </si>
  <si>
    <t>Gundersen Health System - Winona OSC</t>
  </si>
  <si>
    <t>affiliation_id_1</t>
  </si>
  <si>
    <t>56201</t>
  </si>
  <si>
    <t>55407</t>
  </si>
  <si>
    <t>55416</t>
  </si>
  <si>
    <t>56303</t>
  </si>
  <si>
    <t>56353</t>
  </si>
  <si>
    <t>55353</t>
  </si>
  <si>
    <t/>
  </si>
  <si>
    <t>55113</t>
  </si>
  <si>
    <t>1122</t>
  </si>
  <si>
    <t>55443</t>
  </si>
  <si>
    <t>55425</t>
  </si>
  <si>
    <t>Laurie</t>
  </si>
  <si>
    <t>Ibememe</t>
  </si>
  <si>
    <t>laurie.k.ibeneme@healthpartners.com</t>
  </si>
  <si>
    <t>55437</t>
  </si>
  <si>
    <t>1060</t>
  </si>
  <si>
    <t>55905</t>
  </si>
  <si>
    <t>Adam Horst</t>
  </si>
  <si>
    <t>26505</t>
  </si>
  <si>
    <t>55422</t>
  </si>
  <si>
    <t>2900</t>
  </si>
  <si>
    <t>Dan Fromm</t>
  </si>
  <si>
    <t>55125</t>
  </si>
  <si>
    <t>55805</t>
  </si>
  <si>
    <t>2107</t>
  </si>
  <si>
    <t>FARGO</t>
  </si>
  <si>
    <t>CASS</t>
  </si>
  <si>
    <t>ND</t>
  </si>
  <si>
    <t>Larry</t>
  </si>
  <si>
    <t>Gabbert</t>
  </si>
  <si>
    <t>larry.gabbert@dmshealth.com</t>
  </si>
  <si>
    <r>
      <t>QUESTIONS:</t>
    </r>
    <r>
      <rPr>
        <sz val="10"/>
        <rFont val="Calibri"/>
        <family val="2"/>
      </rPr>
      <t xml:space="preserve"> 
If you have any questions while completing this formset or preparing information for the retrospective review process, please contact Tracy Johnson at the Minnesota Department of Health at Tracy.L.Johnson@state.mn.us or 651-238-1968 or 651-201-3572.</t>
    </r>
  </si>
  <si>
    <t>12/31/2022</t>
  </si>
  <si>
    <t>Peterson</t>
  </si>
  <si>
    <t>Joshua</t>
  </si>
  <si>
    <t>Christenson</t>
  </si>
  <si>
    <t>Associate Financial Analyst</t>
  </si>
  <si>
    <t>joshua.christenson@allina.com</t>
  </si>
  <si>
    <t>06/30/2022</t>
  </si>
  <si>
    <t>DMS Health Technologies</t>
  </si>
  <si>
    <t>WEST FARGO</t>
  </si>
  <si>
    <t>728 East Beaton Drive</t>
  </si>
  <si>
    <t>Suite 101</t>
  </si>
  <si>
    <t>58078</t>
  </si>
  <si>
    <t>Larry Gabbert</t>
  </si>
  <si>
    <t>www.dmshealth.com</t>
  </si>
  <si>
    <t>2450 Riverside Avenue</t>
  </si>
  <si>
    <t>Corp Svcs Bldg, 4th Floor</t>
  </si>
  <si>
    <t>55116</t>
  </si>
  <si>
    <t>hayes.batson@fairview.org</t>
  </si>
  <si>
    <t>barbara.tellers@fairview.org</t>
  </si>
  <si>
    <t>1700 University Avenue West</t>
  </si>
  <si>
    <t>ST. PAUL</t>
  </si>
  <si>
    <t>55104</t>
  </si>
  <si>
    <t>Lindsey</t>
  </si>
  <si>
    <t>Farwell</t>
  </si>
  <si>
    <t>Manager Financial Planning &amp; Analysis</t>
  </si>
  <si>
    <t>lindsey.farwell@fairview.org</t>
  </si>
  <si>
    <t>Christina</t>
  </si>
  <si>
    <t>Zorn</t>
  </si>
  <si>
    <t>zorn.christina@mayo.edu</t>
  </si>
  <si>
    <t>Jason</t>
  </si>
  <si>
    <t>Luhrs</t>
  </si>
  <si>
    <t>VP Finance</t>
  </si>
  <si>
    <t>jason.j.luhrs@healthpartners.com</t>
  </si>
  <si>
    <t>Penny Cermak</t>
  </si>
  <si>
    <t>RayUs Radioology</t>
  </si>
  <si>
    <t>Cherney</t>
  </si>
  <si>
    <t>EVP, Operations</t>
  </si>
  <si>
    <t>robert.cherney@rayusradiology.com</t>
  </si>
  <si>
    <t>Patrick Bakker</t>
  </si>
  <si>
    <t>Rachel</t>
  </si>
  <si>
    <t>Pietruszewski</t>
  </si>
  <si>
    <t>Accounting Supervisor</t>
  </si>
  <si>
    <t>rachel.pietruszewski@rayusradiology.com</t>
  </si>
  <si>
    <t>www.rayusradiology.com</t>
  </si>
  <si>
    <t>Center for Diagnostic Imaging, Inc./ Rayus Radiology</t>
  </si>
  <si>
    <t>Midwest Radiology</t>
  </si>
  <si>
    <t>02/12/2021</t>
  </si>
  <si>
    <t>Buffalo Crossraods Clinic</t>
  </si>
  <si>
    <t>755 Crossroads Campus Dr.  Buffalo, MN 55313</t>
  </si>
  <si>
    <t>Buffalo</t>
  </si>
  <si>
    <t xml:space="preserve">An incident occurred at Buffalo Crossroads clinic on 2/9/2021 that damaged multiple areas within the clinic. In order for the clinic to re-open the following were needed: replacement of 5 lobby windows, exterior building repairs related to explosion under front canopy, lobby furniture replacement, carpet replacement, and replacement of front sliding dorrs. Both doors were extensively damaged by the blast and will need replacement. </t>
  </si>
  <si>
    <t>09/07/2021</t>
  </si>
  <si>
    <t xml:space="preserve">Allina Health Group (Multiple Locations) </t>
  </si>
  <si>
    <t xml:space="preserve">2925 Chicago Ave S.  Minneapolis, MN 55407 </t>
  </si>
  <si>
    <t xml:space="preserve">Minneapolis </t>
  </si>
  <si>
    <t>Enhanced Security Phase 2-AHG. Enhanced Security for multiple locations in response to the event at Buffalo Crossroads clinic 2/9/21.</t>
  </si>
  <si>
    <t>03/24/2020</t>
  </si>
  <si>
    <t>01/22/2019</t>
  </si>
  <si>
    <t>07/23/2019</t>
  </si>
  <si>
    <t>12/01/2019</t>
  </si>
  <si>
    <t>Center for Diagnostic Imaging (CDI)</t>
  </si>
  <si>
    <t>12/27/2021</t>
  </si>
  <si>
    <t xml:space="preserve">Otsego Rayus Radiology </t>
  </si>
  <si>
    <t>9040 Quaday Ave NE Otsego MN 55330</t>
  </si>
  <si>
    <t>Otsego</t>
  </si>
  <si>
    <t>Expansion of centers to serve the surrounding area of Otsego, MN.</t>
  </si>
  <si>
    <t>Rayus Radiology - Shakopee</t>
  </si>
  <si>
    <t>2995 Winners Cir Dr Suite 105, Shakopee, MN 55379</t>
  </si>
  <si>
    <t>DeNovo location in Shakopee, MN</t>
  </si>
  <si>
    <t>08/05/2021</t>
  </si>
  <si>
    <t>Highland Bridge Clinic Development</t>
  </si>
  <si>
    <t>2270 Ford Parkway</t>
  </si>
  <si>
    <t>Highland Park</t>
  </si>
  <si>
    <t>Relocation of the M Health Fairview Highland Park Clinic at 2155 Ford Parkway to a new location in Highland Park. The new clinic will be larger to accommodate new services for mental health, rehabilitation, rotating  space for specialists and expanded OB/GYN care.</t>
  </si>
  <si>
    <t>07/31/2021</t>
  </si>
  <si>
    <t xml:space="preserve">Phone System Refresh/Consolidation Project - replacement of the phone system at 3 hospitals, 10 clinics and 1 corporate location. </t>
  </si>
  <si>
    <t>05/24/2021</t>
  </si>
  <si>
    <t>Replacement of laptops and desk top devices through out non patient care areas and patient care areas.  About 4,910 devices will be replaced.</t>
  </si>
  <si>
    <t>12/02/2021</t>
  </si>
  <si>
    <t xml:space="preserve">Replacement of the Picture Archival Communication System (PACS). This is a digital storage and management system to view digital images (x-ray, CT, MRI, ect). </t>
  </si>
  <si>
    <t>08/27/2021</t>
  </si>
  <si>
    <t>Fairview Pharmacy Services</t>
  </si>
  <si>
    <t>711 Kasota  Ave SE</t>
  </si>
  <si>
    <t>Pharmacy Specialty and Home Infusion Expansion:  Relocate staff to another area and expand space to accommodate the specialty pharmacy and home infusion services growth.  (* note on distance: The distance to the nearest home infusion provider is 12 miles;  The distance to the nearest specialty pharmacy provider is 10 miles.  However, these are not considered equivalent for patient care provided at Fairview’s home infusion and specialty pharmacies as describe Access section below.)</t>
  </si>
  <si>
    <t>03/26/2021</t>
  </si>
  <si>
    <t>Specialty Pharmacy Automation Equipment: This hardware and software for an automated dispensing system as well as some construction to reconfigure the space.  (*Note on distance:  Noted 10 miles at line 227 but these other Specialty Pharmacy are not considered equivalent for patient care as described in Access on lines 242 and 243.)</t>
  </si>
  <si>
    <t>Fairview Community Health and Wellness HUB</t>
  </si>
  <si>
    <t>45 10th Street W.</t>
  </si>
  <si>
    <t xml:space="preserve">Fairview Health and Wellness HUB:  Part of the St. Joseph Hospital campus is being transformed and redeveloped into a health and wellness HUB. The building will be updated and reconfigured and the 10th street ramp to be updated. </t>
  </si>
  <si>
    <t>02/20/2020</t>
  </si>
  <si>
    <t>01/24/2020</t>
  </si>
  <si>
    <t>07/13/2020</t>
  </si>
  <si>
    <t>08/19/2020</t>
  </si>
  <si>
    <t>10/23/2020</t>
  </si>
  <si>
    <t>06/19/2020</t>
  </si>
  <si>
    <t>12/22/2020</t>
  </si>
  <si>
    <t>02/22/2019</t>
  </si>
  <si>
    <t>06/13/2019</t>
  </si>
  <si>
    <t>08/15/2019</t>
  </si>
  <si>
    <t>04/25/2019</t>
  </si>
  <si>
    <t>12/18/2019</t>
  </si>
  <si>
    <t>02/20/2019</t>
  </si>
  <si>
    <t>05/21/2019</t>
  </si>
  <si>
    <t>01/17/2019</t>
  </si>
  <si>
    <t>09/23/2019</t>
  </si>
  <si>
    <t>12/04/2019</t>
  </si>
  <si>
    <t>01/28/2020</t>
  </si>
  <si>
    <t>12/16/2019</t>
  </si>
  <si>
    <t>01/13/2021</t>
  </si>
  <si>
    <t>ROSU20C0020 - SU SDSC Office to Lab Conversion</t>
  </si>
  <si>
    <t>06/23/2021</t>
  </si>
  <si>
    <t>ROXX20C0240-Gonda 6 Echo-Exam, Mayo 6 Core Lab and Support</t>
  </si>
  <si>
    <t>08/25/2021</t>
  </si>
  <si>
    <t>20 First Street SW</t>
  </si>
  <si>
    <t>ROMA20C0250-MA 17 International Exam Room</t>
  </si>
  <si>
    <t>11/23/2021</t>
  </si>
  <si>
    <t>ROMA20C0030-Mayo 5 Finish Refresh</t>
  </si>
  <si>
    <t>05/19/2021</t>
  </si>
  <si>
    <t>ROHI20C0020-HI 05 CGSL Expansion on Hilton 5</t>
  </si>
  <si>
    <t>12/09/2021</t>
  </si>
  <si>
    <t>CPC2076417-Mobetron IORT Surgery  - Mobile Linear accelerator to provide radiation therapy to treat areas of residual or suspected tumor during surgery</t>
  </si>
  <si>
    <t>CPC2076259-Artis Icono Biplane</t>
  </si>
  <si>
    <t>10/07/2021</t>
  </si>
  <si>
    <t>CPC2076401 and CPC2076400-NIL Automation</t>
  </si>
  <si>
    <t>08/20/2021</t>
  </si>
  <si>
    <t>ROGO20C0070-MR-MCR-GO3-I-GE 3T Scanner (Body) #3</t>
  </si>
  <si>
    <t>12/23/2021</t>
  </si>
  <si>
    <t>ROMA21C0040  CT-MCR-MA3-48E-R-4A Scanner</t>
  </si>
  <si>
    <t>R9128  CT-MCR-GO3-R-4L Scanner        CPC2078406        E21-3010</t>
  </si>
  <si>
    <t>200 First Street South</t>
  </si>
  <si>
    <t>ROGO20C0080  MR-MCR-GO3-R-1.5T NW</t>
  </si>
  <si>
    <t>08/26/2020</t>
  </si>
  <si>
    <t>12/16/2020</t>
  </si>
  <si>
    <t>11/27/2019</t>
  </si>
  <si>
    <t>09/12/2019</t>
  </si>
  <si>
    <t>01/10/2019</t>
  </si>
  <si>
    <t xml:space="preserve">Park Nicollet Chanhassen Clinic </t>
  </si>
  <si>
    <t>300 Lake Dr E</t>
  </si>
  <si>
    <t xml:space="preserve">Chanhasssen </t>
  </si>
  <si>
    <t>Park Nicollet Chanhassen Clinic Refresh.</t>
  </si>
  <si>
    <t>Park Nicollet Maple Grove Ambulatory Surgery Clinic</t>
  </si>
  <si>
    <t>15800 95th Ave North</t>
  </si>
  <si>
    <t>Park Nicollet Maple Grove Ambulatory Clinic build out of operating rooms #3 and #4.</t>
  </si>
  <si>
    <t>04/04/2019</t>
  </si>
  <si>
    <t>05/15/2019</t>
  </si>
  <si>
    <t>01/20/2021</t>
  </si>
  <si>
    <t>05/17/2021</t>
  </si>
  <si>
    <t>Medical Transportation: Ambulance Portable Radio Replacement</t>
  </si>
  <si>
    <t>09/28/2021</t>
  </si>
  <si>
    <t>NMH Golden Valley Clinic</t>
  </si>
  <si>
    <t>8301 Golden Valley Rd  Suite 100</t>
  </si>
  <si>
    <t>Golden Valley</t>
  </si>
  <si>
    <t>NMH Golden Valley Clinic Refresh</t>
  </si>
  <si>
    <t>10/18/2021</t>
  </si>
  <si>
    <t>NMH Blaine Clinic</t>
  </si>
  <si>
    <t>109th and Lexington</t>
  </si>
  <si>
    <t>Blaine</t>
  </si>
  <si>
    <t>NMH Blaine Clinic - Moving to new building</t>
  </si>
  <si>
    <t>03/11/2020</t>
  </si>
  <si>
    <t>03/26/2020</t>
  </si>
  <si>
    <t>11/02/2020</t>
  </si>
  <si>
    <t>02/11/2019</t>
  </si>
  <si>
    <t>08/07/2019</t>
  </si>
  <si>
    <t>11/26/2018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</si>
</sst>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00"/>
    <numFmt numFmtId="166" formatCode="&quot;$&quot;#,##0"/>
    <numFmt numFmtId="167" formatCode="mm/dd/yy"/>
    <numFmt numFmtId="168" formatCode="[&lt;=9999999]###\-####;###\-###\-####"/>
    <numFmt numFmtId="169" formatCode="m/d/yy;@"/>
    <numFmt numFmtId="170" formatCode="m/d/yyyy;@"/>
    <numFmt numFmtId="171" formatCode="m\/d\/yyyy"/>
    <numFmt numFmtId="172" formatCode="_(* #,##0_);_(* \(#,##0\);_(* &quot;-&quot;??_);_(@_)"/>
    <numFmt numFmtId="173" formatCode="mm/dd/yyyy"/>
    <numFmt numFmtId="174" formatCode="0.0"/>
    <numFmt numFmtId="175" formatCode="#,##0.0"/>
  </numFmts>
  <fonts count="60" x14ac:knownFonts="1">
    <font>
      <sz val="10"/>
      <name val="Arial"/>
    </font>
    <font>
      <sz val="11"/>
      <color theme="1"/>
      <name val="Calibri"/>
      <family val="2"/>
      <scheme val="minor"/>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Calibri"/>
      <family val="2"/>
    </font>
    <font>
      <b/>
      <sz val="10"/>
      <name val="Calibri"/>
      <family val="2"/>
    </font>
    <font>
      <b/>
      <sz val="10"/>
      <color indexed="10"/>
      <name val="Calibri"/>
      <family val="2"/>
    </font>
    <font>
      <sz val="10"/>
      <color indexed="10"/>
      <name val="Calibri"/>
      <family val="2"/>
    </font>
    <font>
      <u/>
      <sz val="10"/>
      <color indexed="12"/>
      <name val="Calibri"/>
      <family val="2"/>
    </font>
    <font>
      <b/>
      <i/>
      <sz val="10"/>
      <name val="Calibri"/>
      <family val="2"/>
    </font>
    <font>
      <b/>
      <sz val="10"/>
      <color indexed="16"/>
      <name val="Calibri"/>
      <family val="2"/>
    </font>
    <font>
      <sz val="10"/>
      <color indexed="16"/>
      <name val="Calibri"/>
      <family val="2"/>
    </font>
    <font>
      <b/>
      <i/>
      <sz val="10"/>
      <color indexed="16"/>
      <name val="Calibri"/>
      <family val="2"/>
    </font>
    <font>
      <i/>
      <sz val="10"/>
      <name val="Calibri"/>
      <family val="2"/>
    </font>
    <font>
      <sz val="11"/>
      <name val="Calibri"/>
      <family val="2"/>
    </font>
    <font>
      <b/>
      <sz val="11"/>
      <name val="Calibri"/>
      <family val="2"/>
    </font>
    <font>
      <u/>
      <sz val="11"/>
      <color indexed="12"/>
      <name val="Calibri"/>
      <family val="2"/>
    </font>
    <font>
      <b/>
      <sz val="14"/>
      <name val="Calibri"/>
      <family val="2"/>
    </font>
    <font>
      <sz val="11"/>
      <color theme="1"/>
      <name val="Calibri"/>
      <family val="2"/>
      <scheme val="minor"/>
    </font>
    <font>
      <sz val="11"/>
      <color theme="1"/>
      <name val="Arial"/>
      <family val="2"/>
    </font>
    <font>
      <sz val="10"/>
      <name val="Calibri"/>
      <family val="2"/>
      <scheme val="minor"/>
    </font>
    <font>
      <b/>
      <sz val="16"/>
      <name val="Calibri"/>
      <family val="2"/>
      <scheme val="minor"/>
    </font>
    <font>
      <b/>
      <sz val="10"/>
      <name val="Calibri"/>
      <family val="2"/>
      <scheme val="minor"/>
    </font>
    <font>
      <b/>
      <sz val="10"/>
      <color indexed="10"/>
      <name val="Calibri"/>
      <family val="2"/>
      <scheme val="minor"/>
    </font>
    <font>
      <sz val="10"/>
      <color indexed="10"/>
      <name val="Calibri"/>
      <family val="2"/>
      <scheme val="minor"/>
    </font>
    <font>
      <b/>
      <sz val="10"/>
      <color rgb="FFFF0000"/>
      <name val="Calibri"/>
      <family val="2"/>
      <scheme val="minor"/>
    </font>
    <font>
      <sz val="18"/>
      <name val="Calibri"/>
      <family val="2"/>
      <scheme val="minor"/>
    </font>
    <font>
      <sz val="16"/>
      <name val="Calibri"/>
      <family val="2"/>
      <scheme val="minor"/>
    </font>
    <font>
      <u/>
      <sz val="10"/>
      <color indexed="12"/>
      <name val="Calibri"/>
      <family val="2"/>
      <scheme val="minor"/>
    </font>
    <font>
      <sz val="10"/>
      <color indexed="8"/>
      <name val="Calibri"/>
      <family val="2"/>
      <scheme val="minor"/>
    </font>
    <font>
      <b/>
      <sz val="12"/>
      <name val="Calibri"/>
      <family val="2"/>
      <scheme val="minor"/>
    </font>
    <font>
      <sz val="10"/>
      <color theme="0"/>
      <name val="Calibri"/>
      <family val="2"/>
      <scheme val="minor"/>
    </font>
    <font>
      <b/>
      <u/>
      <sz val="10"/>
      <color indexed="12"/>
      <name val="Calibri"/>
      <family val="2"/>
      <scheme val="minor"/>
    </font>
    <font>
      <b/>
      <sz val="10"/>
      <color indexed="16"/>
      <name val="Calibri"/>
      <family val="2"/>
      <scheme val="minor"/>
    </font>
    <font>
      <sz val="10"/>
      <color indexed="16"/>
      <name val="Calibri"/>
      <family val="2"/>
      <scheme val="minor"/>
    </font>
    <font>
      <sz val="12"/>
      <name val="Calibri"/>
      <family val="2"/>
      <scheme val="minor"/>
    </font>
    <font>
      <b/>
      <sz val="10"/>
      <color rgb="FF800000"/>
      <name val="Calibri"/>
      <family val="2"/>
      <scheme val="minor"/>
    </font>
    <font>
      <b/>
      <sz val="11"/>
      <color indexed="16"/>
      <name val="Calibri"/>
      <family val="2"/>
      <scheme val="minor"/>
    </font>
    <font>
      <b/>
      <sz val="11"/>
      <color rgb="FF800000"/>
      <name val="Calibri"/>
      <family val="2"/>
      <scheme val="minor"/>
    </font>
    <font>
      <sz val="8"/>
      <color rgb="FF800000"/>
      <name val="Calibri"/>
      <family val="2"/>
      <scheme val="minor"/>
    </font>
    <font>
      <b/>
      <sz val="11"/>
      <color indexed="10"/>
      <name val="Calibri"/>
      <family val="2"/>
      <scheme val="minor"/>
    </font>
    <font>
      <sz val="11"/>
      <name val="Calibri"/>
      <family val="2"/>
      <scheme val="minor"/>
    </font>
    <font>
      <b/>
      <sz val="18"/>
      <name val="Calibri"/>
      <family val="2"/>
      <scheme val="minor"/>
    </font>
    <font>
      <b/>
      <sz val="14"/>
      <name val="Calibri"/>
      <family val="2"/>
      <scheme val="minor"/>
    </font>
    <font>
      <b/>
      <sz val="20"/>
      <name val="Calibri"/>
      <family val="2"/>
      <scheme val="minor"/>
    </font>
    <font>
      <sz val="20"/>
      <name val="Calibri"/>
      <family val="2"/>
      <scheme val="minor"/>
    </font>
    <font>
      <sz val="10"/>
      <name val="Arial"/>
      <family val="2"/>
    </font>
    <font>
      <b/>
      <sz val="11"/>
      <color theme="1"/>
      <name val="Calibri"/>
      <family val="2"/>
      <scheme val="minor"/>
    </font>
    <font>
      <sz val="9"/>
      <color theme="1"/>
      <name val="Calibri"/>
      <family val="2"/>
      <scheme val="minor"/>
    </font>
    <font>
      <b/>
      <sz val="14"/>
      <color rgb="FF990000"/>
      <name val="Calibri"/>
      <family val="2"/>
      <scheme val="minor"/>
    </font>
    <font>
      <b/>
      <sz val="11"/>
      <color rgb="FF990000"/>
      <name val="Calibri"/>
      <family val="2"/>
      <scheme val="minor"/>
    </font>
    <font>
      <b/>
      <sz val="12"/>
      <color rgb="FF990000"/>
      <name val="Calibri"/>
      <family val="2"/>
      <scheme val="minor"/>
    </font>
    <font>
      <b/>
      <sz val="11"/>
      <color rgb="FFFF0000"/>
      <name val="Calibri"/>
      <family val="2"/>
      <scheme val="minor"/>
    </font>
    <font>
      <b/>
      <sz val="11"/>
      <name val="Calibri"/>
      <family val="2"/>
      <scheme val="minor"/>
    </font>
    <font>
      <sz val="10"/>
      <color theme="0"/>
      <name val="Arial"/>
      <family val="2"/>
    </font>
    <font>
      <b/>
      <sz val="11"/>
      <color indexed="8"/>
      <name val="Calibri"/>
      <family val="2"/>
      <scheme val="minor"/>
    </font>
  </fonts>
  <fills count="2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14"/>
        <bgColor indexed="64"/>
      </patternFill>
    </fill>
    <fill>
      <patternFill patternType="solid">
        <fgColor indexed="61"/>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rgb="FF00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theme="6" tint="0.79998168889431442"/>
        <bgColor indexed="64"/>
      </patternFill>
    </fill>
    <fill>
      <patternFill patternType="solid">
        <fgColor rgb="FFCC99FF"/>
        <bgColor indexed="64"/>
      </patternFill>
    </fill>
    <fill>
      <patternFill patternType="solid">
        <fgColor rgb="FFFFFF00"/>
        <bgColor indexed="64"/>
      </patternFill>
    </fill>
    <fill>
      <patternFill patternType="solid">
        <fgColor theme="3" tint="0.79998168889431442"/>
        <bgColor indexed="64"/>
      </patternFill>
    </fill>
  </fills>
  <borders count="62">
    <border>
      <left/>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4">
    <xf numFmtId="0" fontId="0" fillId="0" borderId="0"/>
    <xf numFmtId="0" fontId="2" fillId="0" borderId="0" applyNumberFormat="0" applyFill="0" applyBorder="0" applyAlignment="0" applyProtection="0">
      <alignment vertical="top"/>
      <protection locked="0"/>
    </xf>
    <xf numFmtId="0" fontId="6" fillId="0" borderId="0"/>
    <xf numFmtId="0" fontId="3" fillId="0" borderId="0"/>
    <xf numFmtId="0" fontId="23" fillId="0" borderId="0"/>
    <xf numFmtId="0" fontId="3" fillId="0" borderId="0"/>
    <xf numFmtId="0" fontId="7" fillId="0" borderId="0"/>
    <xf numFmtId="0" fontId="3" fillId="0" borderId="0"/>
    <xf numFmtId="0" fontId="3" fillId="0" borderId="0"/>
    <xf numFmtId="0" fontId="22" fillId="0" borderId="0"/>
    <xf numFmtId="0" fontId="3" fillId="0" borderId="0"/>
    <xf numFmtId="44" fontId="50"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cellStyleXfs>
  <cellXfs count="951">
    <xf numFmtId="0" fontId="0" fillId="0" borderId="0" xfId="0"/>
    <xf numFmtId="0" fontId="24" fillId="0" borderId="0" xfId="0" applyFont="1" applyAlignment="1">
      <alignment horizontal="center"/>
    </xf>
    <xf numFmtId="0" fontId="25" fillId="0" borderId="0" xfId="0" applyFont="1" applyAlignment="1">
      <alignment horizontal="center" vertical="center" wrapText="1"/>
    </xf>
    <xf numFmtId="0" fontId="24" fillId="0" borderId="0" xfId="0" applyFont="1"/>
    <xf numFmtId="0" fontId="26" fillId="0" borderId="0" xfId="0" applyFont="1" applyAlignment="1">
      <alignment horizontal="center" vertical="center"/>
    </xf>
    <xf numFmtId="0" fontId="26" fillId="0" borderId="0" xfId="0" applyFont="1"/>
    <xf numFmtId="0" fontId="25" fillId="0" borderId="0" xfId="0" applyFont="1" applyAlignment="1">
      <alignment horizontal="center" vertical="center"/>
    </xf>
    <xf numFmtId="0" fontId="27" fillId="0" borderId="0" xfId="0" applyFont="1" applyFill="1"/>
    <xf numFmtId="0" fontId="28" fillId="0" borderId="0" xfId="0" applyFont="1" applyFill="1"/>
    <xf numFmtId="0" fontId="26" fillId="2" borderId="1" xfId="0" applyFont="1" applyFill="1" applyBorder="1" applyAlignment="1">
      <alignment horizontal="center"/>
    </xf>
    <xf numFmtId="0" fontId="24" fillId="0" borderId="0" xfId="0" applyFont="1" applyFill="1" applyBorder="1" applyAlignment="1">
      <alignment horizontal="center"/>
    </xf>
    <xf numFmtId="0" fontId="24" fillId="0" borderId="0" xfId="0" applyFont="1" applyBorder="1" applyAlignment="1">
      <alignment horizontal="left" vertical="center" indent="1"/>
    </xf>
    <xf numFmtId="0" fontId="24" fillId="0" borderId="0" xfId="0" applyFont="1" applyBorder="1" applyAlignment="1">
      <alignment horizontal="center"/>
    </xf>
    <xf numFmtId="0" fontId="24" fillId="2" borderId="2" xfId="0" applyFont="1" applyFill="1" applyBorder="1" applyAlignment="1">
      <alignment horizontal="right"/>
    </xf>
    <xf numFmtId="0" fontId="24" fillId="0" borderId="3" xfId="0" applyFont="1" applyBorder="1" applyAlignment="1">
      <alignment horizontal="left"/>
    </xf>
    <xf numFmtId="0" fontId="24" fillId="0" borderId="4" xfId="0" applyFont="1" applyBorder="1" applyAlignment="1">
      <alignment horizontal="left" indent="1"/>
    </xf>
    <xf numFmtId="0" fontId="24" fillId="3" borderId="0" xfId="0" applyFont="1" applyFill="1" applyAlignment="1">
      <alignment horizontal="center"/>
    </xf>
    <xf numFmtId="0" fontId="24" fillId="0" borderId="5" xfId="0" applyFont="1" applyBorder="1" applyAlignment="1">
      <alignment horizontal="center"/>
    </xf>
    <xf numFmtId="0" fontId="24" fillId="2" borderId="6" xfId="0" applyFont="1" applyFill="1" applyBorder="1" applyAlignment="1">
      <alignment horizontal="right"/>
    </xf>
    <xf numFmtId="0" fontId="24" fillId="0" borderId="7" xfId="0" applyFont="1" applyBorder="1" applyAlignment="1">
      <alignment horizontal="left"/>
    </xf>
    <xf numFmtId="0" fontId="24" fillId="0" borderId="8" xfId="0" applyFont="1" applyBorder="1" applyAlignment="1">
      <alignment horizontal="left" indent="1"/>
    </xf>
    <xf numFmtId="0" fontId="26" fillId="4" borderId="9" xfId="0" applyFont="1" applyFill="1" applyBorder="1" applyAlignment="1">
      <alignment horizontal="center" vertical="center"/>
    </xf>
    <xf numFmtId="0" fontId="24" fillId="0" borderId="0" xfId="0" applyFont="1" applyFill="1"/>
    <xf numFmtId="0" fontId="24" fillId="0" borderId="0" xfId="0" applyFont="1" applyFill="1" applyAlignment="1">
      <alignment horizontal="left"/>
    </xf>
    <xf numFmtId="0" fontId="24" fillId="0" borderId="0" xfId="0" applyFont="1" applyFill="1" applyAlignment="1">
      <alignment horizontal="left" indent="1"/>
    </xf>
    <xf numFmtId="0" fontId="24" fillId="0" borderId="0" xfId="0" applyFont="1" applyAlignment="1">
      <alignment horizontal="left"/>
    </xf>
    <xf numFmtId="0" fontId="24" fillId="0" borderId="0" xfId="0" applyFont="1" applyAlignment="1">
      <alignment horizontal="left" indent="1"/>
    </xf>
    <xf numFmtId="0" fontId="24" fillId="4" borderId="10" xfId="0" applyFont="1" applyFill="1" applyBorder="1" applyAlignment="1">
      <alignment horizontal="right"/>
    </xf>
    <xf numFmtId="0" fontId="24" fillId="0" borderId="0" xfId="0" applyFont="1" applyBorder="1" applyAlignment="1">
      <alignment horizontal="left"/>
    </xf>
    <xf numFmtId="0" fontId="24" fillId="0" borderId="5" xfId="0" applyFont="1" applyBorder="1" applyAlignment="1">
      <alignment horizontal="left" vertical="center" indent="1"/>
    </xf>
    <xf numFmtId="0" fontId="24" fillId="2" borderId="11" xfId="0" applyFont="1" applyFill="1" applyBorder="1" applyAlignment="1">
      <alignment horizontal="right"/>
    </xf>
    <xf numFmtId="14" fontId="24" fillId="0" borderId="12" xfId="0" applyNumberFormat="1" applyFont="1" applyBorder="1" applyAlignment="1">
      <alignment horizontal="left"/>
    </xf>
    <xf numFmtId="169" fontId="24" fillId="0" borderId="13" xfId="0" applyNumberFormat="1" applyFont="1" applyBorder="1" applyAlignment="1">
      <alignment horizontal="left" indent="1"/>
    </xf>
    <xf numFmtId="0" fontId="24" fillId="0" borderId="0" xfId="0" applyFont="1" applyBorder="1" applyAlignment="1">
      <alignment horizontal="left" vertical="center" wrapText="1" indent="1"/>
    </xf>
    <xf numFmtId="0" fontId="24" fillId="0" borderId="12" xfId="0" applyFont="1" applyBorder="1" applyAlignment="1">
      <alignment horizontal="left"/>
    </xf>
    <xf numFmtId="0" fontId="24" fillId="0" borderId="13" xfId="0" applyFont="1" applyBorder="1" applyAlignment="1">
      <alignment horizontal="left" indent="1"/>
    </xf>
    <xf numFmtId="0" fontId="24" fillId="2" borderId="10" xfId="0" applyFont="1" applyFill="1" applyBorder="1" applyAlignment="1">
      <alignment horizontal="right"/>
    </xf>
    <xf numFmtId="0" fontId="24" fillId="0" borderId="0" xfId="0" applyNumberFormat="1" applyFont="1" applyFill="1" applyBorder="1" applyAlignment="1">
      <alignment horizontal="left"/>
    </xf>
    <xf numFmtId="0" fontId="24" fillId="0" borderId="0" xfId="0" applyFont="1" applyFill="1" applyBorder="1" applyAlignment="1">
      <alignment horizontal="left"/>
    </xf>
    <xf numFmtId="0" fontId="24" fillId="0" borderId="5" xfId="0" applyFont="1" applyBorder="1" applyAlignment="1">
      <alignment horizontal="left" indent="1"/>
    </xf>
    <xf numFmtId="168" fontId="24" fillId="0" borderId="5" xfId="0" applyNumberFormat="1" applyFont="1" applyBorder="1" applyAlignment="1">
      <alignment horizontal="left" vertical="center" indent="1"/>
    </xf>
    <xf numFmtId="0" fontId="24" fillId="0" borderId="14" xfId="0" applyFont="1" applyBorder="1" applyAlignment="1">
      <alignment horizontal="left" vertical="center" indent="1"/>
    </xf>
    <xf numFmtId="0" fontId="24" fillId="0" borderId="14" xfId="0" applyFont="1" applyFill="1" applyBorder="1" applyAlignment="1">
      <alignment horizontal="left" vertical="center" wrapText="1" indent="1"/>
    </xf>
    <xf numFmtId="0" fontId="24" fillId="0" borderId="14" xfId="0" applyFont="1" applyBorder="1" applyAlignment="1">
      <alignment horizontal="left" vertical="center" wrapText="1" indent="1"/>
    </xf>
    <xf numFmtId="0" fontId="24" fillId="0" borderId="7" xfId="0" applyFont="1" applyFill="1" applyBorder="1" applyAlignment="1">
      <alignment horizontal="left"/>
    </xf>
    <xf numFmtId="0" fontId="24" fillId="0" borderId="8" xfId="0" applyFont="1" applyBorder="1" applyAlignment="1">
      <alignment horizontal="left" vertical="center" indent="1"/>
    </xf>
    <xf numFmtId="0" fontId="29" fillId="0" borderId="0" xfId="0" applyFont="1"/>
    <xf numFmtId="0" fontId="26" fillId="0" borderId="0" xfId="0" applyFont="1" applyAlignment="1">
      <alignment horizontal="right"/>
    </xf>
    <xf numFmtId="0" fontId="24" fillId="0" borderId="0" xfId="0" applyFont="1" applyBorder="1" applyAlignment="1"/>
    <xf numFmtId="0" fontId="24" fillId="0" borderId="0" xfId="0" applyFont="1" applyFill="1" applyBorder="1" applyAlignment="1"/>
    <xf numFmtId="0" fontId="24" fillId="0" borderId="0" xfId="0" applyFont="1" applyFill="1" applyAlignment="1">
      <alignment horizontal="center"/>
    </xf>
    <xf numFmtId="0" fontId="24" fillId="0" borderId="0" xfId="0" applyFont="1" applyAlignment="1">
      <alignment horizontal="right"/>
    </xf>
    <xf numFmtId="0" fontId="24" fillId="0" borderId="0" xfId="0" applyFont="1" applyBorder="1"/>
    <xf numFmtId="0" fontId="26" fillId="0" borderId="0" xfId="0" applyFont="1" applyFill="1" applyBorder="1" applyAlignment="1">
      <alignment horizontal="center"/>
    </xf>
    <xf numFmtId="0" fontId="26" fillId="5" borderId="1" xfId="0" applyFont="1" applyFill="1" applyBorder="1" applyAlignment="1">
      <alignment horizontal="center"/>
    </xf>
    <xf numFmtId="0" fontId="24" fillId="0" borderId="0" xfId="0" applyFont="1" applyFill="1" applyBorder="1" applyAlignment="1">
      <alignment horizontal="right" wrapText="1"/>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Fill="1" applyBorder="1" applyAlignment="1">
      <alignment horizontal="right"/>
    </xf>
    <xf numFmtId="0" fontId="24" fillId="5" borderId="10" xfId="0" applyFont="1" applyFill="1" applyBorder="1" applyAlignment="1">
      <alignment horizontal="right"/>
    </xf>
    <xf numFmtId="168" fontId="24" fillId="0" borderId="5" xfId="0" applyNumberFormat="1" applyFont="1" applyBorder="1" applyAlignment="1">
      <alignment horizontal="left" indent="1"/>
    </xf>
    <xf numFmtId="0" fontId="24" fillId="5" borderId="6" xfId="0" applyFont="1" applyFill="1" applyBorder="1" applyAlignment="1">
      <alignment horizontal="right"/>
    </xf>
    <xf numFmtId="168" fontId="24" fillId="0" borderId="8" xfId="0" applyNumberFormat="1" applyFont="1" applyBorder="1" applyAlignment="1">
      <alignment horizontal="left" indent="1"/>
    </xf>
    <xf numFmtId="0" fontId="24" fillId="3" borderId="0" xfId="0" applyFont="1" applyFill="1" applyBorder="1" applyAlignment="1">
      <alignment horizontal="center"/>
    </xf>
    <xf numFmtId="0" fontId="24" fillId="0" borderId="7" xfId="0" applyFont="1" applyBorder="1"/>
    <xf numFmtId="0" fontId="26" fillId="6" borderId="1" xfId="0" applyFont="1" applyFill="1" applyBorder="1" applyAlignment="1">
      <alignment horizontal="center" vertical="center"/>
    </xf>
    <xf numFmtId="0" fontId="26" fillId="7" borderId="1" xfId="0" applyFont="1" applyFill="1" applyBorder="1" applyAlignment="1">
      <alignment horizontal="center"/>
    </xf>
    <xf numFmtId="0" fontId="24" fillId="0" borderId="14" xfId="0" applyFont="1" applyBorder="1"/>
    <xf numFmtId="0" fontId="24" fillId="6" borderId="10" xfId="0" applyFont="1" applyFill="1" applyBorder="1" applyAlignment="1">
      <alignment horizontal="right"/>
    </xf>
    <xf numFmtId="0" fontId="24" fillId="7" borderId="10" xfId="0" applyFont="1" applyFill="1" applyBorder="1" applyAlignment="1">
      <alignment horizontal="right"/>
    </xf>
    <xf numFmtId="0" fontId="24" fillId="0" borderId="0" xfId="0" applyFont="1" applyBorder="1" applyAlignment="1">
      <alignment vertical="center"/>
    </xf>
    <xf numFmtId="0" fontId="24" fillId="6" borderId="10" xfId="0" applyFont="1" applyFill="1" applyBorder="1" applyAlignment="1">
      <alignment horizontal="right"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168" fontId="24" fillId="0" borderId="5" xfId="0" applyNumberFormat="1" applyFont="1" applyFill="1" applyBorder="1" applyAlignment="1">
      <alignment horizontal="left" vertical="center" wrapText="1" indent="1"/>
    </xf>
    <xf numFmtId="0" fontId="24" fillId="0" borderId="5" xfId="0" applyFont="1" applyFill="1" applyBorder="1" applyAlignment="1">
      <alignment horizontal="left" vertical="center" wrapText="1" indent="1"/>
    </xf>
    <xf numFmtId="0" fontId="24" fillId="6" borderId="6" xfId="0" applyFont="1" applyFill="1" applyBorder="1" applyAlignment="1">
      <alignment horizontal="right"/>
    </xf>
    <xf numFmtId="168" fontId="24" fillId="0" borderId="8" xfId="0" applyNumberFormat="1" applyFont="1" applyBorder="1" applyAlignment="1">
      <alignment horizontal="left" vertical="center" indent="1"/>
    </xf>
    <xf numFmtId="0" fontId="24" fillId="0" borderId="0" xfId="0" applyFont="1" applyBorder="1" applyAlignment="1">
      <alignment vertical="center" wrapText="1"/>
    </xf>
    <xf numFmtId="0" fontId="24" fillId="7" borderId="6" xfId="0" applyFont="1" applyFill="1" applyBorder="1" applyAlignment="1">
      <alignment horizontal="right"/>
    </xf>
    <xf numFmtId="0" fontId="24" fillId="0" borderId="0" xfId="0" applyFont="1" applyBorder="1" applyAlignment="1">
      <alignment horizontal="right" wrapText="1"/>
    </xf>
    <xf numFmtId="0" fontId="26" fillId="0" borderId="0" xfId="0" applyFont="1" applyFill="1" applyBorder="1" applyAlignment="1">
      <alignment horizontal="right"/>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Protection="1"/>
    <xf numFmtId="1" fontId="24" fillId="0" borderId="0" xfId="0" applyNumberFormat="1" applyFont="1" applyProtection="1"/>
    <xf numFmtId="0" fontId="24" fillId="0" borderId="0" xfId="0" applyFont="1" applyFill="1" applyProtection="1"/>
    <xf numFmtId="1" fontId="24" fillId="0" borderId="0" xfId="0" applyNumberFormat="1" applyFont="1" applyFill="1" applyProtection="1"/>
    <xf numFmtId="0" fontId="24" fillId="0" borderId="0" xfId="0" applyNumberFormat="1" applyFont="1" applyFill="1" applyProtection="1"/>
    <xf numFmtId="3" fontId="24" fillId="0" borderId="0" xfId="0" applyNumberFormat="1" applyFont="1" applyFill="1" applyProtection="1"/>
    <xf numFmtId="0" fontId="30" fillId="8" borderId="0" xfId="0" applyFont="1" applyFill="1" applyAlignment="1">
      <alignment horizontal="center"/>
    </xf>
    <xf numFmtId="0" fontId="24" fillId="8" borderId="0" xfId="0" applyFont="1" applyFill="1"/>
    <xf numFmtId="0" fontId="31" fillId="8" borderId="0" xfId="0" applyFont="1" applyFill="1" applyAlignment="1">
      <alignment horizontal="center"/>
    </xf>
    <xf numFmtId="0" fontId="25" fillId="8" borderId="0" xfId="0" applyFont="1" applyFill="1" applyAlignment="1">
      <alignment horizontal="center"/>
    </xf>
    <xf numFmtId="0" fontId="26" fillId="8" borderId="0" xfId="0" applyFont="1" applyFill="1" applyAlignment="1">
      <alignment horizontal="center" vertical="top"/>
    </xf>
    <xf numFmtId="0" fontId="32" fillId="8" borderId="0" xfId="1" applyFont="1" applyFill="1" applyAlignment="1" applyProtection="1">
      <alignment horizontal="left" vertical="center"/>
    </xf>
    <xf numFmtId="0" fontId="24" fillId="8" borderId="0" xfId="0" applyFont="1" applyFill="1" applyAlignment="1">
      <alignment vertical="top" wrapText="1"/>
    </xf>
    <xf numFmtId="0" fontId="33" fillId="8" borderId="0" xfId="0" applyFont="1" applyFill="1" applyAlignment="1">
      <alignment vertical="top" wrapText="1"/>
    </xf>
    <xf numFmtId="0" fontId="24" fillId="8" borderId="0" xfId="0" applyFont="1" applyFill="1" applyAlignment="1">
      <alignment horizontal="center" vertical="top" wrapText="1"/>
    </xf>
    <xf numFmtId="0" fontId="24" fillId="8" borderId="0" xfId="0" applyFont="1" applyFill="1" applyAlignment="1">
      <alignment horizontal="left" vertical="top" wrapText="1"/>
    </xf>
    <xf numFmtId="0" fontId="24" fillId="8" borderId="0" xfId="1" applyFont="1" applyFill="1" applyAlignment="1" applyProtection="1">
      <alignment vertical="top" wrapText="1"/>
    </xf>
    <xf numFmtId="0" fontId="34" fillId="8" borderId="0" xfId="0" applyFont="1" applyFill="1" applyAlignment="1">
      <alignment horizontal="center" vertical="top"/>
    </xf>
    <xf numFmtId="0" fontId="24" fillId="0" borderId="0" xfId="0" applyFont="1" applyFill="1" applyAlignment="1">
      <alignment vertical="center"/>
    </xf>
    <xf numFmtId="0" fontId="35" fillId="0" borderId="0" xfId="0" applyFont="1" applyAlignment="1">
      <alignment vertical="center"/>
    </xf>
    <xf numFmtId="0" fontId="24" fillId="0" borderId="0" xfId="0" applyFont="1" applyAlignment="1">
      <alignment vertical="center"/>
    </xf>
    <xf numFmtId="0" fontId="24" fillId="0" borderId="0" xfId="0" applyFont="1" applyAlignment="1"/>
    <xf numFmtId="0" fontId="24" fillId="9" borderId="15" xfId="0" applyFont="1" applyFill="1" applyBorder="1" applyAlignment="1"/>
    <xf numFmtId="0" fontId="24" fillId="0" borderId="0" xfId="0" applyFont="1" applyFill="1" applyAlignment="1"/>
    <xf numFmtId="0" fontId="24" fillId="9" borderId="15" xfId="0" applyFont="1" applyFill="1" applyBorder="1" applyAlignment="1">
      <alignment vertical="center"/>
    </xf>
    <xf numFmtId="0" fontId="24" fillId="0" borderId="0" xfId="0" applyFont="1" applyBorder="1" applyAlignment="1">
      <alignment horizontal="center" vertical="center"/>
    </xf>
    <xf numFmtId="0" fontId="24" fillId="9" borderId="15" xfId="0" applyFont="1" applyFill="1" applyBorder="1" applyAlignment="1">
      <alignment horizontal="center" vertical="center"/>
    </xf>
    <xf numFmtId="0" fontId="26" fillId="0" borderId="16" xfId="0" applyFont="1" applyBorder="1" applyAlignment="1" applyProtection="1">
      <alignment horizontal="center" vertical="center" wrapText="1"/>
      <protection locked="0"/>
    </xf>
    <xf numFmtId="0" fontId="36" fillId="0" borderId="15" xfId="1" applyFont="1" applyBorder="1" applyAlignment="1" applyProtection="1">
      <alignment horizontal="center" vertical="center"/>
    </xf>
    <xf numFmtId="0" fontId="24" fillId="9" borderId="15" xfId="0" applyFont="1" applyFill="1" applyBorder="1" applyAlignment="1">
      <alignment horizontal="center" vertical="center" wrapText="1"/>
    </xf>
    <xf numFmtId="0" fontId="24" fillId="9" borderId="15" xfId="0" applyFont="1" applyFill="1" applyBorder="1" applyAlignment="1">
      <alignment horizontal="center"/>
    </xf>
    <xf numFmtId="0" fontId="26" fillId="3" borderId="15" xfId="0" applyFont="1" applyFill="1" applyBorder="1" applyAlignment="1" applyProtection="1">
      <alignment horizontal="center" vertical="center"/>
    </xf>
    <xf numFmtId="0" fontId="24" fillId="3" borderId="9" xfId="0" applyFont="1" applyFill="1" applyBorder="1" applyAlignment="1" applyProtection="1">
      <alignment horizontal="center" vertical="center"/>
    </xf>
    <xf numFmtId="0" fontId="26" fillId="0" borderId="0" xfId="0" applyFont="1" applyFill="1" applyBorder="1" applyAlignment="1">
      <alignment horizontal="center" vertical="center" wrapText="1"/>
    </xf>
    <xf numFmtId="167" fontId="24" fillId="0" borderId="0" xfId="0" applyNumberFormat="1" applyFont="1" applyBorder="1" applyAlignment="1">
      <alignment horizontal="center" vertical="center"/>
    </xf>
    <xf numFmtId="167" fontId="24" fillId="0" borderId="15" xfId="0" applyNumberFormat="1" applyFont="1" applyFill="1" applyBorder="1" applyAlignment="1">
      <alignment horizontal="center" vertical="center" wrapText="1"/>
    </xf>
    <xf numFmtId="0" fontId="24" fillId="9" borderId="15" xfId="0" applyFont="1" applyFill="1" applyBorder="1" applyAlignment="1">
      <alignment horizontal="left"/>
    </xf>
    <xf numFmtId="0" fontId="24" fillId="0" borderId="17"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9" borderId="15" xfId="0" applyNumberFormat="1" applyFont="1" applyFill="1" applyBorder="1" applyAlignment="1">
      <alignment vertical="center"/>
    </xf>
    <xf numFmtId="0" fontId="24" fillId="0" borderId="0" xfId="0" applyFont="1" applyBorder="1" applyAlignment="1">
      <alignment horizontal="left" vertical="center"/>
    </xf>
    <xf numFmtId="0" fontId="24" fillId="9" borderId="15" xfId="0" applyFont="1" applyFill="1" applyBorder="1" applyAlignment="1">
      <alignment horizontal="left" vertical="center"/>
    </xf>
    <xf numFmtId="0" fontId="24" fillId="0" borderId="0" xfId="0" applyFont="1" applyBorder="1" applyAlignment="1" applyProtection="1">
      <alignment horizontal="left" vertical="center" wrapText="1"/>
    </xf>
    <xf numFmtId="0" fontId="32" fillId="0" borderId="0" xfId="1" applyFont="1" applyBorder="1" applyAlignment="1" applyProtection="1">
      <alignment horizontal="left" vertical="center" wrapText="1"/>
    </xf>
    <xf numFmtId="0" fontId="26" fillId="0" borderId="5" xfId="0" applyFont="1" applyBorder="1" applyAlignment="1" applyProtection="1">
      <alignment horizontal="left" vertical="center" wrapText="1"/>
    </xf>
    <xf numFmtId="5" fontId="27" fillId="0" borderId="0" xfId="0" applyNumberFormat="1" applyFont="1" applyFill="1" applyBorder="1" applyAlignment="1" applyProtection="1">
      <alignment horizontal="left" vertical="center" wrapText="1"/>
      <protection hidden="1"/>
    </xf>
    <xf numFmtId="0" fontId="24" fillId="0" borderId="0" xfId="0" applyFont="1" applyAlignment="1">
      <alignment vertical="center" wrapText="1"/>
    </xf>
    <xf numFmtId="0" fontId="26" fillId="0" borderId="0" xfId="0" applyFont="1" applyBorder="1" applyAlignment="1">
      <alignment horizontal="center" vertical="center"/>
    </xf>
    <xf numFmtId="0" fontId="26" fillId="9" borderId="15" xfId="0" applyFont="1" applyFill="1" applyBorder="1" applyAlignment="1">
      <alignment horizontal="center" vertical="center" wrapText="1"/>
    </xf>
    <xf numFmtId="0" fontId="26" fillId="9" borderId="1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8" xfId="0" applyFont="1" applyFill="1" applyBorder="1" applyAlignment="1">
      <alignment horizontal="center" vertical="center"/>
    </xf>
    <xf numFmtId="0" fontId="27" fillId="0" borderId="0" xfId="0" applyFont="1" applyFill="1" applyBorder="1" applyAlignment="1">
      <alignment vertical="center" wrapText="1"/>
    </xf>
    <xf numFmtId="0" fontId="24" fillId="0" borderId="0" xfId="0" applyFont="1" applyFill="1" applyAlignment="1">
      <alignment vertical="center" wrapText="1"/>
    </xf>
    <xf numFmtId="0" fontId="26" fillId="0" borderId="16" xfId="0" applyFont="1" applyBorder="1" applyAlignment="1" applyProtection="1">
      <alignment horizontal="center" vertical="center"/>
      <protection locked="0"/>
    </xf>
    <xf numFmtId="0" fontId="26" fillId="0" borderId="19" xfId="0" applyFont="1" applyFill="1" applyBorder="1" applyAlignment="1" applyProtection="1">
      <alignment vertical="center"/>
      <protection locked="0"/>
    </xf>
    <xf numFmtId="0" fontId="24" fillId="0" borderId="0" xfId="0" applyFont="1" applyFill="1" applyBorder="1" applyAlignment="1">
      <alignment vertical="center"/>
    </xf>
    <xf numFmtId="0" fontId="24" fillId="0" borderId="15" xfId="0" applyFont="1" applyFill="1" applyBorder="1" applyAlignment="1">
      <alignment horizontal="center" vertical="center" wrapText="1"/>
    </xf>
    <xf numFmtId="0" fontId="24" fillId="0" borderId="15" xfId="0" applyFont="1" applyFill="1" applyBorder="1" applyAlignment="1">
      <alignment vertical="center"/>
    </xf>
    <xf numFmtId="0" fontId="26" fillId="0" borderId="18" xfId="0" applyFont="1" applyFill="1" applyBorder="1" applyAlignment="1" applyProtection="1">
      <alignment vertical="center"/>
      <protection locked="0"/>
    </xf>
    <xf numFmtId="0" fontId="24" fillId="0" borderId="15" xfId="0" applyFont="1" applyFill="1" applyBorder="1" applyAlignment="1">
      <alignment horizontal="center" vertical="center"/>
    </xf>
    <xf numFmtId="0" fontId="26" fillId="0" borderId="20" xfId="0" applyFont="1" applyBorder="1" applyAlignment="1" applyProtection="1">
      <alignment horizontal="center" vertical="center"/>
      <protection locked="0"/>
    </xf>
    <xf numFmtId="0" fontId="26" fillId="0" borderId="21" xfId="0" applyFont="1" applyFill="1" applyBorder="1" applyAlignment="1" applyProtection="1">
      <alignment vertical="center"/>
      <protection locked="0"/>
    </xf>
    <xf numFmtId="0" fontId="26" fillId="0" borderId="0" xfId="0" applyFont="1" applyFill="1" applyBorder="1" applyAlignment="1">
      <alignment horizontal="left" vertical="center"/>
    </xf>
    <xf numFmtId="0" fontId="24" fillId="8" borderId="0" xfId="0" applyFont="1" applyFill="1" applyBorder="1" applyAlignment="1">
      <alignment horizontal="left" vertical="center"/>
    </xf>
    <xf numFmtId="0" fontId="24" fillId="8" borderId="0" xfId="0" applyFont="1" applyFill="1" applyBorder="1" applyAlignment="1">
      <alignment vertical="center"/>
    </xf>
    <xf numFmtId="0" fontId="24" fillId="8" borderId="0" xfId="0" applyFont="1" applyFill="1" applyBorder="1" applyAlignment="1"/>
    <xf numFmtId="0" fontId="24" fillId="0" borderId="15" xfId="0" applyFont="1" applyBorder="1" applyAlignment="1">
      <alignment horizontal="right" vertical="center"/>
    </xf>
    <xf numFmtId="167" fontId="24" fillId="0" borderId="0" xfId="0" applyNumberFormat="1" applyFont="1" applyFill="1" applyBorder="1" applyAlignment="1">
      <alignment horizontal="center" vertical="center"/>
    </xf>
    <xf numFmtId="0" fontId="32" fillId="0" borderId="0" xfId="1" applyFont="1" applyFill="1" applyBorder="1" applyAlignment="1" applyProtection="1">
      <alignment horizontal="left" vertical="center"/>
    </xf>
    <xf numFmtId="0" fontId="32" fillId="0" borderId="0" xfId="1" applyFont="1" applyFill="1" applyBorder="1" applyAlignment="1" applyProtection="1">
      <alignment vertical="center"/>
    </xf>
    <xf numFmtId="0" fontId="32" fillId="0" borderId="0" xfId="1" applyFont="1" applyFill="1" applyBorder="1" applyAlignment="1" applyProtection="1"/>
    <xf numFmtId="0" fontId="26" fillId="0" borderId="0" xfId="0" applyFont="1" applyFill="1" applyAlignment="1" applyProtection="1">
      <alignment vertical="center"/>
    </xf>
    <xf numFmtId="0" fontId="24" fillId="0" borderId="0" xfId="0" applyFont="1" applyBorder="1" applyAlignment="1" applyProtection="1">
      <alignment vertical="center"/>
    </xf>
    <xf numFmtId="0" fontId="24" fillId="0" borderId="15" xfId="0" applyFont="1" applyFill="1" applyBorder="1" applyAlignment="1"/>
    <xf numFmtId="0" fontId="24" fillId="0" borderId="15" xfId="0" applyFont="1" applyBorder="1" applyAlignment="1">
      <alignment horizontal="left" vertical="center" wrapText="1"/>
    </xf>
    <xf numFmtId="0" fontId="26" fillId="0" borderId="0" xfId="0" applyFont="1" applyBorder="1" applyAlignment="1" applyProtection="1">
      <alignment horizontal="left" vertical="center" wrapText="1"/>
    </xf>
    <xf numFmtId="0" fontId="26" fillId="0" borderId="0" xfId="0" applyFont="1" applyBorder="1" applyAlignment="1" applyProtection="1">
      <alignment vertical="center" wrapText="1"/>
    </xf>
    <xf numFmtId="0" fontId="26" fillId="0" borderId="5" xfId="0" applyFont="1" applyBorder="1" applyAlignment="1" applyProtection="1">
      <alignment vertical="center" wrapText="1"/>
    </xf>
    <xf numFmtId="0" fontId="27" fillId="0" borderId="0" xfId="0" applyFont="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horizontal="left" vertical="center" wrapText="1"/>
    </xf>
    <xf numFmtId="0" fontId="37" fillId="0" borderId="22" xfId="0" applyFont="1" applyFill="1" applyBorder="1" applyAlignment="1">
      <alignment horizontal="center" vertical="center"/>
    </xf>
    <xf numFmtId="0" fontId="37" fillId="0" borderId="23" xfId="0" applyFont="1" applyFill="1" applyBorder="1" applyAlignment="1">
      <alignment horizontal="center" vertical="center"/>
    </xf>
    <xf numFmtId="0" fontId="24" fillId="8" borderId="0" xfId="1" applyFont="1" applyFill="1" applyBorder="1" applyAlignment="1" applyProtection="1">
      <alignment horizontal="left" vertical="center"/>
    </xf>
    <xf numFmtId="0" fontId="32" fillId="8" borderId="0" xfId="1" applyFont="1" applyFill="1" applyBorder="1" applyAlignment="1" applyProtection="1">
      <alignment vertical="center"/>
    </xf>
    <xf numFmtId="0" fontId="24" fillId="8" borderId="0" xfId="1" applyFont="1" applyFill="1" applyBorder="1" applyAlignment="1" applyProtection="1">
      <alignment vertical="center"/>
    </xf>
    <xf numFmtId="0" fontId="32" fillId="8" borderId="0" xfId="1" applyFont="1" applyFill="1" applyBorder="1" applyAlignment="1" applyProtection="1">
      <alignment horizontal="left"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8" borderId="0" xfId="0" applyFont="1" applyFill="1" applyBorder="1" applyAlignment="1">
      <alignment horizontal="left" vertical="center" wrapText="1"/>
    </xf>
    <xf numFmtId="0" fontId="37" fillId="8" borderId="0" xfId="0" applyFont="1" applyFill="1" applyBorder="1" applyAlignment="1">
      <alignment vertical="center" wrapText="1"/>
    </xf>
    <xf numFmtId="0" fontId="26" fillId="8" borderId="0" xfId="0" applyFont="1" applyFill="1" applyBorder="1" applyAlignment="1">
      <alignment vertical="center" wrapText="1"/>
    </xf>
    <xf numFmtId="0" fontId="24" fillId="8" borderId="0" xfId="0" applyFont="1" applyFill="1" applyBorder="1" applyAlignment="1" applyProtection="1">
      <alignment horizontal="right" vertical="center" wrapText="1"/>
    </xf>
    <xf numFmtId="0" fontId="24" fillId="8" borderId="0" xfId="0" applyFont="1" applyFill="1" applyBorder="1" applyAlignment="1">
      <alignment horizontal="right" vertical="center" wrapText="1"/>
    </xf>
    <xf numFmtId="0" fontId="26" fillId="8" borderId="0" xfId="0" applyFont="1" applyFill="1" applyBorder="1" applyAlignment="1" applyProtection="1">
      <alignment horizontal="left" vertical="center" wrapText="1"/>
      <protection locked="0"/>
    </xf>
    <xf numFmtId="0" fontId="24" fillId="8" borderId="0" xfId="0" applyFont="1" applyFill="1" applyBorder="1" applyAlignment="1">
      <alignment horizontal="left" vertical="center" wrapText="1"/>
    </xf>
    <xf numFmtId="0" fontId="26" fillId="8" borderId="0" xfId="0" applyFont="1" applyFill="1" applyBorder="1" applyAlignment="1" applyProtection="1">
      <alignment vertical="center" wrapText="1"/>
      <protection locked="0"/>
    </xf>
    <xf numFmtId="0" fontId="24" fillId="8" borderId="0" xfId="0" applyFont="1" applyFill="1" applyBorder="1" applyAlignment="1">
      <alignment vertical="center" wrapText="1"/>
    </xf>
    <xf numFmtId="0" fontId="24" fillId="8" borderId="0" xfId="0" applyFont="1" applyFill="1" applyBorder="1" applyAlignment="1" applyProtection="1">
      <alignment horizontal="left" vertical="center" wrapText="1"/>
    </xf>
    <xf numFmtId="0" fontId="26" fillId="8" borderId="0" xfId="0" applyFont="1" applyFill="1" applyBorder="1" applyAlignment="1" applyProtection="1">
      <alignment horizontal="left" vertical="center" wrapText="1"/>
    </xf>
    <xf numFmtId="0" fontId="26" fillId="8" borderId="0" xfId="0" applyFont="1" applyFill="1" applyBorder="1" applyAlignment="1" applyProtection="1">
      <alignment vertical="center" wrapText="1"/>
    </xf>
    <xf numFmtId="0" fontId="32" fillId="0" borderId="0" xfId="1" applyFont="1" applyFill="1" applyBorder="1" applyAlignment="1" applyProtection="1">
      <alignment horizontal="left" vertical="center" wrapText="1"/>
    </xf>
    <xf numFmtId="0" fontId="24" fillId="0" borderId="0" xfId="0" applyFont="1" applyFill="1" applyAlignment="1">
      <alignment horizontal="left" vertical="center" wrapText="1"/>
    </xf>
    <xf numFmtId="0" fontId="32" fillId="8" borderId="0" xfId="1" applyFont="1" applyFill="1" applyBorder="1" applyAlignment="1" applyProtection="1">
      <alignment horizontal="left" vertical="center" wrapText="1"/>
    </xf>
    <xf numFmtId="0" fontId="32" fillId="8" borderId="0" xfId="1" applyFont="1" applyFill="1" applyBorder="1" applyAlignment="1" applyProtection="1">
      <alignment horizontal="left" vertical="center" wrapText="1"/>
      <protection locked="0"/>
    </xf>
    <xf numFmtId="0" fontId="37" fillId="8" borderId="0" xfId="0" applyFont="1" applyFill="1" applyBorder="1" applyAlignment="1">
      <alignment horizontal="center" vertical="center" wrapText="1"/>
    </xf>
    <xf numFmtId="0" fontId="38" fillId="8" borderId="0" xfId="0" applyFont="1" applyFill="1" applyBorder="1" applyAlignment="1">
      <alignment horizontal="left" vertical="center"/>
    </xf>
    <xf numFmtId="0" fontId="37" fillId="8" borderId="0" xfId="0" applyFont="1" applyFill="1" applyBorder="1" applyAlignment="1" applyProtection="1">
      <alignment horizontal="center" vertical="center"/>
    </xf>
    <xf numFmtId="0" fontId="26" fillId="0" borderId="0" xfId="0" applyFont="1" applyFill="1" applyAlignment="1">
      <alignment vertical="center"/>
    </xf>
    <xf numFmtId="0" fontId="24" fillId="8" borderId="0" xfId="0" applyFont="1" applyFill="1" applyBorder="1" applyProtection="1"/>
    <xf numFmtId="0" fontId="24" fillId="9" borderId="15" xfId="0" applyFont="1" applyFill="1" applyBorder="1" applyProtection="1"/>
    <xf numFmtId="0" fontId="24" fillId="10" borderId="24" xfId="0" applyFont="1" applyFill="1" applyBorder="1" applyProtection="1"/>
    <xf numFmtId="0" fontId="39" fillId="10" borderId="15" xfId="0" applyFont="1" applyFill="1" applyBorder="1" applyAlignment="1">
      <alignment horizontal="right"/>
    </xf>
    <xf numFmtId="0" fontId="37" fillId="3" borderId="15" xfId="0" applyFont="1" applyFill="1" applyBorder="1" applyAlignment="1" applyProtection="1">
      <alignment horizontal="center" vertical="center"/>
    </xf>
    <xf numFmtId="0" fontId="37" fillId="3" borderId="18" xfId="0" applyFont="1" applyFill="1" applyBorder="1" applyAlignment="1" applyProtection="1">
      <alignment horizontal="center" vertical="center"/>
    </xf>
    <xf numFmtId="0" fontId="39" fillId="10" borderId="15" xfId="0" applyFont="1" applyFill="1" applyBorder="1" applyAlignment="1"/>
    <xf numFmtId="0" fontId="24" fillId="11" borderId="15" xfId="0" applyFont="1" applyFill="1" applyBorder="1" applyAlignment="1" applyProtection="1">
      <alignment horizontal="center" vertical="center" wrapText="1"/>
    </xf>
    <xf numFmtId="0" fontId="24" fillId="11" borderId="15" xfId="0" applyFont="1" applyFill="1" applyBorder="1" applyAlignment="1" applyProtection="1">
      <alignment horizontal="center" wrapText="1"/>
    </xf>
    <xf numFmtId="0" fontId="24" fillId="11" borderId="15" xfId="0" applyFont="1" applyFill="1" applyBorder="1" applyAlignment="1">
      <alignment horizontal="center" vertical="center" wrapText="1"/>
    </xf>
    <xf numFmtId="0" fontId="24" fillId="8" borderId="15" xfId="0" applyFont="1" applyFill="1" applyBorder="1" applyAlignment="1" applyProtection="1">
      <alignment horizontal="center" vertical="center"/>
      <protection locked="0"/>
    </xf>
    <xf numFmtId="0" fontId="24" fillId="8" borderId="18" xfId="0" applyFont="1" applyFill="1" applyBorder="1" applyAlignment="1" applyProtection="1">
      <alignment horizontal="center" vertical="center"/>
      <protection locked="0"/>
    </xf>
    <xf numFmtId="0" fontId="24" fillId="10" borderId="15" xfId="0" applyFont="1" applyFill="1" applyBorder="1" applyProtection="1"/>
    <xf numFmtId="164" fontId="24" fillId="12" borderId="15" xfId="0" applyNumberFormat="1" applyFont="1" applyFill="1" applyBorder="1" applyAlignment="1" applyProtection="1">
      <alignment horizontal="center"/>
    </xf>
    <xf numFmtId="164" fontId="24" fillId="12" borderId="15" xfId="0" applyNumberFormat="1" applyFont="1" applyFill="1" applyBorder="1" applyAlignment="1">
      <alignment horizontal="center"/>
    </xf>
    <xf numFmtId="0" fontId="24" fillId="8" borderId="25" xfId="0" applyFont="1" applyFill="1" applyBorder="1" applyAlignment="1" applyProtection="1">
      <alignment horizontal="center" vertical="center"/>
    </xf>
    <xf numFmtId="0" fontId="24" fillId="8" borderId="26" xfId="0" applyFont="1" applyFill="1" applyBorder="1" applyAlignment="1" applyProtection="1">
      <alignment horizontal="center" vertical="center"/>
    </xf>
    <xf numFmtId="0" fontId="24" fillId="9" borderId="24" xfId="0" applyFont="1" applyFill="1" applyBorder="1" applyAlignment="1" applyProtection="1">
      <alignment horizontal="left" vertical="center" wrapText="1"/>
    </xf>
    <xf numFmtId="0" fontId="24" fillId="9" borderId="15" xfId="0" applyFont="1" applyFill="1" applyBorder="1" applyAlignment="1" applyProtection="1">
      <alignment horizontal="left" vertical="center" wrapText="1"/>
    </xf>
    <xf numFmtId="0" fontId="24" fillId="0" borderId="0" xfId="0" applyFont="1" applyAlignment="1" applyProtection="1">
      <alignment horizontal="left" vertical="center" wrapText="1"/>
    </xf>
    <xf numFmtId="0" fontId="24" fillId="9" borderId="24" xfId="0" applyFont="1" applyFill="1" applyBorder="1" applyProtection="1"/>
    <xf numFmtId="0" fontId="24" fillId="0" borderId="0" xfId="0" applyFont="1" applyFill="1" applyBorder="1" applyAlignment="1" applyProtection="1">
      <alignment horizontal="center" vertical="center"/>
    </xf>
    <xf numFmtId="0" fontId="37" fillId="3" borderId="14"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wrapText="1"/>
    </xf>
    <xf numFmtId="0" fontId="26" fillId="13" borderId="15" xfId="0" applyFont="1" applyFill="1" applyBorder="1" applyAlignment="1" applyProtection="1">
      <alignment horizontal="center" vertical="center" wrapText="1"/>
    </xf>
    <xf numFmtId="164" fontId="24" fillId="0" borderId="0" xfId="0" applyNumberFormat="1" applyFont="1" applyFill="1" applyBorder="1" applyAlignment="1" applyProtection="1">
      <alignment horizontal="right" vertical="center" wrapText="1"/>
    </xf>
    <xf numFmtId="0" fontId="24" fillId="8" borderId="27" xfId="0" applyFont="1" applyFill="1" applyBorder="1" applyAlignment="1" applyProtection="1">
      <alignment wrapText="1"/>
    </xf>
    <xf numFmtId="0" fontId="24" fillId="13" borderId="15" xfId="0" applyFont="1" applyFill="1" applyBorder="1" applyAlignment="1" applyProtection="1">
      <alignment horizontal="center" vertical="center" wrapText="1"/>
    </xf>
    <xf numFmtId="0" fontId="24" fillId="8" borderId="28" xfId="0" applyFont="1" applyFill="1" applyBorder="1" applyAlignment="1" applyProtection="1">
      <alignment wrapText="1"/>
    </xf>
    <xf numFmtId="0" fontId="26" fillId="8" borderId="28" xfId="0" applyFont="1" applyFill="1" applyBorder="1" applyAlignment="1" applyProtection="1">
      <alignment wrapText="1"/>
    </xf>
    <xf numFmtId="0" fontId="24" fillId="8" borderId="29" xfId="0" applyFont="1" applyFill="1" applyBorder="1" applyAlignment="1" applyProtection="1">
      <alignment wrapText="1"/>
    </xf>
    <xf numFmtId="0" fontId="24" fillId="8" borderId="29" xfId="0" applyFont="1" applyFill="1" applyBorder="1" applyAlignment="1" applyProtection="1">
      <alignment horizontal="left" vertical="center" wrapText="1"/>
    </xf>
    <xf numFmtId="0" fontId="24" fillId="9" borderId="24" xfId="0" applyFont="1" applyFill="1" applyBorder="1" applyAlignment="1"/>
    <xf numFmtId="0" fontId="26" fillId="13" borderId="3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top" wrapText="1" indent="1"/>
    </xf>
    <xf numFmtId="0" fontId="27" fillId="0" borderId="0" xfId="0" applyFont="1" applyBorder="1" applyAlignment="1">
      <alignment horizontal="left" vertical="top" wrapText="1" indent="1"/>
    </xf>
    <xf numFmtId="0" fontId="27" fillId="0" borderId="0" xfId="0" applyFont="1" applyBorder="1" applyAlignment="1">
      <alignment horizontal="left" vertical="top" wrapText="1"/>
    </xf>
    <xf numFmtId="0" fontId="24" fillId="8" borderId="15" xfId="0" applyFont="1" applyFill="1" applyBorder="1" applyAlignment="1">
      <alignment horizontal="center"/>
    </xf>
    <xf numFmtId="0" fontId="24" fillId="0" borderId="0" xfId="0" applyFont="1" applyAlignment="1">
      <alignment horizontal="left" vertical="center"/>
    </xf>
    <xf numFmtId="0" fontId="39" fillId="9" borderId="15" xfId="0" applyFont="1" applyFill="1" applyBorder="1" applyAlignment="1"/>
    <xf numFmtId="0" fontId="27" fillId="0" borderId="0" xfId="0" applyFont="1"/>
    <xf numFmtId="0" fontId="26" fillId="0" borderId="31" xfId="0" applyFont="1" applyFill="1" applyBorder="1" applyAlignment="1" applyProtection="1">
      <alignment vertical="center"/>
    </xf>
    <xf numFmtId="0" fontId="24" fillId="8" borderId="32" xfId="0" applyFont="1" applyFill="1" applyBorder="1" applyAlignment="1" applyProtection="1"/>
    <xf numFmtId="0" fontId="24" fillId="8" borderId="33" xfId="0" applyFont="1" applyFill="1" applyBorder="1" applyAlignment="1" applyProtection="1"/>
    <xf numFmtId="0" fontId="26" fillId="8" borderId="33" xfId="0" applyFont="1" applyFill="1" applyBorder="1" applyAlignment="1" applyProtection="1">
      <alignment horizontal="center"/>
    </xf>
    <xf numFmtId="0" fontId="26" fillId="8" borderId="32" xfId="0" applyFont="1" applyFill="1" applyBorder="1" applyAlignment="1" applyProtection="1">
      <alignment horizontal="left" vertical="center"/>
    </xf>
    <xf numFmtId="166" fontId="26" fillId="8" borderId="0" xfId="0" applyNumberFormat="1" applyFont="1" applyFill="1" applyBorder="1" applyAlignment="1" applyProtection="1">
      <alignment horizontal="right" indent="1"/>
    </xf>
    <xf numFmtId="166" fontId="29" fillId="17" borderId="0" xfId="0" applyNumberFormat="1" applyFont="1" applyFill="1" applyBorder="1" applyAlignment="1" applyProtection="1">
      <alignment horizontal="left" vertical="center" indent="1"/>
    </xf>
    <xf numFmtId="166" fontId="29" fillId="8" borderId="0" xfId="0" applyNumberFormat="1" applyFont="1" applyFill="1" applyBorder="1" applyAlignment="1" applyProtection="1">
      <alignment horizontal="right" indent="1"/>
    </xf>
    <xf numFmtId="166" fontId="26" fillId="17" borderId="0" xfId="0" applyNumberFormat="1" applyFont="1" applyFill="1" applyBorder="1" applyAlignment="1" applyProtection="1">
      <alignment horizontal="right" indent="1"/>
    </xf>
    <xf numFmtId="0" fontId="24" fillId="8" borderId="0" xfId="0" applyFont="1" applyFill="1" applyProtection="1"/>
    <xf numFmtId="0" fontId="24" fillId="8" borderId="0" xfId="0" applyFont="1" applyFill="1" applyAlignment="1" applyProtection="1"/>
    <xf numFmtId="0" fontId="40" fillId="17" borderId="0" xfId="0" applyFont="1" applyFill="1" applyBorder="1" applyAlignment="1" applyProtection="1">
      <alignment horizontal="center" vertical="center"/>
    </xf>
    <xf numFmtId="0" fontId="41" fillId="10" borderId="0" xfId="0" applyFont="1" applyFill="1" applyBorder="1" applyAlignment="1" applyProtection="1"/>
    <xf numFmtId="0" fontId="41" fillId="10" borderId="0" xfId="0" applyFont="1" applyFill="1" applyBorder="1" applyAlignment="1" applyProtection="1">
      <alignment horizontal="right"/>
    </xf>
    <xf numFmtId="0" fontId="42" fillId="18" borderId="0" xfId="0" applyFont="1" applyFill="1" applyAlignment="1" applyProtection="1"/>
    <xf numFmtId="0" fontId="37" fillId="17" borderId="0"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xf>
    <xf numFmtId="0" fontId="37" fillId="19" borderId="0" xfId="0" applyNumberFormat="1" applyFont="1" applyFill="1" applyBorder="1" applyAlignment="1" applyProtection="1">
      <alignment horizontal="left" vertical="center" wrapText="1"/>
    </xf>
    <xf numFmtId="0" fontId="42" fillId="18" borderId="0" xfId="9" applyFont="1" applyFill="1" applyProtection="1"/>
    <xf numFmtId="0" fontId="24" fillId="20" borderId="0" xfId="0" applyFont="1" applyFill="1" applyAlignment="1" applyProtection="1"/>
    <xf numFmtId="0" fontId="26" fillId="17" borderId="0" xfId="0" applyFont="1" applyFill="1" applyAlignment="1" applyProtection="1">
      <alignment vertical="center"/>
    </xf>
    <xf numFmtId="0" fontId="37" fillId="20" borderId="34" xfId="0" applyNumberFormat="1" applyFont="1" applyFill="1" applyBorder="1" applyAlignment="1" applyProtection="1">
      <alignment horizontal="left" vertical="center"/>
    </xf>
    <xf numFmtId="0" fontId="37" fillId="20" borderId="29" xfId="0" applyNumberFormat="1" applyFont="1" applyFill="1" applyBorder="1" applyAlignment="1" applyProtection="1">
      <alignment horizontal="left" vertical="center" wrapText="1"/>
    </xf>
    <xf numFmtId="0" fontId="26" fillId="17" borderId="29" xfId="0" applyNumberFormat="1" applyFont="1" applyFill="1" applyBorder="1" applyAlignment="1" applyProtection="1">
      <alignment horizontal="left" vertical="center"/>
    </xf>
    <xf numFmtId="0" fontId="37" fillId="17" borderId="29" xfId="0" applyNumberFormat="1" applyFont="1" applyFill="1" applyBorder="1" applyAlignment="1" applyProtection="1">
      <alignment horizontal="left" vertical="center" wrapText="1"/>
    </xf>
    <xf numFmtId="0" fontId="37" fillId="17" borderId="24" xfId="0" applyNumberFormat="1" applyFont="1" applyFill="1" applyBorder="1" applyAlignment="1" applyProtection="1">
      <alignment horizontal="left" vertical="center" wrapText="1"/>
    </xf>
    <xf numFmtId="0" fontId="24" fillId="17" borderId="0" xfId="0" applyFont="1" applyFill="1" applyAlignment="1" applyProtection="1"/>
    <xf numFmtId="0" fontId="37" fillId="17" borderId="0" xfId="0" applyFont="1" applyFill="1" applyBorder="1" applyAlignment="1" applyProtection="1">
      <alignment horizontal="left" vertical="center"/>
    </xf>
    <xf numFmtId="0" fontId="40" fillId="20" borderId="35" xfId="0" applyFont="1" applyFill="1" applyBorder="1" applyAlignment="1" applyProtection="1">
      <alignment horizontal="left" vertical="center"/>
    </xf>
    <xf numFmtId="0" fontId="40" fillId="20" borderId="22" xfId="0" applyFont="1" applyFill="1" applyBorder="1" applyAlignment="1" applyProtection="1">
      <alignment horizontal="left" vertical="center"/>
    </xf>
    <xf numFmtId="0" fontId="26" fillId="17" borderId="36" xfId="0" applyFont="1" applyFill="1" applyBorder="1" applyAlignment="1" applyProtection="1">
      <alignment horizontal="left" vertical="center"/>
    </xf>
    <xf numFmtId="0" fontId="40" fillId="21" borderId="37" xfId="0" applyFont="1" applyFill="1" applyBorder="1" applyAlignment="1" applyProtection="1">
      <alignment horizontal="center" vertical="center"/>
    </xf>
    <xf numFmtId="0" fontId="24" fillId="8" borderId="38" xfId="0" applyFont="1" applyFill="1" applyBorder="1" applyAlignment="1" applyProtection="1">
      <alignment horizontal="center" vertical="center"/>
    </xf>
    <xf numFmtId="0" fontId="40" fillId="21" borderId="38" xfId="0" applyFont="1" applyFill="1" applyBorder="1" applyAlignment="1" applyProtection="1">
      <alignment horizontal="center" vertical="center"/>
    </xf>
    <xf numFmtId="0" fontId="24" fillId="8" borderId="39" xfId="0" applyFont="1" applyFill="1" applyBorder="1" applyAlignment="1" applyProtection="1">
      <alignment horizontal="center" vertical="center"/>
    </xf>
    <xf numFmtId="1" fontId="24" fillId="20" borderId="0" xfId="0" applyNumberFormat="1" applyFont="1" applyFill="1" applyAlignment="1" applyProtection="1"/>
    <xf numFmtId="0" fontId="24" fillId="17" borderId="40" xfId="0" applyFont="1" applyFill="1" applyBorder="1" applyAlignment="1" applyProtection="1">
      <alignment vertical="center"/>
    </xf>
    <xf numFmtId="0" fontId="24" fillId="19" borderId="0" xfId="0" applyFont="1" applyFill="1" applyBorder="1" applyProtection="1"/>
    <xf numFmtId="0" fontId="24" fillId="8" borderId="0" xfId="0" applyFont="1" applyFill="1" applyBorder="1" applyAlignment="1" applyProtection="1">
      <alignment vertical="center"/>
    </xf>
    <xf numFmtId="0" fontId="27" fillId="17" borderId="5" xfId="0" applyFont="1" applyFill="1" applyBorder="1" applyAlignment="1" applyProtection="1">
      <alignment vertical="center"/>
    </xf>
    <xf numFmtId="0" fontId="27" fillId="8" borderId="5" xfId="0" applyFont="1" applyFill="1" applyBorder="1" applyAlignment="1" applyProtection="1">
      <alignment vertical="center" wrapText="1"/>
    </xf>
    <xf numFmtId="0" fontId="27" fillId="8" borderId="0" xfId="0" applyFont="1" applyFill="1" applyBorder="1" applyAlignment="1" applyProtection="1">
      <alignment vertical="center" wrapText="1"/>
    </xf>
    <xf numFmtId="0" fontId="24" fillId="19" borderId="0" xfId="0" applyFont="1" applyFill="1" applyBorder="1" applyAlignment="1" applyProtection="1">
      <alignment vertical="center" wrapText="1"/>
    </xf>
    <xf numFmtId="0" fontId="24" fillId="8" borderId="0" xfId="5" applyFont="1" applyFill="1" applyAlignment="1" applyProtection="1">
      <alignment vertical="center"/>
    </xf>
    <xf numFmtId="164" fontId="24" fillId="8" borderId="3" xfId="0" applyNumberFormat="1" applyFont="1" applyFill="1" applyBorder="1" applyAlignment="1" applyProtection="1">
      <alignment vertical="center"/>
    </xf>
    <xf numFmtId="164" fontId="24" fillId="8" borderId="29" xfId="0" applyNumberFormat="1" applyFont="1" applyFill="1" applyBorder="1" applyAlignment="1" applyProtection="1">
      <alignment vertical="center"/>
    </xf>
    <xf numFmtId="0" fontId="24" fillId="17" borderId="0" xfId="0" applyFont="1" applyFill="1" applyBorder="1" applyAlignment="1" applyProtection="1"/>
    <xf numFmtId="0" fontId="27" fillId="8" borderId="0" xfId="0" applyFont="1" applyFill="1" applyBorder="1" applyAlignment="1" applyProtection="1">
      <alignment horizontal="left" vertical="center" wrapText="1"/>
    </xf>
    <xf numFmtId="0" fontId="24" fillId="19" borderId="0" xfId="0" applyFont="1" applyFill="1" applyBorder="1" applyAlignment="1" applyProtection="1">
      <alignment horizontal="left" vertical="center" wrapText="1"/>
    </xf>
    <xf numFmtId="0" fontId="24" fillId="8" borderId="0" xfId="3" applyFont="1" applyFill="1" applyAlignment="1" applyProtection="1">
      <alignment vertical="center"/>
    </xf>
    <xf numFmtId="0" fontId="27" fillId="8" borderId="8" xfId="0" applyFont="1" applyFill="1" applyBorder="1" applyAlignment="1" applyProtection="1">
      <alignment vertical="center" wrapText="1"/>
    </xf>
    <xf numFmtId="0" fontId="29" fillId="8" borderId="0" xfId="0" applyFont="1" applyFill="1" applyBorder="1" applyAlignment="1" applyProtection="1">
      <alignment horizontal="left" vertical="center" wrapText="1"/>
    </xf>
    <xf numFmtId="0" fontId="24" fillId="22" borderId="0" xfId="0" applyFont="1" applyFill="1" applyAlignment="1" applyProtection="1"/>
    <xf numFmtId="0" fontId="27" fillId="17" borderId="0" xfId="0" applyFont="1" applyFill="1" applyBorder="1" applyAlignment="1" applyProtection="1">
      <alignment vertical="center" wrapText="1"/>
    </xf>
    <xf numFmtId="0" fontId="29" fillId="17" borderId="0" xfId="0" applyFont="1" applyFill="1" applyBorder="1" applyAlignment="1" applyProtection="1">
      <alignment vertical="center" wrapText="1"/>
    </xf>
    <xf numFmtId="0" fontId="24" fillId="23" borderId="36" xfId="0" applyFont="1" applyFill="1" applyBorder="1" applyAlignment="1" applyProtection="1">
      <alignment vertical="center" wrapText="1"/>
    </xf>
    <xf numFmtId="0" fontId="40" fillId="23" borderId="15" xfId="0" applyFont="1" applyFill="1" applyBorder="1" applyAlignment="1" applyProtection="1">
      <alignment horizontal="center" vertical="center" wrapText="1"/>
    </xf>
    <xf numFmtId="0" fontId="40" fillId="23" borderId="18" xfId="0" applyFont="1" applyFill="1" applyBorder="1" applyAlignment="1" applyProtection="1">
      <alignment horizontal="center" vertical="center" wrapText="1"/>
    </xf>
    <xf numFmtId="0" fontId="24" fillId="17" borderId="0" xfId="0" applyFont="1" applyFill="1" applyAlignment="1" applyProtection="1">
      <alignment vertical="center"/>
    </xf>
    <xf numFmtId="0" fontId="37" fillId="8" borderId="0" xfId="0" applyFont="1" applyFill="1" applyBorder="1" applyAlignment="1" applyProtection="1"/>
    <xf numFmtId="0" fontId="24" fillId="8" borderId="0" xfId="0" applyFont="1" applyFill="1" applyBorder="1" applyAlignment="1" applyProtection="1"/>
    <xf numFmtId="0" fontId="24" fillId="11" borderId="0" xfId="0" applyFont="1" applyFill="1" applyBorder="1" applyAlignment="1" applyProtection="1">
      <alignment vertical="center"/>
    </xf>
    <xf numFmtId="0" fontId="24" fillId="24" borderId="0" xfId="0" applyFont="1" applyFill="1" applyBorder="1" applyAlignment="1" applyProtection="1">
      <alignment vertical="center"/>
    </xf>
    <xf numFmtId="0" fontId="24" fillId="24" borderId="0" xfId="0" applyFont="1" applyFill="1" applyBorder="1" applyAlignment="1" applyProtection="1"/>
    <xf numFmtId="0" fontId="24" fillId="17" borderId="15" xfId="0" applyFont="1" applyFill="1" applyBorder="1" applyAlignment="1" applyProtection="1">
      <alignment horizontal="center" vertical="center" wrapText="1"/>
      <protection locked="0"/>
    </xf>
    <xf numFmtId="0" fontId="24" fillId="17" borderId="18" xfId="0" applyFont="1" applyFill="1" applyBorder="1" applyAlignment="1" applyProtection="1">
      <alignment horizontal="center" vertical="center" wrapText="1"/>
      <protection locked="0"/>
    </xf>
    <xf numFmtId="0" fontId="24" fillId="25" borderId="0" xfId="0" applyFont="1" applyFill="1" applyAlignment="1" applyProtection="1">
      <alignment horizontal="center" vertical="center"/>
    </xf>
    <xf numFmtId="0" fontId="24" fillId="8" borderId="0" xfId="0" applyFont="1" applyFill="1" applyAlignment="1" applyProtection="1">
      <alignment vertical="center"/>
    </xf>
    <xf numFmtId="0" fontId="24" fillId="17" borderId="0" xfId="0" applyFont="1" applyFill="1" applyProtection="1"/>
    <xf numFmtId="0" fontId="24" fillId="26" borderId="0" xfId="0" applyFont="1" applyFill="1" applyBorder="1" applyAlignment="1" applyProtection="1"/>
    <xf numFmtId="0" fontId="43" fillId="17" borderId="0" xfId="0" applyFont="1" applyFill="1" applyBorder="1" applyAlignment="1" applyProtection="1">
      <alignment horizontal="center" vertical="center" wrapText="1"/>
    </xf>
    <xf numFmtId="14" fontId="24" fillId="17" borderId="0" xfId="0" applyNumberFormat="1" applyFont="1" applyFill="1" applyProtection="1"/>
    <xf numFmtId="0" fontId="41" fillId="8" borderId="0" xfId="0" applyFont="1" applyFill="1" applyBorder="1" applyAlignment="1" applyProtection="1"/>
    <xf numFmtId="0" fontId="44" fillId="8" borderId="0" xfId="0" applyFont="1" applyFill="1" applyBorder="1" applyAlignment="1" applyProtection="1"/>
    <xf numFmtId="0" fontId="24" fillId="26" borderId="0" xfId="0" applyFont="1" applyFill="1" applyAlignment="1" applyProtection="1"/>
    <xf numFmtId="0" fontId="40" fillId="17" borderId="0" xfId="0" applyFont="1" applyFill="1" applyBorder="1" applyAlignment="1" applyProtection="1">
      <alignment horizontal="center" vertical="center" wrapText="1"/>
    </xf>
    <xf numFmtId="0" fontId="24" fillId="26" borderId="0" xfId="0" applyFont="1" applyFill="1" applyProtection="1"/>
    <xf numFmtId="0" fontId="24" fillId="26" borderId="0" xfId="0" applyFont="1" applyFill="1" applyAlignment="1" applyProtection="1">
      <alignment vertical="center"/>
    </xf>
    <xf numFmtId="0" fontId="24" fillId="26" borderId="0" xfId="0" applyFont="1" applyFill="1" applyAlignment="1" applyProtection="1">
      <alignment wrapText="1"/>
    </xf>
    <xf numFmtId="0" fontId="43" fillId="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wrapText="1"/>
    </xf>
    <xf numFmtId="0" fontId="41" fillId="17" borderId="0" xfId="0" applyFont="1" applyFill="1" applyBorder="1" applyAlignment="1" applyProtection="1"/>
    <xf numFmtId="0" fontId="24" fillId="17" borderId="0" xfId="0" applyFont="1" applyFill="1" applyBorder="1" applyAlignment="1" applyProtection="1">
      <alignment horizontal="left" vertical="top" wrapText="1"/>
    </xf>
    <xf numFmtId="0" fontId="43" fillId="20" borderId="0" xfId="0" applyFont="1" applyFill="1" applyBorder="1" applyAlignment="1" applyProtection="1">
      <alignment horizontal="center" vertical="center" wrapText="1"/>
    </xf>
    <xf numFmtId="0" fontId="37" fillId="17" borderId="0" xfId="0" applyFont="1" applyFill="1" applyBorder="1" applyAlignment="1" applyProtection="1">
      <alignment vertical="center"/>
    </xf>
    <xf numFmtId="0" fontId="24" fillId="20" borderId="0" xfId="0" applyFont="1" applyFill="1" applyBorder="1" applyAlignment="1" applyProtection="1">
      <alignment horizontal="center" vertical="center"/>
    </xf>
    <xf numFmtId="0" fontId="24" fillId="17" borderId="0" xfId="0" applyFont="1" applyFill="1" applyBorder="1" applyAlignment="1" applyProtection="1">
      <alignment vertical="center"/>
    </xf>
    <xf numFmtId="0" fontId="24" fillId="8" borderId="0" xfId="0" applyFont="1" applyFill="1" applyBorder="1" applyAlignment="1" applyProtection="1">
      <alignment horizontal="left" vertical="center"/>
    </xf>
    <xf numFmtId="0" fontId="45" fillId="17" borderId="0" xfId="0" applyFont="1" applyFill="1" applyBorder="1" applyAlignment="1" applyProtection="1"/>
    <xf numFmtId="0" fontId="45" fillId="8" borderId="0" xfId="0" applyFont="1" applyFill="1" applyBorder="1" applyAlignment="1" applyProtection="1"/>
    <xf numFmtId="0" fontId="24" fillId="19" borderId="0" xfId="0" applyFont="1" applyFill="1" applyBorder="1" applyAlignment="1" applyProtection="1">
      <alignment horizontal="left" vertical="top" wrapText="1"/>
    </xf>
    <xf numFmtId="0" fontId="24" fillId="20" borderId="0" xfId="0" applyFont="1" applyFill="1" applyBorder="1" applyAlignment="1" applyProtection="1">
      <alignment horizontal="center" vertical="center" wrapText="1"/>
    </xf>
    <xf numFmtId="0" fontId="26" fillId="17" borderId="0" xfId="0" applyFont="1" applyFill="1" applyBorder="1" applyAlignment="1" applyProtection="1">
      <alignment horizontal="left" vertical="center"/>
    </xf>
    <xf numFmtId="0" fontId="24" fillId="8" borderId="0" xfId="3" applyFont="1" applyFill="1" applyAlignment="1" applyProtection="1">
      <alignment horizontal="left" vertical="center"/>
    </xf>
    <xf numFmtId="0" fontId="24" fillId="17" borderId="0" xfId="0" applyFont="1" applyFill="1" applyBorder="1" applyAlignment="1" applyProtection="1">
      <alignment horizontal="center" vertical="center" wrapText="1"/>
    </xf>
    <xf numFmtId="0" fontId="37" fillId="8" borderId="0" xfId="0" applyFont="1" applyFill="1" applyProtection="1"/>
    <xf numFmtId="0" fontId="24" fillId="19" borderId="0" xfId="0" applyFont="1" applyFill="1" applyAlignment="1" applyProtection="1"/>
    <xf numFmtId="0" fontId="24" fillId="8" borderId="0" xfId="0" applyFont="1" applyFill="1" applyAlignment="1" applyProtection="1">
      <alignment horizontal="left" vertical="center"/>
    </xf>
    <xf numFmtId="0" fontId="37" fillId="17" borderId="0" xfId="0" applyFont="1" applyFill="1" applyBorder="1" applyAlignment="1" applyProtection="1">
      <alignment horizontal="center" vertical="center"/>
    </xf>
    <xf numFmtId="0" fontId="37" fillId="17" borderId="0" xfId="0" applyFont="1" applyFill="1" applyProtection="1"/>
    <xf numFmtId="0" fontId="24" fillId="17" borderId="0" xfId="0" applyFont="1" applyFill="1" applyBorder="1" applyProtection="1"/>
    <xf numFmtId="0" fontId="24" fillId="17" borderId="0" xfId="0" applyFont="1" applyFill="1" applyBorder="1" applyAlignment="1" applyProtection="1">
      <alignment horizontal="left" vertical="center"/>
    </xf>
    <xf numFmtId="0" fontId="29" fillId="17" borderId="0" xfId="0" applyFont="1" applyFill="1" applyBorder="1" applyAlignment="1" applyProtection="1">
      <alignment vertical="center"/>
    </xf>
    <xf numFmtId="0" fontId="24" fillId="19" borderId="0" xfId="0" applyFont="1" applyFill="1" applyBorder="1" applyAlignment="1" applyProtection="1">
      <alignment horizontal="left" vertical="center"/>
    </xf>
    <xf numFmtId="0" fontId="26" fillId="17" borderId="0" xfId="0" applyFont="1" applyFill="1" applyBorder="1" applyAlignment="1" applyProtection="1">
      <alignment vertical="center"/>
    </xf>
    <xf numFmtId="0" fontId="24" fillId="17" borderId="0" xfId="0" applyFont="1" applyFill="1" applyBorder="1" applyAlignment="1" applyProtection="1">
      <alignment horizontal="left" vertical="center" wrapText="1"/>
    </xf>
    <xf numFmtId="14" fontId="24" fillId="17" borderId="0" xfId="0" applyNumberFormat="1" applyFont="1" applyFill="1" applyBorder="1" applyProtection="1"/>
    <xf numFmtId="0" fontId="45" fillId="17" borderId="0" xfId="0" applyFont="1" applyFill="1" applyBorder="1" applyAlignment="1" applyProtection="1">
      <protection locked="0"/>
    </xf>
    <xf numFmtId="0" fontId="24" fillId="8" borderId="0" xfId="0" applyFont="1" applyFill="1" applyBorder="1"/>
    <xf numFmtId="0" fontId="34" fillId="8" borderId="7" xfId="0" applyFont="1" applyFill="1" applyBorder="1"/>
    <xf numFmtId="0" fontId="34" fillId="8" borderId="7" xfId="0" applyFont="1" applyFill="1" applyBorder="1" applyAlignment="1">
      <alignment wrapText="1"/>
    </xf>
    <xf numFmtId="0" fontId="34" fillId="8" borderId="7" xfId="0" applyFont="1" applyFill="1" applyBorder="1" applyAlignment="1">
      <alignment vertical="top" wrapText="1"/>
    </xf>
    <xf numFmtId="0" fontId="34" fillId="8" borderId="0" xfId="0" applyFont="1" applyFill="1" applyBorder="1"/>
    <xf numFmtId="0" fontId="34" fillId="8" borderId="0" xfId="0" applyFont="1" applyFill="1" applyBorder="1" applyAlignment="1">
      <alignment wrapText="1"/>
    </xf>
    <xf numFmtId="0" fontId="34" fillId="8" borderId="0" xfId="0" applyFont="1" applyFill="1" applyBorder="1" applyAlignment="1">
      <alignment vertical="top" wrapText="1"/>
    </xf>
    <xf numFmtId="0" fontId="34" fillId="8" borderId="34" xfId="0" applyFont="1" applyFill="1" applyBorder="1"/>
    <xf numFmtId="0" fontId="34" fillId="8" borderId="29" xfId="0" applyFont="1" applyFill="1" applyBorder="1" applyAlignment="1">
      <alignment vertical="top" wrapText="1"/>
    </xf>
    <xf numFmtId="0" fontId="45" fillId="0" borderId="24" xfId="0" applyFont="1" applyBorder="1" applyAlignment="1">
      <alignment wrapText="1"/>
    </xf>
    <xf numFmtId="0" fontId="34" fillId="8" borderId="17" xfId="0" applyFont="1" applyFill="1" applyBorder="1"/>
    <xf numFmtId="0" fontId="34" fillId="8" borderId="3" xfId="0" applyFont="1" applyFill="1" applyBorder="1" applyAlignment="1">
      <alignment vertical="top" wrapText="1"/>
    </xf>
    <xf numFmtId="0" fontId="45" fillId="0" borderId="41" xfId="0" applyFont="1" applyBorder="1" applyAlignment="1">
      <alignment vertical="top" wrapText="1"/>
    </xf>
    <xf numFmtId="0" fontId="34" fillId="8" borderId="35" xfId="0" applyFont="1" applyFill="1" applyBorder="1"/>
    <xf numFmtId="0" fontId="34" fillId="8" borderId="22" xfId="0" applyFont="1" applyFill="1" applyBorder="1" applyAlignment="1">
      <alignment vertical="top" wrapText="1"/>
    </xf>
    <xf numFmtId="0" fontId="32" fillId="8" borderId="36" xfId="1" applyFont="1" applyFill="1" applyBorder="1" applyAlignment="1" applyProtection="1"/>
    <xf numFmtId="0" fontId="39" fillId="0" borderId="0" xfId="0" applyFont="1" applyAlignment="1">
      <alignment wrapText="1"/>
    </xf>
    <xf numFmtId="0" fontId="32" fillId="8" borderId="34" xfId="1" applyFont="1" applyFill="1" applyBorder="1" applyAlignment="1" applyProtection="1">
      <alignment vertical="top"/>
    </xf>
    <xf numFmtId="0" fontId="45" fillId="8" borderId="24" xfId="1" applyFont="1" applyFill="1" applyBorder="1" applyAlignment="1" applyProtection="1">
      <alignment horizontal="left" vertical="top" wrapText="1"/>
    </xf>
    <xf numFmtId="165" fontId="32" fillId="8" borderId="34" xfId="1" applyNumberFormat="1" applyFont="1" applyFill="1" applyBorder="1" applyAlignment="1" applyProtection="1">
      <alignment horizontal="left" vertical="top"/>
    </xf>
    <xf numFmtId="0" fontId="45" fillId="0" borderId="24" xfId="0" applyFont="1" applyBorder="1" applyAlignment="1">
      <alignment horizontal="left" vertical="top" wrapText="1"/>
    </xf>
    <xf numFmtId="0" fontId="26" fillId="0" borderId="0" xfId="0" applyFont="1" applyFill="1" applyBorder="1" applyAlignment="1">
      <alignment wrapText="1"/>
    </xf>
    <xf numFmtId="0" fontId="24" fillId="8" borderId="0" xfId="0" applyFont="1" applyFill="1" applyBorder="1" applyAlignment="1">
      <alignment vertical="top" wrapText="1"/>
    </xf>
    <xf numFmtId="0" fontId="32" fillId="0" borderId="29" xfId="1" applyFont="1" applyBorder="1" applyAlignment="1" applyProtection="1">
      <alignment horizontal="left" vertical="top" wrapText="1"/>
    </xf>
    <xf numFmtId="0" fontId="45" fillId="0" borderId="24" xfId="0" applyFont="1" applyBorder="1" applyAlignment="1">
      <alignment vertical="top" wrapText="1"/>
    </xf>
    <xf numFmtId="0" fontId="39" fillId="0" borderId="24" xfId="0" applyFont="1" applyBorder="1" applyAlignment="1">
      <alignment vertical="top" wrapText="1"/>
    </xf>
    <xf numFmtId="0" fontId="32" fillId="8" borderId="34" xfId="1" applyFont="1" applyFill="1" applyBorder="1" applyAlignment="1" applyProtection="1">
      <alignment vertical="top" wrapText="1"/>
    </xf>
    <xf numFmtId="0" fontId="26" fillId="8" borderId="0" xfId="0" applyFont="1" applyFill="1" applyBorder="1" applyAlignment="1">
      <alignment wrapText="1"/>
    </xf>
    <xf numFmtId="0" fontId="39" fillId="0" borderId="0" xfId="0" applyFont="1"/>
    <xf numFmtId="0" fontId="39" fillId="8" borderId="0" xfId="0" applyFont="1" applyFill="1"/>
    <xf numFmtId="0" fontId="26" fillId="2" borderId="0" xfId="0" applyFont="1" applyFill="1" applyBorder="1" applyProtection="1"/>
    <xf numFmtId="0" fontId="26" fillId="4" borderId="0" xfId="0" applyFont="1" applyFill="1" applyBorder="1" applyProtection="1"/>
    <xf numFmtId="0" fontId="26" fillId="15" borderId="0" xfId="0" applyFont="1" applyFill="1" applyBorder="1" applyAlignment="1" applyProtection="1">
      <alignment wrapText="1"/>
    </xf>
    <xf numFmtId="0" fontId="26" fillId="15" borderId="0" xfId="0" applyFont="1" applyFill="1" applyBorder="1" applyProtection="1"/>
    <xf numFmtId="0" fontId="26" fillId="6" borderId="0" xfId="0" applyFont="1" applyFill="1" applyBorder="1" applyAlignment="1" applyProtection="1"/>
    <xf numFmtId="0" fontId="26" fillId="6" borderId="0" xfId="0" applyFont="1" applyFill="1" applyBorder="1" applyProtection="1"/>
    <xf numFmtId="0" fontId="26" fillId="7" borderId="0" xfId="0" applyFont="1" applyFill="1" applyBorder="1" applyAlignment="1" applyProtection="1">
      <alignment wrapText="1"/>
    </xf>
    <xf numFmtId="0" fontId="26" fillId="7" borderId="0" xfId="0" applyFont="1" applyFill="1" applyBorder="1" applyProtection="1"/>
    <xf numFmtId="0" fontId="26" fillId="5" borderId="0" xfId="0" applyFont="1" applyFill="1" applyBorder="1" applyAlignment="1" applyProtection="1">
      <alignment wrapText="1"/>
    </xf>
    <xf numFmtId="0" fontId="26" fillId="5" borderId="0" xfId="0" applyFont="1" applyFill="1" applyBorder="1" applyProtection="1"/>
    <xf numFmtId="0" fontId="26" fillId="16" borderId="0" xfId="0" applyFont="1" applyFill="1" applyBorder="1" applyProtection="1"/>
    <xf numFmtId="0" fontId="26" fillId="2" borderId="0" xfId="0" applyFont="1" applyFill="1" applyProtection="1"/>
    <xf numFmtId="0" fontId="26" fillId="0" borderId="0" xfId="0" applyFont="1" applyFill="1" applyAlignment="1" applyProtection="1">
      <alignment horizontal="center"/>
    </xf>
    <xf numFmtId="0" fontId="26" fillId="0" borderId="0" xfId="0" applyFont="1" applyFill="1" applyProtection="1"/>
    <xf numFmtId="0" fontId="26" fillId="0" borderId="0" xfId="0" applyFont="1" applyFill="1" applyAlignment="1" applyProtection="1">
      <alignment textRotation="180" wrapText="1"/>
    </xf>
    <xf numFmtId="0" fontId="26" fillId="0" borderId="0" xfId="0" applyFont="1" applyFill="1" applyAlignment="1" applyProtection="1">
      <alignment horizontal="left" textRotation="180" wrapText="1"/>
    </xf>
    <xf numFmtId="0" fontId="26" fillId="0" borderId="0" xfId="0" applyFont="1" applyFill="1" applyBorder="1" applyAlignment="1" applyProtection="1">
      <alignment textRotation="180" wrapText="1"/>
    </xf>
    <xf numFmtId="0" fontId="26" fillId="0" borderId="0" xfId="0" applyFont="1" applyFill="1" applyBorder="1" applyAlignment="1" applyProtection="1">
      <alignment horizontal="left" textRotation="180" wrapText="1"/>
    </xf>
    <xf numFmtId="14" fontId="24" fillId="0" borderId="0" xfId="0" applyNumberFormat="1" applyFont="1" applyFill="1" applyProtection="1"/>
    <xf numFmtId="0" fontId="24" fillId="0" borderId="0" xfId="0" applyFont="1" applyFill="1" applyAlignment="1" applyProtection="1">
      <alignment horizontal="center"/>
    </xf>
    <xf numFmtId="0" fontId="26" fillId="8" borderId="32" xfId="0" applyFont="1" applyFill="1" applyBorder="1" applyAlignment="1" applyProtection="1">
      <alignment vertical="center"/>
    </xf>
    <xf numFmtId="0" fontId="26" fillId="0" borderId="0" xfId="0" applyFont="1" applyBorder="1"/>
    <xf numFmtId="0" fontId="24" fillId="0" borderId="0" xfId="0" applyFont="1" applyBorder="1" applyAlignment="1">
      <alignment horizontal="right" indent="1"/>
    </xf>
    <xf numFmtId="0" fontId="24" fillId="0" borderId="0" xfId="0" applyFont="1" applyFill="1" applyBorder="1"/>
    <xf numFmtId="0" fontId="27" fillId="0" borderId="0" xfId="0" applyFont="1" applyBorder="1" applyProtection="1"/>
    <xf numFmtId="0" fontId="26" fillId="0" borderId="0" xfId="0" applyFont="1" applyFill="1" applyBorder="1"/>
    <xf numFmtId="0" fontId="26" fillId="0" borderId="0" xfId="0" applyFont="1" applyFill="1" applyBorder="1" applyAlignment="1">
      <alignment horizontal="right" indent="1"/>
    </xf>
    <xf numFmtId="0" fontId="26" fillId="0" borderId="34" xfId="0" applyFont="1" applyBorder="1"/>
    <xf numFmtId="0" fontId="24" fillId="0" borderId="29" xfId="0" applyFont="1" applyBorder="1" applyAlignment="1">
      <alignment horizontal="right" indent="1"/>
    </xf>
    <xf numFmtId="0" fontId="26" fillId="0" borderId="34" xfId="0" applyFont="1" applyBorder="1" applyAlignment="1"/>
    <xf numFmtId="0" fontId="24" fillId="0" borderId="24" xfId="0" applyFont="1" applyBorder="1" applyAlignment="1">
      <alignment horizontal="right" indent="1"/>
    </xf>
    <xf numFmtId="0" fontId="26" fillId="0" borderId="29" xfId="3" applyFont="1" applyBorder="1"/>
    <xf numFmtId="0" fontId="26" fillId="0" borderId="24" xfId="3" applyFont="1" applyBorder="1" applyAlignment="1">
      <alignment horizontal="right" indent="1"/>
    </xf>
    <xf numFmtId="0" fontId="26" fillId="0" borderId="0" xfId="0" applyFont="1" applyFill="1" applyBorder="1" applyAlignment="1"/>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right" vertical="center" wrapText="1" indent="1"/>
    </xf>
    <xf numFmtId="0" fontId="24" fillId="0" borderId="40" xfId="3" applyFont="1" applyBorder="1"/>
    <xf numFmtId="0" fontId="24" fillId="0" borderId="0" xfId="3" applyFont="1" applyBorder="1" applyAlignment="1">
      <alignment horizontal="right" indent="1"/>
    </xf>
    <xf numFmtId="0" fontId="24" fillId="0" borderId="42" xfId="3" applyFont="1" applyBorder="1" applyAlignment="1">
      <alignment horizontal="right" indent="1"/>
    </xf>
    <xf numFmtId="0" fontId="24" fillId="0" borderId="0" xfId="3" applyFont="1" applyFill="1" applyBorder="1"/>
    <xf numFmtId="0" fontId="24" fillId="0" borderId="0" xfId="3" applyFont="1" applyBorder="1"/>
    <xf numFmtId="0" fontId="24" fillId="0" borderId="0" xfId="3" applyFont="1" applyFill="1" applyBorder="1" applyAlignment="1" applyProtection="1">
      <alignment horizontal="left" vertical="center"/>
    </xf>
    <xf numFmtId="0" fontId="24" fillId="0" borderId="40" xfId="0" applyFont="1" applyBorder="1"/>
    <xf numFmtId="0" fontId="24" fillId="0" borderId="40" xfId="3" applyFont="1" applyFill="1" applyBorder="1"/>
    <xf numFmtId="0" fontId="24" fillId="0" borderId="42" xfId="3" applyFont="1" applyFill="1" applyBorder="1" applyAlignment="1">
      <alignment horizontal="right" indent="1"/>
    </xf>
    <xf numFmtId="0" fontId="24" fillId="0" borderId="0" xfId="3" applyFont="1" applyFill="1" applyBorder="1" applyAlignment="1"/>
    <xf numFmtId="0" fontId="24" fillId="0" borderId="40" xfId="0" applyFont="1" applyBorder="1" applyAlignment="1"/>
    <xf numFmtId="0" fontId="24" fillId="0" borderId="42" xfId="0" applyFont="1" applyBorder="1" applyAlignment="1">
      <alignment horizontal="right" indent="1"/>
    </xf>
    <xf numFmtId="0" fontId="24" fillId="0" borderId="35" xfId="0" applyFont="1" applyBorder="1" applyAlignment="1"/>
    <xf numFmtId="0" fontId="24" fillId="0" borderId="36" xfId="0" applyFont="1" applyBorder="1" applyAlignment="1">
      <alignment horizontal="right" indent="1"/>
    </xf>
    <xf numFmtId="0" fontId="24" fillId="0" borderId="0" xfId="0" applyFont="1" applyFill="1" applyBorder="1" applyAlignment="1" applyProtection="1">
      <alignment horizontal="left" vertical="center"/>
    </xf>
    <xf numFmtId="0" fontId="26" fillId="0" borderId="34" xfId="0" applyFont="1" applyFill="1" applyBorder="1"/>
    <xf numFmtId="0" fontId="26" fillId="0" borderId="40" xfId="0" applyFont="1" applyFill="1" applyBorder="1" applyAlignment="1"/>
    <xf numFmtId="0" fontId="24" fillId="0" borderId="40" xfId="0" applyFont="1" applyFill="1" applyBorder="1" applyAlignment="1"/>
    <xf numFmtId="0" fontId="24" fillId="0" borderId="40" xfId="3" applyFont="1" applyFill="1" applyBorder="1" applyAlignment="1" applyProtection="1">
      <alignment horizontal="left" vertical="center"/>
    </xf>
    <xf numFmtId="0" fontId="26" fillId="0" borderId="34" xfId="0" applyFont="1" applyFill="1" applyBorder="1" applyAlignment="1" applyProtection="1">
      <alignment horizontal="left" vertical="center" wrapText="1"/>
    </xf>
    <xf numFmtId="0" fontId="24" fillId="0" borderId="24" xfId="0" applyFont="1" applyFill="1" applyBorder="1" applyAlignment="1">
      <alignment horizontal="right" vertical="center" wrapText="1" indent="1"/>
    </xf>
    <xf numFmtId="0" fontId="24" fillId="0" borderId="0" xfId="3" applyFont="1" applyBorder="1" applyAlignment="1">
      <alignment horizontal="left" vertical="top"/>
    </xf>
    <xf numFmtId="0" fontId="24" fillId="0" borderId="40" xfId="3" applyFont="1" applyFill="1" applyBorder="1" applyAlignment="1"/>
    <xf numFmtId="0" fontId="26" fillId="0" borderId="0" xfId="0" applyFont="1" applyBorder="1" applyAlignment="1">
      <alignment horizontal="right" indent="1"/>
    </xf>
    <xf numFmtId="0" fontId="26" fillId="0" borderId="34" xfId="3" applyFont="1" applyFill="1" applyBorder="1" applyAlignment="1">
      <alignment vertical="top" wrapText="1"/>
    </xf>
    <xf numFmtId="0" fontId="26" fillId="0" borderId="24" xfId="3" applyFont="1" applyBorder="1" applyAlignment="1">
      <alignment horizontal="right" wrapText="1" indent="1"/>
    </xf>
    <xf numFmtId="0" fontId="24" fillId="0" borderId="0" xfId="3" applyFont="1" applyFill="1" applyBorder="1" applyAlignment="1">
      <alignment vertical="top" wrapText="1"/>
    </xf>
    <xf numFmtId="0" fontId="24" fillId="0" borderId="0" xfId="3" applyFont="1" applyBorder="1" applyAlignment="1">
      <alignment horizontal="right" wrapText="1" indent="1"/>
    </xf>
    <xf numFmtId="0" fontId="24" fillId="0" borderId="24" xfId="3" applyFont="1" applyBorder="1" applyAlignment="1">
      <alignment horizontal="right" wrapText="1" indent="1"/>
    </xf>
    <xf numFmtId="0" fontId="24" fillId="0" borderId="0" xfId="3" applyFont="1" applyBorder="1" applyAlignment="1">
      <alignment wrapText="1"/>
    </xf>
    <xf numFmtId="0" fontId="26" fillId="0" borderId="0" xfId="3" applyFont="1" applyFill="1" applyBorder="1" applyAlignment="1">
      <alignment wrapText="1"/>
    </xf>
    <xf numFmtId="0" fontId="26" fillId="0" borderId="0" xfId="3" applyFont="1" applyFill="1" applyBorder="1" applyAlignment="1">
      <alignment horizontal="right" wrapText="1" indent="1"/>
    </xf>
    <xf numFmtId="0" fontId="24" fillId="0" borderId="0" xfId="3" applyFont="1" applyFill="1" applyBorder="1" applyAlignment="1">
      <alignment vertical="center" wrapText="1"/>
    </xf>
    <xf numFmtId="0" fontId="24" fillId="0" borderId="0" xfId="3" applyFont="1" applyFill="1" applyBorder="1" applyAlignment="1">
      <alignment horizontal="right" wrapText="1" indent="1"/>
    </xf>
    <xf numFmtId="0" fontId="26" fillId="0" borderId="0" xfId="3" applyFont="1" applyBorder="1"/>
    <xf numFmtId="0" fontId="26" fillId="0" borderId="42" xfId="3" applyFont="1" applyBorder="1" applyAlignment="1">
      <alignment horizontal="right" indent="1"/>
    </xf>
    <xf numFmtId="0" fontId="24" fillId="0" borderId="0" xfId="0" applyFont="1" applyFill="1" applyBorder="1" applyAlignment="1">
      <alignment horizontal="right" indent="1"/>
    </xf>
    <xf numFmtId="0" fontId="24" fillId="0" borderId="0" xfId="3" applyFont="1" applyFill="1" applyBorder="1" applyAlignment="1">
      <alignment horizontal="right" indent="1"/>
    </xf>
    <xf numFmtId="0" fontId="26" fillId="0" borderId="0" xfId="0" applyFont="1" applyAlignment="1" applyProtection="1">
      <alignment vertical="center"/>
    </xf>
    <xf numFmtId="0" fontId="24" fillId="0" borderId="0" xfId="0" applyFont="1" applyAlignment="1" applyProtection="1">
      <alignment vertical="center"/>
    </xf>
    <xf numFmtId="0" fontId="27" fillId="0" borderId="0" xfId="0" applyFont="1" applyAlignment="1" applyProtection="1">
      <alignment vertical="center"/>
    </xf>
    <xf numFmtId="0" fontId="3" fillId="0" borderId="0" xfId="3"/>
    <xf numFmtId="172" fontId="0" fillId="0" borderId="0" xfId="12" applyNumberFormat="1" applyFont="1"/>
    <xf numFmtId="0" fontId="51" fillId="0" borderId="0" xfId="3" applyFont="1" applyAlignment="1">
      <alignment wrapText="1"/>
    </xf>
    <xf numFmtId="172" fontId="51" fillId="0" borderId="0" xfId="12" applyNumberFormat="1" applyFont="1" applyAlignment="1">
      <alignment wrapText="1"/>
    </xf>
    <xf numFmtId="0" fontId="23" fillId="0" borderId="0" xfId="4"/>
    <xf numFmtId="172" fontId="52" fillId="0" borderId="0" xfId="13" applyNumberFormat="1" applyFont="1"/>
    <xf numFmtId="0" fontId="23" fillId="0" borderId="0" xfId="4" applyAlignment="1">
      <alignment wrapText="1"/>
    </xf>
    <xf numFmtId="0" fontId="3" fillId="0" borderId="0" xfId="3" applyAlignment="1"/>
    <xf numFmtId="0" fontId="0" fillId="17" borderId="0" xfId="0" applyFill="1"/>
    <xf numFmtId="0" fontId="54" fillId="17" borderId="0" xfId="0" applyFont="1" applyFill="1" applyBorder="1" applyAlignment="1">
      <alignment horizontal="left" vertical="center" wrapText="1"/>
    </xf>
    <xf numFmtId="0" fontId="55" fillId="23" borderId="43" xfId="0" applyFont="1" applyFill="1" applyBorder="1" applyAlignment="1">
      <alignment vertical="center"/>
    </xf>
    <xf numFmtId="0" fontId="55" fillId="23" borderId="44" xfId="0" applyFont="1" applyFill="1" applyBorder="1" applyAlignment="1">
      <alignment vertical="center"/>
    </xf>
    <xf numFmtId="0" fontId="56" fillId="17" borderId="0" xfId="0" applyFont="1" applyFill="1"/>
    <xf numFmtId="0" fontId="57" fillId="17" borderId="34" xfId="0" applyFont="1" applyFill="1" applyBorder="1" applyAlignment="1">
      <alignment vertical="center"/>
    </xf>
    <xf numFmtId="14" fontId="0" fillId="17" borderId="34" xfId="0" applyNumberFormat="1" applyFill="1" applyBorder="1" applyAlignment="1">
      <alignment vertical="center"/>
    </xf>
    <xf numFmtId="0" fontId="51" fillId="17" borderId="0" xfId="0" applyFont="1" applyFill="1" applyBorder="1" applyAlignment="1">
      <alignment horizontal="right" vertical="center"/>
    </xf>
    <xf numFmtId="0" fontId="0" fillId="17" borderId="0" xfId="0" applyFill="1" applyBorder="1" applyAlignment="1">
      <alignment horizontal="left" vertical="top" wrapText="1"/>
    </xf>
    <xf numFmtId="0" fontId="58" fillId="17" borderId="0" xfId="0" applyFont="1" applyFill="1"/>
    <xf numFmtId="0" fontId="58" fillId="17" borderId="0" xfId="0" applyNumberFormat="1" applyFont="1" applyFill="1"/>
    <xf numFmtId="172" fontId="0" fillId="0" borderId="0" xfId="12" applyNumberFormat="1" applyFont="1" applyAlignment="1">
      <alignment horizontal="right"/>
    </xf>
    <xf numFmtId="0" fontId="51" fillId="0" borderId="0" xfId="3" applyFont="1" applyAlignment="1">
      <alignment horizontal="right" wrapText="1"/>
    </xf>
    <xf numFmtId="171" fontId="52" fillId="0" borderId="0" xfId="4" applyNumberFormat="1" applyFont="1" applyAlignment="1">
      <alignment horizontal="right"/>
    </xf>
    <xf numFmtId="14" fontId="23" fillId="0" borderId="0" xfId="4" applyNumberFormat="1" applyAlignment="1">
      <alignment horizontal="right"/>
    </xf>
    <xf numFmtId="0" fontId="3" fillId="0" borderId="0" xfId="3" applyAlignment="1">
      <alignment horizontal="right"/>
    </xf>
    <xf numFmtId="0" fontId="23" fillId="0" borderId="0" xfId="4" applyNumberFormat="1"/>
    <xf numFmtId="173" fontId="41" fillId="10" borderId="0" xfId="0" applyNumberFormat="1" applyFont="1" applyFill="1" applyBorder="1" applyAlignment="1" applyProtection="1"/>
    <xf numFmtId="1" fontId="41" fillId="10" borderId="0" xfId="0" applyNumberFormat="1" applyFont="1" applyFill="1" applyBorder="1" applyAlignment="1" applyProtection="1"/>
    <xf numFmtId="1" fontId="42" fillId="18" borderId="0" xfId="9" applyNumberFormat="1" applyFont="1" applyFill="1" applyProtection="1"/>
    <xf numFmtId="174" fontId="41" fillId="10" borderId="0" xfId="0" applyNumberFormat="1" applyFont="1" applyFill="1" applyBorder="1" applyAlignment="1" applyProtection="1"/>
    <xf numFmtId="174" fontId="42" fillId="18" borderId="0" xfId="9" applyNumberFormat="1" applyFont="1" applyFill="1" applyProtection="1"/>
    <xf numFmtId="0" fontId="45" fillId="0" borderId="0" xfId="0" applyFont="1"/>
    <xf numFmtId="0" fontId="45" fillId="0" borderId="0" xfId="0" applyFont="1" applyFill="1" applyProtection="1"/>
    <xf numFmtId="14" fontId="45" fillId="0" borderId="0" xfId="0" applyNumberFormat="1" applyFont="1" applyFill="1" applyProtection="1"/>
    <xf numFmtId="0" fontId="59" fillId="0" borderId="0" xfId="0" applyFont="1"/>
    <xf numFmtId="0" fontId="2" fillId="0" borderId="0" xfId="1" applyAlignment="1" applyProtection="1">
      <alignment horizontal="right" indent="1"/>
    </xf>
    <xf numFmtId="0" fontId="24" fillId="22" borderId="0" xfId="0" applyFont="1" applyFill="1" applyBorder="1" applyAlignment="1" applyProtection="1"/>
    <xf numFmtId="0" fontId="0" fillId="17" borderId="32" xfId="0" applyFill="1" applyBorder="1" applyAlignment="1">
      <alignment horizontal="left" vertical="top" wrapText="1"/>
    </xf>
    <xf numFmtId="0" fontId="51" fillId="17" borderId="32" xfId="0" applyFont="1" applyFill="1" applyBorder="1" applyAlignment="1">
      <alignment horizontal="right" vertical="center"/>
    </xf>
    <xf numFmtId="0" fontId="26" fillId="2" borderId="43" xfId="0" applyFont="1" applyFill="1" applyBorder="1" applyAlignment="1">
      <alignment horizontal="center"/>
    </xf>
    <xf numFmtId="0" fontId="24" fillId="0" borderId="44" xfId="0" applyFont="1" applyBorder="1" applyAlignment="1">
      <alignment horizontal="center"/>
    </xf>
    <xf numFmtId="0" fontId="24" fillId="2" borderId="44" xfId="0" applyFont="1" applyFill="1" applyBorder="1" applyAlignment="1">
      <alignment horizontal="center"/>
    </xf>
    <xf numFmtId="0" fontId="24" fillId="2" borderId="1" xfId="0" applyFont="1" applyFill="1" applyBorder="1" applyAlignment="1">
      <alignment horizontal="center"/>
    </xf>
    <xf numFmtId="0" fontId="24" fillId="4" borderId="10" xfId="0" applyFont="1" applyFill="1" applyBorder="1" applyAlignment="1">
      <alignment horizontal="right" wrapText="1"/>
    </xf>
    <xf numFmtId="0" fontId="24" fillId="4" borderId="10" xfId="0" applyFont="1" applyFill="1" applyBorder="1"/>
    <xf numFmtId="0" fontId="24" fillId="0" borderId="40" xfId="0" applyFont="1" applyBorder="1" applyAlignment="1">
      <alignment horizontal="left" vertical="center"/>
    </xf>
    <xf numFmtId="0" fontId="24" fillId="0" borderId="0" xfId="0" applyFont="1" applyBorder="1" applyAlignment="1">
      <alignment horizontal="left" vertical="center" wrapText="1"/>
    </xf>
    <xf numFmtId="0" fontId="24" fillId="0" borderId="0" xfId="0" applyFont="1"/>
    <xf numFmtId="0" fontId="24" fillId="0" borderId="5" xfId="0" applyFont="1" applyBorder="1" applyAlignment="1">
      <alignment horizontal="left" vertical="center" wrapText="1" indent="1"/>
    </xf>
    <xf numFmtId="0" fontId="26" fillId="4" borderId="28" xfId="0" applyFont="1" applyFill="1" applyBorder="1" applyAlignment="1">
      <alignment horizontal="center" vertical="center"/>
    </xf>
    <xf numFmtId="0" fontId="26" fillId="4" borderId="29" xfId="0" applyFont="1" applyFill="1" applyBorder="1" applyAlignment="1">
      <alignment horizontal="center" vertical="center"/>
    </xf>
    <xf numFmtId="0" fontId="24" fillId="2" borderId="2" xfId="0" applyFont="1" applyFill="1" applyBorder="1" applyAlignment="1">
      <alignment horizontal="right" vertical="center"/>
    </xf>
    <xf numFmtId="0" fontId="24" fillId="0" borderId="45" xfId="0" applyFont="1" applyBorder="1" applyAlignment="1">
      <alignment horizontal="right" vertical="center"/>
    </xf>
    <xf numFmtId="0" fontId="24" fillId="0" borderId="3" xfId="0" applyFont="1" applyBorder="1" applyAlignment="1">
      <alignment horizontal="left" vertical="center" wrapText="1"/>
    </xf>
    <xf numFmtId="0" fontId="24" fillId="0" borderId="22" xfId="0" applyFont="1" applyBorder="1" applyAlignment="1">
      <alignment horizontal="left" vertical="center" wrapText="1"/>
    </xf>
    <xf numFmtId="0" fontId="24" fillId="0" borderId="3"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2" borderId="10" xfId="0" applyFont="1" applyFill="1" applyBorder="1" applyAlignment="1">
      <alignment horizontal="right" wrapText="1"/>
    </xf>
    <xf numFmtId="0" fontId="24" fillId="0" borderId="0" xfId="0" applyFont="1" applyAlignment="1">
      <alignment horizontal="left" vertical="center" wrapText="1"/>
    </xf>
    <xf numFmtId="0" fontId="24" fillId="0" borderId="5" xfId="0" applyFont="1" applyFill="1" applyBorder="1" applyAlignment="1">
      <alignment horizontal="left" vertical="center" wrapText="1" indent="1"/>
    </xf>
    <xf numFmtId="0" fontId="24" fillId="4" borderId="45" xfId="0" applyFont="1" applyFill="1" applyBorder="1" applyAlignment="1">
      <alignment horizontal="right" wrapText="1"/>
    </xf>
    <xf numFmtId="0" fontId="24" fillId="0" borderId="40" xfId="0" applyFont="1" applyBorder="1" applyAlignment="1">
      <alignment horizontal="left" vertical="center" wrapText="1"/>
    </xf>
    <xf numFmtId="0" fontId="24" fillId="0" borderId="4" xfId="0" applyFont="1" applyBorder="1" applyAlignment="1">
      <alignment horizontal="left" vertical="center" indent="1"/>
    </xf>
    <xf numFmtId="0" fontId="24" fillId="0" borderId="23" xfId="0" applyFont="1" applyBorder="1" applyAlignment="1">
      <alignment horizontal="left" vertical="center" indent="1"/>
    </xf>
    <xf numFmtId="0" fontId="26" fillId="7" borderId="43" xfId="0" applyFont="1" applyFill="1" applyBorder="1" applyAlignment="1">
      <alignment horizontal="center"/>
    </xf>
    <xf numFmtId="0" fontId="26" fillId="5" borderId="43" xfId="0" applyFont="1" applyFill="1" applyBorder="1" applyAlignment="1">
      <alignment horizontal="center"/>
    </xf>
    <xf numFmtId="0" fontId="24" fillId="5" borderId="44" xfId="0" applyFont="1" applyFill="1" applyBorder="1" applyAlignment="1">
      <alignment horizontal="center"/>
    </xf>
    <xf numFmtId="0" fontId="24" fillId="5" borderId="10" xfId="0" applyFont="1" applyFill="1" applyBorder="1" applyAlignment="1">
      <alignment horizontal="right" wrapText="1"/>
    </xf>
    <xf numFmtId="0" fontId="24" fillId="0" borderId="17" xfId="0" applyFont="1" applyBorder="1" applyAlignment="1">
      <alignment horizontal="left" vertical="center" wrapText="1"/>
    </xf>
    <xf numFmtId="0" fontId="26" fillId="6" borderId="43" xfId="0" applyFont="1" applyFill="1" applyBorder="1" applyAlignment="1">
      <alignment horizontal="center" vertical="center"/>
    </xf>
    <xf numFmtId="0" fontId="24" fillId="0" borderId="44" xfId="0" applyFont="1" applyBorder="1" applyAlignment="1">
      <alignment horizontal="center" vertical="center"/>
    </xf>
    <xf numFmtId="0" fontId="24" fillId="0" borderId="4" xfId="0" applyFont="1" applyFill="1" applyBorder="1" applyAlignment="1">
      <alignment horizontal="left" vertical="center" wrapText="1" indent="1"/>
    </xf>
    <xf numFmtId="0" fontId="24" fillId="6" borderId="10" xfId="0" applyFont="1" applyFill="1" applyBorder="1" applyAlignment="1">
      <alignment horizontal="right" wrapText="1"/>
    </xf>
    <xf numFmtId="0" fontId="24" fillId="0" borderId="10" xfId="0" applyFont="1" applyBorder="1" applyAlignment="1">
      <alignment horizontal="right"/>
    </xf>
    <xf numFmtId="0" fontId="24" fillId="0" borderId="5" xfId="0" applyFont="1" applyBorder="1" applyAlignment="1">
      <alignment horizontal="left" vertical="center" indent="1"/>
    </xf>
    <xf numFmtId="0" fontId="24" fillId="7" borderId="10" xfId="0" applyFont="1" applyFill="1" applyBorder="1" applyAlignment="1">
      <alignment horizontal="right" wrapText="1"/>
    </xf>
    <xf numFmtId="0" fontId="24" fillId="0" borderId="10" xfId="0" applyFont="1" applyBorder="1" applyAlignment="1">
      <alignment horizontal="right" wrapText="1"/>
    </xf>
    <xf numFmtId="0" fontId="46" fillId="8" borderId="0" xfId="0" applyFont="1" applyFill="1" applyAlignment="1">
      <alignment horizontal="center" vertical="center" wrapText="1"/>
    </xf>
    <xf numFmtId="0" fontId="24" fillId="0" borderId="0" xfId="0" applyFont="1" applyAlignment="1">
      <alignment horizontal="center"/>
    </xf>
    <xf numFmtId="0" fontId="25" fillId="8" borderId="0" xfId="0" applyFont="1" applyFill="1" applyAlignment="1">
      <alignment horizontal="center"/>
    </xf>
    <xf numFmtId="0" fontId="24" fillId="8" borderId="0" xfId="0" applyFont="1" applyFill="1" applyAlignment="1">
      <alignment horizontal="left" vertical="top" wrapText="1"/>
    </xf>
    <xf numFmtId="0" fontId="24" fillId="14" borderId="0" xfId="0" applyFont="1" applyFill="1" applyAlignment="1">
      <alignment horizontal="left" vertical="top" wrapText="1"/>
    </xf>
    <xf numFmtId="0" fontId="24" fillId="8" borderId="0" xfId="0" applyFont="1" applyFill="1" applyAlignment="1">
      <alignment vertical="top" wrapText="1"/>
    </xf>
    <xf numFmtId="0" fontId="32" fillId="8" borderId="0" xfId="1" applyFont="1" applyFill="1" applyAlignment="1" applyProtection="1">
      <alignment horizontal="left" vertical="center"/>
    </xf>
    <xf numFmtId="0" fontId="24" fillId="8" borderId="0" xfId="1" applyFont="1" applyFill="1" applyAlignment="1" applyProtection="1">
      <alignment vertical="top" wrapText="1"/>
    </xf>
    <xf numFmtId="0" fontId="24" fillId="0" borderId="0" xfId="0" applyFont="1" applyAlignment="1">
      <alignment vertical="top" wrapText="1"/>
    </xf>
    <xf numFmtId="0" fontId="26" fillId="8" borderId="0" xfId="0" applyFont="1" applyFill="1" applyAlignment="1">
      <alignment vertical="top" wrapText="1"/>
    </xf>
    <xf numFmtId="0" fontId="32" fillId="8" borderId="0" xfId="1" applyFont="1" applyFill="1" applyAlignment="1" applyProtection="1">
      <alignment vertical="center"/>
    </xf>
    <xf numFmtId="0" fontId="32" fillId="0" borderId="0" xfId="1" applyFont="1" applyAlignment="1" applyProtection="1">
      <alignment vertical="center"/>
    </xf>
    <xf numFmtId="0" fontId="24" fillId="0" borderId="0" xfId="0" applyFont="1" applyAlignment="1">
      <alignment horizontal="left" vertical="top" wrapText="1"/>
    </xf>
    <xf numFmtId="0" fontId="33" fillId="8" borderId="0" xfId="0" applyFont="1" applyFill="1" applyAlignment="1">
      <alignment vertical="top" wrapText="1"/>
    </xf>
    <xf numFmtId="0" fontId="24" fillId="8" borderId="0" xfId="0" applyFont="1" applyFill="1" applyAlignment="1">
      <alignment wrapText="1"/>
    </xf>
    <xf numFmtId="0" fontId="36" fillId="14" borderId="0" xfId="1" applyFont="1" applyFill="1" applyAlignment="1" applyProtection="1">
      <alignment horizontal="center" vertical="center"/>
    </xf>
    <xf numFmtId="0" fontId="26" fillId="14" borderId="0" xfId="0" applyFont="1" applyFill="1" applyAlignment="1">
      <alignment horizontal="center" vertical="center"/>
    </xf>
    <xf numFmtId="0" fontId="36" fillId="8" borderId="0" xfId="1" applyFont="1" applyFill="1" applyAlignment="1" applyProtection="1">
      <alignment vertical="top"/>
    </xf>
    <xf numFmtId="0" fontId="26" fillId="0" borderId="0" xfId="0" applyFont="1" applyAlignment="1">
      <alignment vertical="top" wrapText="1"/>
    </xf>
    <xf numFmtId="0" fontId="24" fillId="11" borderId="34" xfId="0" applyFont="1" applyFill="1" applyBorder="1" applyAlignment="1" applyProtection="1">
      <alignment horizontal="center" vertical="center" wrapText="1"/>
    </xf>
    <xf numFmtId="0" fontId="24" fillId="0" borderId="29" xfId="0" applyFont="1" applyBorder="1" applyAlignment="1">
      <alignment horizontal="center" vertical="center" wrapText="1"/>
    </xf>
    <xf numFmtId="0" fontId="24" fillId="0" borderId="24" xfId="0" applyFont="1" applyBorder="1" applyAlignment="1">
      <alignment horizontal="center" vertical="center" wrapText="1"/>
    </xf>
    <xf numFmtId="0" fontId="27" fillId="0" borderId="0" xfId="0" applyFont="1" applyBorder="1" applyAlignment="1">
      <alignment horizontal="left" vertical="center" wrapText="1"/>
    </xf>
    <xf numFmtId="0" fontId="32" fillId="0" borderId="0" xfId="1" applyFont="1" applyFill="1" applyBorder="1" applyAlignment="1" applyProtection="1">
      <alignment horizontal="left" vertical="center"/>
    </xf>
    <xf numFmtId="0" fontId="32" fillId="0" borderId="0" xfId="1" applyFont="1" applyAlignment="1" applyProtection="1">
      <alignment horizontal="left" vertical="center"/>
    </xf>
    <xf numFmtId="0" fontId="24" fillId="0" borderId="14" xfId="0" applyFont="1" applyBorder="1" applyAlignment="1">
      <alignment horizontal="right" vertical="center" wrapText="1"/>
    </xf>
    <xf numFmtId="0" fontId="24" fillId="0" borderId="0" xfId="0" applyFont="1" applyBorder="1" applyAlignment="1">
      <alignment vertical="center" wrapText="1"/>
    </xf>
    <xf numFmtId="0" fontId="26" fillId="0" borderId="15" xfId="0" applyFont="1" applyBorder="1" applyAlignment="1" applyProtection="1">
      <alignment horizontal="left" vertical="center" wrapText="1"/>
      <protection locked="0"/>
    </xf>
    <xf numFmtId="0" fontId="37" fillId="14" borderId="14" xfId="0" applyFont="1" applyFill="1" applyBorder="1" applyAlignment="1">
      <alignment horizontal="left" vertical="center" wrapText="1"/>
    </xf>
    <xf numFmtId="0" fontId="37" fillId="14" borderId="0" xfId="0" applyFont="1" applyFill="1" applyBorder="1" applyAlignment="1">
      <alignment vertical="center" wrapText="1"/>
    </xf>
    <xf numFmtId="0" fontId="26" fillId="14" borderId="0" xfId="0" applyFont="1" applyFill="1" applyBorder="1" applyAlignment="1">
      <alignment vertical="center" wrapText="1"/>
    </xf>
    <xf numFmtId="0" fontId="26" fillId="14" borderId="5" xfId="0" applyFont="1" applyFill="1" applyBorder="1" applyAlignment="1">
      <alignment vertical="center" wrapText="1"/>
    </xf>
    <xf numFmtId="0" fontId="27" fillId="0" borderId="0" xfId="0" applyFont="1" applyFill="1" applyBorder="1" applyAlignment="1" applyProtection="1">
      <alignment horizontal="left" vertical="top" wrapText="1" indent="1"/>
    </xf>
    <xf numFmtId="0" fontId="27" fillId="0" borderId="0" xfId="0" applyFont="1" applyBorder="1" applyAlignment="1">
      <alignment horizontal="left" vertical="top" wrapText="1" indent="1"/>
    </xf>
    <xf numFmtId="0" fontId="24" fillId="0" borderId="0" xfId="0" applyFont="1" applyBorder="1" applyAlignment="1">
      <alignment horizontal="left" vertical="top" wrapText="1" indent="1"/>
    </xf>
    <xf numFmtId="0" fontId="26" fillId="8" borderId="26" xfId="0" applyFont="1" applyFill="1" applyBorder="1" applyAlignment="1" applyProtection="1">
      <alignment horizontal="left" vertical="center" wrapText="1"/>
    </xf>
    <xf numFmtId="0" fontId="24" fillId="0" borderId="46" xfId="0" applyFont="1" applyBorder="1" applyAlignment="1">
      <alignment wrapText="1"/>
    </xf>
    <xf numFmtId="0" fontId="24" fillId="0" borderId="49" xfId="0" applyFont="1" applyBorder="1" applyAlignment="1">
      <alignment wrapText="1"/>
    </xf>
    <xf numFmtId="0" fontId="32" fillId="0" borderId="0" xfId="1" applyFont="1" applyFill="1" applyAlignment="1" applyProtection="1">
      <alignment horizontal="center" vertical="center"/>
    </xf>
    <xf numFmtId="0" fontId="24" fillId="0" borderId="0" xfId="0" applyFont="1" applyFill="1" applyAlignment="1">
      <alignment horizontal="center" vertical="center"/>
    </xf>
    <xf numFmtId="0" fontId="24" fillId="8" borderId="29" xfId="0" applyFont="1" applyFill="1" applyBorder="1" applyAlignment="1" applyProtection="1">
      <alignment horizontal="left" vertical="center" wrapText="1"/>
    </xf>
    <xf numFmtId="0" fontId="24" fillId="8" borderId="24" xfId="0" applyFont="1" applyFill="1" applyBorder="1" applyAlignment="1" applyProtection="1">
      <alignment horizontal="left" vertical="center" wrapText="1"/>
    </xf>
    <xf numFmtId="0" fontId="36" fillId="14" borderId="0" xfId="1" applyFont="1" applyFill="1" applyAlignment="1" applyProtection="1">
      <alignment horizontal="center" vertical="center" wrapText="1"/>
    </xf>
    <xf numFmtId="164" fontId="24" fillId="8" borderId="34" xfId="0" applyNumberFormat="1" applyFont="1" applyFill="1" applyBorder="1" applyAlignment="1" applyProtection="1">
      <alignment horizontal="right" vertical="center" wrapText="1"/>
      <protection locked="0"/>
    </xf>
    <xf numFmtId="164" fontId="24" fillId="8" borderId="24" xfId="0" applyNumberFormat="1" applyFont="1" applyFill="1" applyBorder="1" applyAlignment="1" applyProtection="1">
      <alignment horizontal="right" vertical="center" wrapText="1"/>
      <protection locked="0"/>
    </xf>
    <xf numFmtId="0" fontId="36" fillId="0" borderId="0" xfId="1" applyFont="1" applyFill="1" applyBorder="1" applyAlignment="1" applyProtection="1">
      <alignment horizontal="center" vertical="center" wrapText="1"/>
    </xf>
    <xf numFmtId="0" fontId="36" fillId="0" borderId="0" xfId="1" applyFont="1" applyAlignment="1" applyProtection="1">
      <alignment horizontal="center" vertical="center" wrapText="1"/>
    </xf>
    <xf numFmtId="0" fontId="36" fillId="0" borderId="0" xfId="1" applyFont="1" applyBorder="1" applyAlignment="1" applyProtection="1">
      <alignment horizontal="center" vertical="center" wrapText="1"/>
    </xf>
    <xf numFmtId="0" fontId="27" fillId="0" borderId="0" xfId="0" applyFont="1" applyBorder="1" applyAlignment="1">
      <alignment horizontal="left" vertical="top" wrapText="1"/>
    </xf>
    <xf numFmtId="0" fontId="24" fillId="0" borderId="24" xfId="0" applyFont="1" applyBorder="1" applyAlignment="1" applyProtection="1">
      <alignment horizontal="right" vertical="center" wrapText="1"/>
      <protection locked="0"/>
    </xf>
    <xf numFmtId="164" fontId="26" fillId="3" borderId="48" xfId="0" applyNumberFormat="1" applyFont="1" applyFill="1" applyBorder="1" applyAlignment="1" applyProtection="1">
      <alignment horizontal="right" vertical="center" wrapText="1"/>
    </xf>
    <xf numFmtId="0" fontId="24" fillId="0" borderId="49" xfId="0" applyFont="1" applyBorder="1" applyAlignment="1">
      <alignment horizontal="right" vertical="center" wrapText="1"/>
    </xf>
    <xf numFmtId="0" fontId="27" fillId="0" borderId="0" xfId="0" applyFont="1" applyFill="1" applyBorder="1" applyAlignment="1" applyProtection="1">
      <alignment horizontal="left" vertical="top" wrapText="1"/>
    </xf>
    <xf numFmtId="0" fontId="32" fillId="0" borderId="0" xfId="1" applyFont="1" applyBorder="1" applyAlignment="1" applyProtection="1">
      <alignment horizontal="center" vertical="center" wrapText="1"/>
    </xf>
    <xf numFmtId="0" fontId="32" fillId="0" borderId="0" xfId="1" applyFont="1" applyBorder="1" applyAlignment="1" applyProtection="1">
      <alignment horizontal="center" vertical="center"/>
    </xf>
    <xf numFmtId="0" fontId="32" fillId="0" borderId="0" xfId="1" applyFont="1" applyAlignment="1" applyProtection="1">
      <alignment horizontal="center" vertical="center"/>
    </xf>
    <xf numFmtId="0" fontId="48" fillId="0" borderId="0" xfId="0" applyFont="1" applyAlignment="1">
      <alignment horizontal="center" vertical="center" wrapText="1"/>
    </xf>
    <xf numFmtId="0" fontId="49" fillId="0" borderId="0" xfId="0" applyFont="1" applyAlignment="1">
      <alignment horizontal="center" vertical="center" wrapText="1"/>
    </xf>
    <xf numFmtId="0" fontId="25" fillId="0" borderId="0" xfId="0" applyFont="1" applyAlignment="1">
      <alignment horizontal="center" vertical="center"/>
    </xf>
    <xf numFmtId="0" fontId="31" fillId="0" borderId="0" xfId="0" applyFont="1" applyAlignment="1">
      <alignment horizontal="center" vertical="center"/>
    </xf>
    <xf numFmtId="0" fontId="37" fillId="3" borderId="15" xfId="0" applyFont="1" applyFill="1" applyBorder="1" applyAlignment="1" applyProtection="1">
      <alignment horizontal="center" vertical="center"/>
      <protection hidden="1"/>
    </xf>
    <xf numFmtId="0" fontId="37" fillId="3" borderId="18" xfId="0" applyFont="1" applyFill="1" applyBorder="1" applyAlignment="1" applyProtection="1">
      <alignment horizontal="center" vertical="center"/>
      <protection hidden="1"/>
    </xf>
    <xf numFmtId="0" fontId="26" fillId="4" borderId="15" xfId="0" applyFont="1" applyFill="1" applyBorder="1" applyAlignment="1" applyProtection="1">
      <alignment horizontal="left" vertical="center" wrapText="1"/>
      <protection locked="0"/>
    </xf>
    <xf numFmtId="0" fontId="37" fillId="3" borderId="28" xfId="0" applyFont="1" applyFill="1" applyBorder="1" applyAlignment="1">
      <alignment horizontal="left" vertical="center" wrapText="1"/>
    </xf>
    <xf numFmtId="0" fontId="24" fillId="3" borderId="29" xfId="0" applyFont="1" applyFill="1" applyBorder="1" applyAlignment="1">
      <alignment vertical="center" wrapText="1"/>
    </xf>
    <xf numFmtId="0" fontId="24" fillId="3" borderId="9" xfId="0" applyFont="1" applyFill="1" applyBorder="1" applyAlignment="1">
      <alignment vertical="center" wrapText="1"/>
    </xf>
    <xf numFmtId="0" fontId="37" fillId="14" borderId="43" xfId="0" applyFont="1" applyFill="1" applyBorder="1" applyAlignment="1">
      <alignment horizontal="left" vertical="center" wrapText="1"/>
    </xf>
    <xf numFmtId="0" fontId="26" fillId="14" borderId="44" xfId="0" applyFont="1" applyFill="1" applyBorder="1" applyAlignment="1">
      <alignment vertical="center" wrapText="1"/>
    </xf>
    <xf numFmtId="0" fontId="26" fillId="14" borderId="1" xfId="0" applyFont="1" applyFill="1" applyBorder="1" applyAlignment="1">
      <alignment vertical="center" wrapText="1"/>
    </xf>
    <xf numFmtId="0" fontId="36" fillId="0" borderId="14" xfId="1" applyFont="1" applyBorder="1" applyAlignment="1" applyProtection="1">
      <alignment horizontal="right" vertical="center"/>
    </xf>
    <xf numFmtId="0" fontId="36" fillId="0" borderId="0" xfId="1" applyFont="1" applyBorder="1" applyAlignment="1" applyProtection="1">
      <alignment vertical="center"/>
    </xf>
    <xf numFmtId="0" fontId="27" fillId="14" borderId="40" xfId="0" applyFont="1" applyFill="1" applyBorder="1" applyAlignment="1" applyProtection="1">
      <alignment horizontal="left" vertical="center" wrapText="1"/>
      <protection hidden="1"/>
    </xf>
    <xf numFmtId="0" fontId="26" fillId="14" borderId="0" xfId="0" applyFont="1" applyFill="1" applyBorder="1" applyAlignment="1">
      <alignment horizontal="left" vertical="center"/>
    </xf>
    <xf numFmtId="0" fontId="26" fillId="14" borderId="5" xfId="0" applyFont="1" applyFill="1" applyBorder="1" applyAlignment="1">
      <alignment horizontal="left" vertical="center"/>
    </xf>
    <xf numFmtId="0" fontId="24" fillId="0" borderId="0" xfId="0" applyFont="1" applyBorder="1" applyAlignment="1">
      <alignment horizontal="right" vertical="center" wrapText="1"/>
    </xf>
    <xf numFmtId="0" fontId="24" fillId="0" borderId="42" xfId="0" applyFont="1" applyBorder="1" applyAlignment="1">
      <alignment vertical="center" wrapText="1"/>
    </xf>
    <xf numFmtId="0" fontId="24" fillId="3" borderId="34" xfId="0" applyFont="1" applyFill="1" applyBorder="1" applyAlignment="1" applyProtection="1">
      <alignment horizontal="left" vertical="top" wrapText="1" indent="1"/>
    </xf>
    <xf numFmtId="0" fontId="24" fillId="0" borderId="29" xfId="0" applyFont="1" applyBorder="1" applyAlignment="1" applyProtection="1">
      <alignment horizontal="left" vertical="top" wrapText="1" indent="1"/>
    </xf>
    <xf numFmtId="0" fontId="24" fillId="0" borderId="9" xfId="0" applyFont="1" applyBorder="1" applyAlignment="1" applyProtection="1">
      <alignment horizontal="left" vertical="top" wrapText="1" indent="1"/>
    </xf>
    <xf numFmtId="0" fontId="26" fillId="0" borderId="0"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4" borderId="14" xfId="0" applyFont="1" applyFill="1" applyBorder="1" applyAlignment="1">
      <alignment horizontal="center" vertical="center" wrapText="1"/>
    </xf>
    <xf numFmtId="0" fontId="24" fillId="4" borderId="14" xfId="0" applyFont="1" applyFill="1" applyBorder="1" applyAlignment="1">
      <alignment horizontal="center" vertical="center" wrapText="1"/>
    </xf>
    <xf numFmtId="168" fontId="26" fillId="0" borderId="16" xfId="0" applyNumberFormat="1" applyFont="1" applyBorder="1" applyAlignment="1" applyProtection="1">
      <alignment horizontal="left" vertical="center" wrapText="1"/>
      <protection locked="0"/>
    </xf>
    <xf numFmtId="168" fontId="26" fillId="0" borderId="53" xfId="0" applyNumberFormat="1" applyFont="1" applyBorder="1" applyAlignment="1" applyProtection="1">
      <alignment horizontal="left" vertical="center" wrapText="1"/>
      <protection locked="0"/>
    </xf>
    <xf numFmtId="0" fontId="24" fillId="0" borderId="16" xfId="0" applyFont="1" applyBorder="1" applyAlignment="1" applyProtection="1">
      <alignment horizontal="right" vertical="center" wrapText="1"/>
      <protection hidden="1"/>
    </xf>
    <xf numFmtId="14" fontId="26" fillId="0" borderId="35" xfId="0" applyNumberFormat="1" applyFont="1" applyBorder="1" applyAlignment="1" applyProtection="1">
      <alignment horizontal="center" vertical="center"/>
      <protection locked="0"/>
    </xf>
    <xf numFmtId="14" fontId="26" fillId="0" borderId="23" xfId="0" applyNumberFormat="1" applyFont="1" applyBorder="1" applyAlignment="1" applyProtection="1">
      <alignment horizontal="center" vertical="center"/>
      <protection locked="0"/>
    </xf>
    <xf numFmtId="0" fontId="37" fillId="3" borderId="15" xfId="0" applyFont="1" applyFill="1" applyBorder="1" applyAlignment="1">
      <alignment horizontal="center" vertical="center" wrapText="1"/>
    </xf>
    <xf numFmtId="0" fontId="38" fillId="3" borderId="15" xfId="0" applyFont="1" applyFill="1" applyBorder="1" applyAlignment="1">
      <alignment horizontal="left" vertical="center"/>
    </xf>
    <xf numFmtId="0" fontId="38" fillId="3" borderId="18" xfId="0" applyFont="1" applyFill="1" applyBorder="1" applyAlignment="1">
      <alignment horizontal="left" vertical="center"/>
    </xf>
    <xf numFmtId="0" fontId="32" fillId="0" borderId="0" xfId="1" applyFont="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15"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4" fillId="0" borderId="15" xfId="0" applyFont="1" applyBorder="1" applyAlignment="1" applyProtection="1">
      <alignment horizontal="right" vertical="center" wrapText="1"/>
      <protection hidden="1"/>
    </xf>
    <xf numFmtId="0" fontId="24" fillId="0" borderId="15" xfId="0" applyFont="1" applyBorder="1" applyAlignment="1">
      <alignment horizontal="right" vertical="center" wrapText="1"/>
    </xf>
    <xf numFmtId="0" fontId="24" fillId="0" borderId="0" xfId="0" applyFont="1" applyBorder="1" applyAlignment="1" applyProtection="1">
      <alignment horizontal="left" vertical="center" wrapText="1"/>
    </xf>
    <xf numFmtId="0" fontId="37" fillId="3" borderId="17" xfId="0" applyFont="1" applyFill="1" applyBorder="1" applyAlignment="1" applyProtection="1">
      <alignment horizontal="center" vertical="center" wrapText="1"/>
    </xf>
    <xf numFmtId="0" fontId="37" fillId="3" borderId="3" xfId="0" applyFont="1" applyFill="1" applyBorder="1" applyAlignment="1" applyProtection="1">
      <alignment horizontal="center" vertical="center" wrapText="1"/>
    </xf>
    <xf numFmtId="0" fontId="37" fillId="3" borderId="41" xfId="0" applyFont="1" applyFill="1" applyBorder="1" applyAlignment="1" applyProtection="1">
      <alignment horizontal="center" vertical="center" wrapText="1"/>
    </xf>
    <xf numFmtId="0" fontId="37" fillId="3" borderId="35" xfId="0" applyFont="1" applyFill="1" applyBorder="1" applyAlignment="1" applyProtection="1">
      <alignment horizontal="center" vertical="center" wrapText="1"/>
    </xf>
    <xf numFmtId="0" fontId="37" fillId="3" borderId="22" xfId="0" applyFont="1" applyFill="1" applyBorder="1" applyAlignment="1" applyProtection="1">
      <alignment horizontal="center" vertical="center" wrapText="1"/>
    </xf>
    <xf numFmtId="0" fontId="37" fillId="3" borderId="36" xfId="0" applyFont="1" applyFill="1" applyBorder="1" applyAlignment="1" applyProtection="1">
      <alignment horizontal="center" vertical="center" wrapText="1"/>
    </xf>
    <xf numFmtId="0" fontId="24" fillId="0" borderId="42" xfId="0" applyFont="1" applyBorder="1" applyAlignment="1">
      <alignment horizontal="right" vertical="center" wrapText="1"/>
    </xf>
    <xf numFmtId="0" fontId="26" fillId="0" borderId="34"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wrapText="1"/>
      <protection locked="0"/>
    </xf>
    <xf numFmtId="0" fontId="24" fillId="0" borderId="14" xfId="0" applyFont="1" applyBorder="1" applyAlignment="1">
      <alignment horizontal="left" vertical="center" wrapText="1"/>
    </xf>
    <xf numFmtId="0" fontId="24" fillId="0" borderId="54" xfId="0" applyFont="1" applyBorder="1" applyAlignment="1">
      <alignment horizontal="right" vertical="center"/>
    </xf>
    <xf numFmtId="0" fontId="24" fillId="0" borderId="30" xfId="0" applyFont="1" applyBorder="1" applyAlignment="1">
      <alignment vertical="center"/>
    </xf>
    <xf numFmtId="0" fontId="26" fillId="0" borderId="16" xfId="0" applyFont="1" applyBorder="1" applyAlignment="1" applyProtection="1">
      <alignment horizontal="left" vertical="center" wrapText="1"/>
      <protection locked="0"/>
    </xf>
    <xf numFmtId="0" fontId="24" fillId="0" borderId="25" xfId="0" applyFont="1" applyBorder="1" applyAlignment="1">
      <alignment horizontal="right" vertical="center"/>
    </xf>
    <xf numFmtId="0" fontId="24" fillId="0" borderId="15" xfId="0" applyFont="1" applyBorder="1" applyAlignment="1">
      <alignment vertical="center"/>
    </xf>
    <xf numFmtId="0" fontId="24" fillId="0" borderId="15" xfId="0" applyFont="1" applyBorder="1" applyAlignment="1" applyProtection="1">
      <alignment horizontal="left" vertical="center" wrapText="1"/>
      <protection locked="0"/>
    </xf>
    <xf numFmtId="167" fontId="24" fillId="0" borderId="34" xfId="0" applyNumberFormat="1" applyFont="1" applyBorder="1" applyAlignment="1" applyProtection="1">
      <alignment horizontal="center" vertical="center"/>
      <protection locked="0"/>
    </xf>
    <xf numFmtId="167" fontId="24" fillId="0" borderId="9" xfId="0" applyNumberFormat="1" applyFont="1" applyBorder="1" applyAlignment="1" applyProtection="1">
      <alignment horizontal="center" vertical="center"/>
      <protection locked="0"/>
    </xf>
    <xf numFmtId="0" fontId="27" fillId="0" borderId="0" xfId="0" applyFont="1" applyBorder="1" applyAlignment="1" applyProtection="1">
      <alignment horizontal="center" vertical="center"/>
      <protection hidden="1"/>
    </xf>
    <xf numFmtId="0" fontId="47" fillId="3" borderId="50" xfId="0" applyFont="1" applyFill="1" applyBorder="1" applyAlignment="1">
      <alignment horizontal="left" vertical="center" wrapText="1"/>
    </xf>
    <xf numFmtId="0" fontId="47" fillId="3" borderId="3" xfId="0" applyFont="1" applyFill="1" applyBorder="1" applyAlignment="1">
      <alignment horizontal="left" vertical="center" wrapText="1"/>
    </xf>
    <xf numFmtId="0" fontId="47" fillId="3" borderId="4" xfId="0" applyFont="1" applyFill="1" applyBorder="1" applyAlignment="1">
      <alignment horizontal="left" vertical="center" wrapText="1"/>
    </xf>
    <xf numFmtId="0" fontId="47" fillId="3" borderId="27" xfId="0" applyFont="1" applyFill="1" applyBorder="1" applyAlignment="1">
      <alignment horizontal="left" vertical="center" wrapText="1"/>
    </xf>
    <xf numFmtId="0" fontId="47" fillId="3" borderId="22" xfId="0" applyFont="1" applyFill="1" applyBorder="1" applyAlignment="1">
      <alignment horizontal="left" vertical="center" wrapText="1"/>
    </xf>
    <xf numFmtId="0" fontId="47" fillId="3" borderId="23" xfId="0" applyFont="1" applyFill="1" applyBorder="1" applyAlignment="1">
      <alignment horizontal="left" vertical="center" wrapText="1"/>
    </xf>
    <xf numFmtId="168" fontId="26" fillId="0" borderId="34" xfId="0" applyNumberFormat="1" applyFont="1" applyFill="1" applyBorder="1" applyAlignment="1" applyProtection="1">
      <alignment horizontal="left" vertical="center" wrapText="1"/>
      <protection locked="0"/>
    </xf>
    <xf numFmtId="168" fontId="24" fillId="0" borderId="29" xfId="0" applyNumberFormat="1" applyFont="1" applyBorder="1" applyAlignment="1">
      <alignment vertical="center" wrapText="1"/>
    </xf>
    <xf numFmtId="168" fontId="24" fillId="0" borderId="9" xfId="0" applyNumberFormat="1" applyFont="1" applyBorder="1" applyAlignment="1">
      <alignment vertical="center" wrapText="1"/>
    </xf>
    <xf numFmtId="168" fontId="26" fillId="0" borderId="15" xfId="0" applyNumberFormat="1" applyFont="1" applyBorder="1" applyAlignment="1" applyProtection="1">
      <alignment horizontal="left" vertical="center" wrapText="1"/>
      <protection locked="0"/>
    </xf>
    <xf numFmtId="168" fontId="26" fillId="0" borderId="15" xfId="0" applyNumberFormat="1" applyFont="1" applyBorder="1" applyAlignment="1" applyProtection="1">
      <alignment vertical="center" wrapText="1"/>
      <protection locked="0"/>
    </xf>
    <xf numFmtId="168" fontId="26" fillId="0" borderId="18" xfId="0" applyNumberFormat="1" applyFont="1" applyBorder="1" applyAlignment="1" applyProtection="1">
      <alignment vertical="center" wrapText="1"/>
      <protection locked="0"/>
    </xf>
    <xf numFmtId="0" fontId="24" fillId="0" borderId="51" xfId="0" applyFont="1" applyBorder="1" applyAlignment="1">
      <alignment horizontal="left" vertical="center" wrapText="1"/>
    </xf>
    <xf numFmtId="0" fontId="24" fillId="0" borderId="7" xfId="0" applyFont="1" applyBorder="1" applyAlignment="1">
      <alignment vertical="center" wrapText="1"/>
    </xf>
    <xf numFmtId="0" fontId="37" fillId="14" borderId="37" xfId="0" applyFont="1" applyFill="1" applyBorder="1" applyAlignment="1">
      <alignment horizontal="left" vertical="center" wrapText="1"/>
    </xf>
    <xf numFmtId="0" fontId="38" fillId="14" borderId="38" xfId="0" applyFont="1" applyFill="1" applyBorder="1" applyAlignment="1">
      <alignment horizontal="left" vertical="center" wrapText="1"/>
    </xf>
    <xf numFmtId="0" fontId="38" fillId="14" borderId="39" xfId="0" applyFont="1" applyFill="1" applyBorder="1" applyAlignment="1">
      <alignment horizontal="left" vertical="center" wrapText="1"/>
    </xf>
    <xf numFmtId="0" fontId="26" fillId="0" borderId="20" xfId="0" applyFont="1" applyBorder="1" applyAlignment="1" applyProtection="1">
      <alignment horizontal="left" vertical="center" wrapText="1"/>
      <protection locked="0"/>
    </xf>
    <xf numFmtId="0" fontId="32" fillId="0" borderId="15" xfId="1"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protection locked="0"/>
    </xf>
    <xf numFmtId="0" fontId="26" fillId="0" borderId="15" xfId="0" applyFont="1" applyBorder="1" applyAlignment="1" applyProtection="1">
      <alignment vertical="center" wrapText="1"/>
      <protection locked="0"/>
    </xf>
    <xf numFmtId="0" fontId="26" fillId="0" borderId="18" xfId="0" applyFont="1" applyBorder="1" applyAlignment="1" applyProtection="1">
      <alignment vertical="center" wrapText="1"/>
      <protection locked="0"/>
    </xf>
    <xf numFmtId="0" fontId="37" fillId="3" borderId="43" xfId="0" applyFont="1" applyFill="1" applyBorder="1" applyAlignment="1">
      <alignment horizontal="left" vertical="center" wrapText="1"/>
    </xf>
    <xf numFmtId="0" fontId="24" fillId="3" borderId="44" xfId="0" applyFont="1" applyFill="1" applyBorder="1" applyAlignment="1">
      <alignment vertical="center" wrapText="1"/>
    </xf>
    <xf numFmtId="0" fontId="24" fillId="3" borderId="1" xfId="0" applyFont="1" applyFill="1" applyBorder="1" applyAlignment="1">
      <alignment vertical="center" wrapText="1"/>
    </xf>
    <xf numFmtId="0" fontId="24" fillId="0" borderId="50" xfId="0" applyFont="1" applyBorder="1" applyAlignment="1">
      <alignment horizontal="right" vertical="center" wrapText="1"/>
    </xf>
    <xf numFmtId="0" fontId="24" fillId="0" borderId="3" xfId="0" applyFont="1" applyBorder="1" applyAlignment="1">
      <alignment vertical="center" wrapText="1"/>
    </xf>
    <xf numFmtId="0" fontId="24" fillId="0" borderId="30"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5" fontId="27" fillId="0" borderId="0" xfId="0" applyNumberFormat="1" applyFont="1" applyFill="1" applyBorder="1" applyAlignment="1" applyProtection="1">
      <alignment horizontal="left" vertical="center" wrapText="1"/>
      <protection hidden="1"/>
    </xf>
    <xf numFmtId="0" fontId="24" fillId="0" borderId="0" xfId="0" applyFont="1" applyAlignment="1">
      <alignment vertical="center" wrapText="1"/>
    </xf>
    <xf numFmtId="0" fontId="24" fillId="0" borderId="0" xfId="0" applyFont="1" applyAlignment="1">
      <alignment vertical="center"/>
    </xf>
    <xf numFmtId="0" fontId="26" fillId="0" borderId="15" xfId="0" applyFont="1" applyBorder="1" applyAlignment="1" applyProtection="1">
      <alignment vertical="center"/>
      <protection locked="0"/>
    </xf>
    <xf numFmtId="0" fontId="26" fillId="0" borderId="18" xfId="0" applyFont="1" applyBorder="1" applyAlignment="1" applyProtection="1">
      <alignment vertical="center"/>
      <protection locked="0"/>
    </xf>
    <xf numFmtId="0" fontId="26" fillId="0" borderId="0" xfId="0" applyFont="1" applyAlignment="1">
      <alignment vertical="center"/>
    </xf>
    <xf numFmtId="167" fontId="24" fillId="0" borderId="0" xfId="0" applyNumberFormat="1" applyFont="1" applyBorder="1" applyAlignment="1">
      <alignment horizontal="left" vertical="center" wrapText="1"/>
    </xf>
    <xf numFmtId="0" fontId="24" fillId="3" borderId="34" xfId="0" applyFont="1" applyFill="1" applyBorder="1" applyAlignment="1" applyProtection="1">
      <alignment horizontal="center" vertical="center"/>
    </xf>
    <xf numFmtId="0" fontId="24" fillId="3" borderId="29" xfId="0" applyFont="1" applyFill="1" applyBorder="1" applyAlignment="1" applyProtection="1">
      <alignment horizontal="center" vertical="center"/>
    </xf>
    <xf numFmtId="0" fontId="26" fillId="0" borderId="16" xfId="0" applyFont="1" applyFill="1" applyBorder="1" applyAlignment="1" applyProtection="1">
      <alignment horizontal="left" vertical="center" wrapText="1"/>
      <protection locked="0"/>
    </xf>
    <xf numFmtId="0" fontId="26" fillId="0" borderId="53" xfId="0" applyFont="1" applyBorder="1" applyAlignment="1" applyProtection="1">
      <alignment horizontal="left" vertical="center" wrapText="1"/>
      <protection locked="0"/>
    </xf>
    <xf numFmtId="0" fontId="37" fillId="14" borderId="28" xfId="0" applyFont="1" applyFill="1" applyBorder="1" applyAlignment="1">
      <alignment horizontal="left" vertical="center" wrapText="1"/>
    </xf>
    <xf numFmtId="0" fontId="37" fillId="14" borderId="29" xfId="0" applyFont="1" applyFill="1" applyBorder="1" applyAlignment="1">
      <alignment vertical="center" wrapText="1"/>
    </xf>
    <xf numFmtId="0" fontId="26" fillId="0" borderId="29" xfId="0" applyFont="1" applyBorder="1" applyAlignment="1">
      <alignment vertical="center" wrapText="1"/>
    </xf>
    <xf numFmtId="0" fontId="26" fillId="0" borderId="9" xfId="0" applyFont="1" applyBorder="1" applyAlignment="1">
      <alignment vertical="center" wrapText="1"/>
    </xf>
    <xf numFmtId="0" fontId="26" fillId="0" borderId="16" xfId="0" applyFont="1" applyBorder="1" applyAlignment="1" applyProtection="1">
      <alignment vertical="center" wrapText="1"/>
      <protection locked="0"/>
    </xf>
    <xf numFmtId="0" fontId="26" fillId="0" borderId="19" xfId="0" applyFont="1" applyBorder="1" applyAlignment="1" applyProtection="1">
      <alignment vertical="center" wrapText="1"/>
      <protection locked="0"/>
    </xf>
    <xf numFmtId="0" fontId="24" fillId="0" borderId="27" xfId="0" applyFont="1" applyBorder="1" applyAlignment="1">
      <alignment horizontal="right" vertical="center" wrapText="1"/>
    </xf>
    <xf numFmtId="0" fontId="24" fillId="0" borderId="22" xfId="0" applyFont="1" applyBorder="1" applyAlignment="1">
      <alignment vertical="center" wrapText="1"/>
    </xf>
    <xf numFmtId="0" fontId="24" fillId="0" borderId="23" xfId="0" applyFont="1" applyBorder="1" applyAlignment="1" applyProtection="1">
      <alignment horizontal="center" vertical="center" wrapText="1"/>
    </xf>
    <xf numFmtId="164" fontId="26" fillId="3" borderId="15" xfId="0" applyNumberFormat="1" applyFont="1" applyFill="1" applyBorder="1" applyAlignment="1" applyProtection="1">
      <alignment horizontal="right" vertical="center" wrapText="1"/>
    </xf>
    <xf numFmtId="164" fontId="24" fillId="0" borderId="18" xfId="0" applyNumberFormat="1" applyFont="1" applyBorder="1" applyAlignment="1" applyProtection="1">
      <alignment horizontal="right" vertical="center" wrapText="1"/>
    </xf>
    <xf numFmtId="0" fontId="24" fillId="0" borderId="22" xfId="0" applyFont="1" applyBorder="1" applyAlignment="1">
      <alignment horizontal="center" vertical="center" wrapText="1"/>
    </xf>
    <xf numFmtId="0" fontId="37" fillId="3" borderId="3" xfId="0" applyFont="1" applyFill="1" applyBorder="1" applyAlignment="1" applyProtection="1">
      <alignment horizontal="center" vertical="center"/>
    </xf>
    <xf numFmtId="0" fontId="24" fillId="0" borderId="4" xfId="0" applyFont="1" applyBorder="1" applyAlignment="1" applyProtection="1">
      <alignment horizontal="center" vertical="center"/>
    </xf>
    <xf numFmtId="0" fontId="38" fillId="0" borderId="0" xfId="0" applyFont="1" applyFill="1" applyAlignment="1" applyProtection="1">
      <alignment horizontal="left" vertical="center" wrapText="1"/>
    </xf>
    <xf numFmtId="0" fontId="24" fillId="0" borderId="0" xfId="0" applyFont="1" applyFill="1" applyAlignment="1">
      <alignment wrapText="1"/>
    </xf>
    <xf numFmtId="0" fontId="32" fillId="0" borderId="0" xfId="1" applyFont="1" applyAlignment="1" applyProtection="1">
      <alignment horizontal="left" vertical="center" wrapText="1"/>
    </xf>
    <xf numFmtId="0" fontId="38" fillId="14" borderId="52" xfId="0" applyFont="1" applyFill="1" applyBorder="1" applyAlignment="1" applyProtection="1">
      <alignment horizontal="left" vertical="center" wrapText="1"/>
    </xf>
    <xf numFmtId="0" fontId="38" fillId="14" borderId="12" xfId="0" applyFont="1" applyFill="1" applyBorder="1" applyAlignment="1" applyProtection="1">
      <alignment horizontal="left" vertical="center" wrapText="1"/>
    </xf>
    <xf numFmtId="0" fontId="24" fillId="14" borderId="12" xfId="0" applyFont="1" applyFill="1" applyBorder="1" applyAlignment="1">
      <alignment horizontal="left" vertical="center" wrapText="1"/>
    </xf>
    <xf numFmtId="0" fontId="24" fillId="14" borderId="13" xfId="0" applyFont="1" applyFill="1" applyBorder="1" applyAlignment="1">
      <alignment horizontal="left" vertical="center" wrapText="1"/>
    </xf>
    <xf numFmtId="0" fontId="27" fillId="8" borderId="0" xfId="0" applyFont="1" applyFill="1" applyBorder="1" applyAlignment="1" applyProtection="1">
      <alignment horizontal="left" vertical="center" wrapText="1"/>
    </xf>
    <xf numFmtId="0" fontId="24" fillId="0" borderId="3" xfId="0" applyFont="1" applyBorder="1" applyAlignment="1" applyProtection="1">
      <alignment vertical="center"/>
      <protection locked="0"/>
    </xf>
    <xf numFmtId="0" fontId="24" fillId="0" borderId="4" xfId="0" applyFont="1" applyBorder="1" applyAlignment="1" applyProtection="1">
      <alignment vertical="center"/>
      <protection locked="0"/>
    </xf>
    <xf numFmtId="164" fontId="32" fillId="8" borderId="0" xfId="1" applyNumberFormat="1" applyFont="1" applyFill="1" applyBorder="1" applyAlignment="1" applyProtection="1">
      <alignment horizontal="left" vertical="center" wrapText="1"/>
    </xf>
    <xf numFmtId="0" fontId="32" fillId="0" borderId="0" xfId="1" applyFont="1" applyAlignment="1" applyProtection="1"/>
    <xf numFmtId="0" fontId="38" fillId="14" borderId="43" xfId="0" applyFont="1" applyFill="1" applyBorder="1" applyAlignment="1" applyProtection="1">
      <alignment horizontal="left" vertical="center" wrapText="1"/>
    </xf>
    <xf numFmtId="0" fontId="38" fillId="14" borderId="44" xfId="0" applyFont="1" applyFill="1" applyBorder="1" applyAlignment="1" applyProtection="1">
      <alignment horizontal="left" vertical="center" wrapText="1"/>
    </xf>
    <xf numFmtId="0" fontId="38" fillId="14" borderId="1" xfId="0" applyFont="1" applyFill="1" applyBorder="1" applyAlignment="1" applyProtection="1">
      <alignment horizontal="left" vertical="center" wrapText="1"/>
    </xf>
    <xf numFmtId="0" fontId="37" fillId="3" borderId="27" xfId="0" applyFont="1" applyFill="1" applyBorder="1" applyAlignment="1" applyProtection="1">
      <alignment horizontal="left" vertical="center"/>
    </xf>
    <xf numFmtId="0" fontId="37" fillId="3" borderId="22" xfId="0" applyFont="1" applyFill="1" applyBorder="1" applyAlignment="1" applyProtection="1">
      <alignment horizontal="left" vertical="center"/>
    </xf>
    <xf numFmtId="0" fontId="37" fillId="3" borderId="0"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164" fontId="24" fillId="3" borderId="15" xfId="0" applyNumberFormat="1" applyFont="1" applyFill="1" applyBorder="1" applyAlignment="1" applyProtection="1">
      <alignment horizontal="right" vertical="center" wrapText="1"/>
    </xf>
    <xf numFmtId="164" fontId="24" fillId="3" borderId="18" xfId="0" applyNumberFormat="1" applyFont="1" applyFill="1" applyBorder="1" applyAlignment="1" applyProtection="1">
      <alignment horizontal="right" vertical="center" wrapText="1"/>
    </xf>
    <xf numFmtId="164" fontId="24" fillId="3" borderId="34" xfId="0" applyNumberFormat="1" applyFont="1" applyFill="1" applyBorder="1" applyAlignment="1" applyProtection="1">
      <alignment horizontal="right" vertical="center" wrapText="1"/>
    </xf>
    <xf numFmtId="164" fontId="24" fillId="0" borderId="9" xfId="0" applyNumberFormat="1" applyFont="1" applyBorder="1" applyAlignment="1">
      <alignment horizontal="right" vertical="center" wrapText="1"/>
    </xf>
    <xf numFmtId="164" fontId="26" fillId="3" borderId="34" xfId="0" applyNumberFormat="1" applyFont="1" applyFill="1" applyBorder="1" applyAlignment="1" applyProtection="1">
      <alignment horizontal="right" vertical="center" wrapText="1"/>
    </xf>
    <xf numFmtId="164" fontId="24" fillId="0" borderId="24" xfId="0" applyNumberFormat="1" applyFont="1" applyBorder="1" applyAlignment="1" applyProtection="1">
      <alignment horizontal="right" vertical="center" wrapText="1"/>
    </xf>
    <xf numFmtId="0" fontId="24" fillId="0" borderId="22" xfId="0" applyFont="1" applyBorder="1" applyAlignment="1" applyProtection="1">
      <alignment horizontal="center" vertical="center" wrapText="1"/>
    </xf>
    <xf numFmtId="164" fontId="26" fillId="3" borderId="24" xfId="0" applyNumberFormat="1" applyFont="1" applyFill="1" applyBorder="1" applyAlignment="1" applyProtection="1">
      <alignment horizontal="right" vertical="center" wrapText="1"/>
    </xf>
    <xf numFmtId="0" fontId="24" fillId="0" borderId="24" xfId="0" applyFont="1" applyBorder="1" applyAlignment="1">
      <alignment horizontal="right" vertical="center" wrapText="1"/>
    </xf>
    <xf numFmtId="0" fontId="26" fillId="8" borderId="28" xfId="0" applyFont="1" applyFill="1" applyBorder="1" applyAlignment="1" applyProtection="1">
      <alignment horizontal="left" vertical="center" wrapText="1"/>
    </xf>
    <xf numFmtId="0" fontId="26" fillId="8" borderId="29" xfId="0" applyFont="1" applyFill="1" applyBorder="1" applyAlignment="1" applyProtection="1">
      <alignment horizontal="left" vertical="center" wrapText="1"/>
    </xf>
    <xf numFmtId="0" fontId="26" fillId="8" borderId="24" xfId="0" applyFont="1" applyFill="1" applyBorder="1" applyAlignment="1" applyProtection="1">
      <alignment horizontal="left" vertical="center" wrapText="1"/>
    </xf>
    <xf numFmtId="164" fontId="26" fillId="3" borderId="30" xfId="0" applyNumberFormat="1" applyFont="1" applyFill="1" applyBorder="1" applyAlignment="1" applyProtection="1">
      <alignment horizontal="right" vertical="center" wrapText="1"/>
    </xf>
    <xf numFmtId="164" fontId="24" fillId="3" borderId="21" xfId="0" applyNumberFormat="1" applyFont="1" applyFill="1" applyBorder="1" applyAlignment="1" applyProtection="1">
      <alignment horizontal="right" vertical="center" wrapText="1"/>
    </xf>
    <xf numFmtId="164" fontId="26" fillId="3" borderId="49" xfId="0" applyNumberFormat="1" applyFont="1" applyFill="1" applyBorder="1" applyAlignment="1" applyProtection="1">
      <alignment horizontal="right" vertical="center" wrapText="1"/>
    </xf>
    <xf numFmtId="164" fontId="24" fillId="0" borderId="49" xfId="0" applyNumberFormat="1" applyFont="1" applyBorder="1" applyAlignment="1" applyProtection="1">
      <alignment horizontal="right" vertical="center" wrapText="1"/>
    </xf>
    <xf numFmtId="0" fontId="27" fillId="8" borderId="0" xfId="0" applyFont="1" applyFill="1" applyBorder="1" applyAlignment="1" applyProtection="1">
      <alignment horizontal="left" vertical="top" wrapText="1"/>
    </xf>
    <xf numFmtId="0" fontId="24" fillId="0" borderId="48" xfId="0" applyFont="1" applyBorder="1" applyAlignment="1">
      <alignment horizontal="left" vertical="center"/>
    </xf>
    <xf numFmtId="0" fontId="24" fillId="0" borderId="46" xfId="0" applyFont="1" applyBorder="1" applyAlignment="1">
      <alignment horizontal="left" vertical="center"/>
    </xf>
    <xf numFmtId="0" fontId="24" fillId="0" borderId="49" xfId="0" applyFont="1" applyBorder="1" applyAlignment="1">
      <alignment horizontal="left" vertical="center"/>
    </xf>
    <xf numFmtId="0" fontId="37" fillId="3" borderId="50" xfId="0" applyFont="1" applyFill="1" applyBorder="1" applyAlignment="1" applyProtection="1">
      <alignment horizontal="left" vertical="center"/>
    </xf>
    <xf numFmtId="0" fontId="24" fillId="0" borderId="3" xfId="0" applyFont="1" applyBorder="1" applyAlignment="1">
      <alignment horizontal="left" vertical="center"/>
    </xf>
    <xf numFmtId="0" fontId="24" fillId="0" borderId="24" xfId="0" applyFont="1" applyBorder="1" applyAlignment="1">
      <alignment horizontal="left" vertical="center" wrapText="1"/>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4" fillId="0" borderId="34" xfId="0" applyFont="1" applyBorder="1" applyAlignment="1">
      <alignment vertical="center"/>
    </xf>
    <xf numFmtId="0" fontId="24" fillId="0" borderId="29" xfId="0" applyFont="1" applyBorder="1" applyAlignment="1">
      <alignment vertical="center"/>
    </xf>
    <xf numFmtId="0" fontId="24" fillId="0" borderId="24" xfId="0" applyFont="1" applyBorder="1" applyAlignment="1">
      <alignment vertical="center"/>
    </xf>
    <xf numFmtId="0" fontId="24" fillId="8" borderId="17" xfId="1" applyFont="1" applyFill="1" applyBorder="1" applyAlignment="1" applyProtection="1">
      <alignment horizontal="left" vertical="center" wrapText="1"/>
    </xf>
    <xf numFmtId="0" fontId="24" fillId="0" borderId="3" xfId="1" applyFont="1" applyBorder="1" applyAlignment="1" applyProtection="1">
      <alignment horizontal="left" vertical="center" wrapText="1"/>
    </xf>
    <xf numFmtId="0" fontId="24" fillId="0" borderId="41" xfId="1" applyFont="1" applyBorder="1" applyAlignment="1" applyProtection="1">
      <alignment horizontal="left" vertical="center" wrapText="1"/>
    </xf>
    <xf numFmtId="0" fontId="24" fillId="0" borderId="35" xfId="1" applyFont="1" applyBorder="1" applyAlignment="1" applyProtection="1">
      <alignment horizontal="left" vertical="center" wrapText="1"/>
    </xf>
    <xf numFmtId="0" fontId="24" fillId="0" borderId="22" xfId="1" applyFont="1" applyBorder="1" applyAlignment="1" applyProtection="1">
      <alignment horizontal="left" vertical="center" wrapText="1"/>
    </xf>
    <xf numFmtId="0" fontId="24" fillId="0" borderId="36" xfId="1" applyFont="1" applyBorder="1" applyAlignment="1" applyProtection="1">
      <alignment horizontal="left" vertical="center" wrapText="1"/>
    </xf>
    <xf numFmtId="0" fontId="24" fillId="0" borderId="51" xfId="0" applyFont="1" applyBorder="1" applyAlignment="1">
      <alignment horizontal="right" vertical="center" wrapText="1"/>
    </xf>
    <xf numFmtId="0" fontId="26" fillId="0" borderId="30" xfId="0" applyFont="1" applyBorder="1" applyAlignment="1" applyProtection="1">
      <alignment horizontal="left" vertical="center" wrapText="1"/>
      <protection locked="0"/>
    </xf>
    <xf numFmtId="0" fontId="24" fillId="8" borderId="25" xfId="0" applyFont="1" applyFill="1" applyBorder="1" applyAlignment="1" applyProtection="1">
      <alignment horizontal="center" vertical="center"/>
    </xf>
    <xf numFmtId="0" fontId="24" fillId="0" borderId="25" xfId="0" applyFont="1" applyBorder="1" applyAlignment="1" applyProtection="1">
      <alignment horizontal="center" vertical="center"/>
    </xf>
    <xf numFmtId="164" fontId="24" fillId="0" borderId="46" xfId="0" applyNumberFormat="1" applyFont="1" applyBorder="1" applyAlignment="1" applyProtection="1">
      <alignment horizontal="right" vertical="center"/>
      <protection locked="0"/>
    </xf>
    <xf numFmtId="164" fontId="24" fillId="0" borderId="47" xfId="0" applyNumberFormat="1" applyFont="1" applyBorder="1" applyAlignment="1" applyProtection="1">
      <alignment horizontal="right" vertical="center"/>
      <protection locked="0"/>
    </xf>
    <xf numFmtId="0" fontId="24" fillId="3" borderId="34" xfId="0" applyFont="1" applyFill="1" applyBorder="1" applyAlignment="1" applyProtection="1">
      <alignment horizontal="right" vertical="center"/>
    </xf>
    <xf numFmtId="0" fontId="24" fillId="3" borderId="29" xfId="0" applyFont="1" applyFill="1" applyBorder="1" applyAlignment="1" applyProtection="1">
      <alignment horizontal="right" vertical="center"/>
    </xf>
    <xf numFmtId="0" fontId="24" fillId="3" borderId="9" xfId="0" applyFont="1" applyFill="1" applyBorder="1" applyAlignment="1" applyProtection="1">
      <alignment horizontal="right" vertical="center"/>
    </xf>
    <xf numFmtId="5" fontId="28" fillId="0" borderId="0" xfId="0" applyNumberFormat="1" applyFont="1" applyFill="1" applyBorder="1" applyAlignment="1" applyProtection="1">
      <alignment horizontal="left" vertical="center" wrapText="1"/>
      <protection hidden="1"/>
    </xf>
    <xf numFmtId="0" fontId="37" fillId="14" borderId="34" xfId="0" applyFont="1" applyFill="1" applyBorder="1" applyAlignment="1">
      <alignment horizontal="left" vertical="center" wrapText="1"/>
    </xf>
    <xf numFmtId="0" fontId="26" fillId="0" borderId="34" xfId="0"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9" xfId="0" applyFont="1" applyBorder="1" applyAlignment="1">
      <alignment vertical="center" wrapText="1"/>
    </xf>
    <xf numFmtId="0" fontId="24" fillId="0" borderId="18" xfId="0" applyFont="1" applyBorder="1" applyAlignment="1">
      <alignment horizontal="left" vertical="center" wrapText="1"/>
    </xf>
    <xf numFmtId="0" fontId="26" fillId="28" borderId="0" xfId="0" applyFont="1" applyFill="1" applyAlignment="1" applyProtection="1">
      <alignment horizontal="center" vertical="center"/>
    </xf>
    <xf numFmtId="0" fontId="26" fillId="17" borderId="0" xfId="0" applyFont="1" applyFill="1" applyBorder="1" applyAlignment="1" applyProtection="1">
      <alignment horizontal="left" vertical="center"/>
    </xf>
    <xf numFmtId="0" fontId="40" fillId="3" borderId="41" xfId="0" applyFont="1" applyFill="1" applyBorder="1" applyAlignment="1" applyProtection="1">
      <alignment horizontal="center" vertical="center"/>
    </xf>
    <xf numFmtId="0" fontId="40" fillId="3" borderId="53" xfId="0" applyFont="1" applyFill="1" applyBorder="1" applyAlignment="1" applyProtection="1">
      <alignment horizontal="center" vertical="center"/>
    </xf>
    <xf numFmtId="0" fontId="37" fillId="3" borderId="48" xfId="0" applyFont="1" applyFill="1" applyBorder="1" applyAlignment="1" applyProtection="1">
      <alignment horizontal="left" vertical="center"/>
    </xf>
    <xf numFmtId="0" fontId="37" fillId="3" borderId="46" xfId="0" applyFont="1" applyFill="1" applyBorder="1" applyAlignment="1" applyProtection="1">
      <alignment horizontal="left" vertical="center"/>
    </xf>
    <xf numFmtId="0" fontId="37" fillId="27" borderId="25" xfId="0" applyFont="1" applyFill="1" applyBorder="1" applyAlignment="1" applyProtection="1">
      <alignment horizontal="right" vertical="center" wrapText="1"/>
    </xf>
    <xf numFmtId="0" fontId="37" fillId="27" borderId="15" xfId="0" applyFont="1" applyFill="1" applyBorder="1" applyAlignment="1" applyProtection="1">
      <alignment horizontal="right" vertical="center" wrapText="1"/>
    </xf>
    <xf numFmtId="0" fontId="24" fillId="0" borderId="55" xfId="0" applyFont="1" applyFill="1" applyBorder="1" applyAlignment="1" applyProtection="1">
      <alignment vertical="center" wrapText="1"/>
    </xf>
    <xf numFmtId="0" fontId="24" fillId="0" borderId="56" xfId="0" applyFont="1" applyFill="1" applyBorder="1" applyAlignment="1" applyProtection="1">
      <alignment vertical="center" wrapText="1"/>
    </xf>
    <xf numFmtId="0" fontId="24" fillId="0" borderId="57" xfId="0" applyFont="1" applyFill="1" applyBorder="1" applyAlignment="1" applyProtection="1">
      <alignment vertical="center" wrapText="1"/>
    </xf>
    <xf numFmtId="0" fontId="24" fillId="8" borderId="14" xfId="0" applyFont="1" applyFill="1" applyBorder="1" applyAlignment="1" applyProtection="1">
      <alignment horizontal="right" vertical="center" wrapText="1"/>
    </xf>
    <xf numFmtId="0" fontId="24" fillId="8" borderId="0" xfId="0" applyFont="1" applyFill="1" applyBorder="1" applyAlignment="1" applyProtection="1">
      <alignment horizontal="right" vertical="center" wrapText="1"/>
    </xf>
    <xf numFmtId="0" fontId="24" fillId="8" borderId="42" xfId="0" applyFont="1" applyFill="1" applyBorder="1" applyAlignment="1" applyProtection="1">
      <alignment horizontal="right" vertical="center" wrapText="1"/>
    </xf>
    <xf numFmtId="0" fontId="36" fillId="8" borderId="15" xfId="1" applyFont="1" applyFill="1" applyBorder="1" applyAlignment="1" applyProtection="1">
      <alignment horizontal="center" vertical="center" wrapText="1"/>
    </xf>
    <xf numFmtId="0" fontId="27" fillId="8" borderId="40" xfId="0" applyFont="1" applyFill="1" applyBorder="1" applyAlignment="1" applyProtection="1">
      <alignment horizontal="left" vertical="center" wrapText="1"/>
    </xf>
    <xf numFmtId="0" fontId="24" fillId="0" borderId="34" xfId="0" applyNumberFormat="1" applyFont="1" applyBorder="1" applyAlignment="1" applyProtection="1">
      <alignment horizontal="left" vertical="center" indent="1"/>
      <protection locked="0"/>
    </xf>
    <xf numFmtId="0" fontId="24" fillId="0" borderId="29" xfId="0" applyNumberFormat="1" applyFont="1" applyBorder="1" applyAlignment="1" applyProtection="1">
      <alignment horizontal="left" vertical="center" indent="1"/>
      <protection locked="0"/>
    </xf>
    <xf numFmtId="0" fontId="24" fillId="0" borderId="24" xfId="0" applyNumberFormat="1" applyFont="1" applyBorder="1" applyAlignment="1" applyProtection="1">
      <alignment horizontal="left" vertical="center" indent="1"/>
      <protection locked="0"/>
    </xf>
    <xf numFmtId="0" fontId="24" fillId="8" borderId="54" xfId="0" applyFont="1" applyFill="1" applyBorder="1" applyAlignment="1" applyProtection="1">
      <alignment horizontal="left" vertical="center" wrapText="1"/>
      <protection locked="0"/>
    </xf>
    <xf numFmtId="0" fontId="24" fillId="8" borderId="30" xfId="0" applyFont="1" applyFill="1" applyBorder="1" applyAlignment="1" applyProtection="1">
      <alignment horizontal="left" vertical="center" wrapText="1"/>
      <protection locked="0"/>
    </xf>
    <xf numFmtId="0" fontId="27" fillId="17" borderId="40" xfId="0" applyFont="1" applyFill="1" applyBorder="1" applyAlignment="1" applyProtection="1">
      <alignment horizontal="left" vertical="center"/>
    </xf>
    <xf numFmtId="0" fontId="27" fillId="17" borderId="0" xfId="0" applyFont="1" applyFill="1" applyBorder="1" applyAlignment="1" applyProtection="1">
      <alignment horizontal="left" vertical="center"/>
    </xf>
    <xf numFmtId="3" fontId="24" fillId="8" borderId="48" xfId="0" applyNumberFormat="1" applyFont="1" applyFill="1" applyBorder="1" applyAlignment="1" applyProtection="1">
      <alignment horizontal="left" vertical="center" indent="1"/>
    </xf>
    <xf numFmtId="3" fontId="24" fillId="8" borderId="49" xfId="0" applyNumberFormat="1" applyFont="1" applyFill="1" applyBorder="1" applyAlignment="1" applyProtection="1">
      <alignment horizontal="left" vertical="center" indent="1"/>
    </xf>
    <xf numFmtId="0" fontId="24" fillId="8" borderId="6" xfId="0" applyFont="1" applyFill="1" applyBorder="1" applyAlignment="1" applyProtection="1">
      <alignment horizontal="center" vertical="center" wrapText="1"/>
    </xf>
    <xf numFmtId="0" fontId="24" fillId="8" borderId="20" xfId="0" applyFont="1" applyFill="1" applyBorder="1" applyAlignment="1" applyProtection="1">
      <alignment horizontal="center" vertical="center" wrapText="1"/>
    </xf>
    <xf numFmtId="0" fontId="24" fillId="8" borderId="30" xfId="0" applyFont="1" applyFill="1" applyBorder="1" applyAlignment="1" applyProtection="1">
      <alignment horizontal="center" vertical="center" wrapText="1"/>
    </xf>
    <xf numFmtId="166" fontId="26" fillId="8" borderId="32" xfId="0" applyNumberFormat="1" applyFont="1" applyFill="1" applyBorder="1" applyAlignment="1" applyProtection="1">
      <alignment horizontal="right" indent="1"/>
    </xf>
    <xf numFmtId="166" fontId="26" fillId="8" borderId="60" xfId="0" applyNumberFormat="1" applyFont="1" applyFill="1" applyBorder="1" applyAlignment="1" applyProtection="1">
      <alignment horizontal="right" indent="1"/>
    </xf>
    <xf numFmtId="0" fontId="40" fillId="3" borderId="12" xfId="0" applyFont="1" applyFill="1" applyBorder="1" applyAlignment="1" applyProtection="1">
      <alignment horizontal="center" vertical="center"/>
    </xf>
    <xf numFmtId="0" fontId="40" fillId="3" borderId="13" xfId="0" applyFont="1" applyFill="1" applyBorder="1" applyAlignment="1" applyProtection="1">
      <alignment horizontal="center" vertical="center"/>
    </xf>
    <xf numFmtId="0" fontId="37" fillId="14" borderId="50" xfId="0" applyNumberFormat="1" applyFont="1" applyFill="1" applyBorder="1" applyAlignment="1" applyProtection="1">
      <alignment horizontal="left" vertical="center" wrapText="1"/>
    </xf>
    <xf numFmtId="0" fontId="37" fillId="14" borderId="3" xfId="0" applyNumberFormat="1" applyFont="1" applyFill="1" applyBorder="1" applyAlignment="1" applyProtection="1">
      <alignment horizontal="left" vertical="center" wrapText="1"/>
    </xf>
    <xf numFmtId="0" fontId="37" fillId="14" borderId="4" xfId="0" applyNumberFormat="1" applyFont="1" applyFill="1" applyBorder="1" applyAlignment="1" applyProtection="1">
      <alignment horizontal="left" vertical="center" wrapText="1"/>
    </xf>
    <xf numFmtId="0" fontId="37" fillId="14" borderId="27" xfId="0" applyNumberFormat="1" applyFont="1" applyFill="1" applyBorder="1" applyAlignment="1" applyProtection="1">
      <alignment horizontal="left" vertical="center" wrapText="1"/>
    </xf>
    <xf numFmtId="0" fontId="37" fillId="14" borderId="22" xfId="0" applyNumberFormat="1" applyFont="1" applyFill="1" applyBorder="1" applyAlignment="1" applyProtection="1">
      <alignment horizontal="left" vertical="center" wrapText="1"/>
    </xf>
    <xf numFmtId="0" fontId="37" fillId="19" borderId="0" xfId="0" applyNumberFormat="1" applyFont="1" applyFill="1" applyBorder="1" applyAlignment="1" applyProtection="1">
      <alignment horizontal="left" vertical="center" wrapText="1"/>
    </xf>
    <xf numFmtId="0" fontId="37" fillId="19" borderId="5" xfId="0" applyNumberFormat="1" applyFont="1" applyFill="1" applyBorder="1" applyAlignment="1" applyProtection="1">
      <alignment horizontal="left" vertical="center" wrapText="1"/>
    </xf>
    <xf numFmtId="0" fontId="37" fillId="3" borderId="3" xfId="0" applyFont="1" applyFill="1" applyBorder="1" applyAlignment="1" applyProtection="1">
      <alignment horizontal="left" vertical="center"/>
    </xf>
    <xf numFmtId="0" fontId="40" fillId="3" borderId="61" xfId="0" applyFont="1" applyFill="1" applyBorder="1" applyAlignment="1" applyProtection="1">
      <alignment horizontal="center" vertical="center"/>
    </xf>
    <xf numFmtId="170" fontId="24" fillId="8" borderId="34" xfId="0" applyNumberFormat="1" applyFont="1" applyFill="1" applyBorder="1" applyAlignment="1" applyProtection="1">
      <alignment horizontal="right" vertical="center" indent="1"/>
      <protection locked="0"/>
    </xf>
    <xf numFmtId="170" fontId="24" fillId="8" borderId="24" xfId="0" applyNumberFormat="1" applyFont="1" applyFill="1" applyBorder="1" applyAlignment="1" applyProtection="1">
      <alignment horizontal="right" vertical="center" indent="1"/>
      <protection locked="0"/>
    </xf>
    <xf numFmtId="0" fontId="26" fillId="17" borderId="34" xfId="0" applyFont="1" applyFill="1" applyBorder="1" applyAlignment="1" applyProtection="1">
      <alignment horizontal="left" vertical="center" wrapText="1" indent="1"/>
      <protection locked="0"/>
    </xf>
    <xf numFmtId="0" fontId="26" fillId="17" borderId="29" xfId="0" applyFont="1" applyFill="1" applyBorder="1" applyAlignment="1" applyProtection="1">
      <alignment horizontal="left" vertical="center" wrapText="1" indent="1"/>
      <protection locked="0"/>
    </xf>
    <xf numFmtId="0" fontId="26" fillId="17" borderId="24" xfId="0" applyFont="1" applyFill="1" applyBorder="1" applyAlignment="1" applyProtection="1">
      <alignment horizontal="left" vertical="center" wrapText="1" indent="1"/>
      <protection locked="0"/>
    </xf>
    <xf numFmtId="0" fontId="37" fillId="3" borderId="43" xfId="0" applyFont="1" applyFill="1" applyBorder="1" applyAlignment="1" applyProtection="1">
      <alignment horizontal="left" vertical="center"/>
    </xf>
    <xf numFmtId="0" fontId="24" fillId="0" borderId="44" xfId="0" applyFont="1" applyBorder="1" applyAlignment="1" applyProtection="1">
      <alignment horizontal="left" vertical="center"/>
    </xf>
    <xf numFmtId="0" fontId="32" fillId="3" borderId="44" xfId="1" applyFont="1" applyFill="1" applyBorder="1" applyAlignment="1" applyProtection="1">
      <alignment horizontal="left" vertical="center"/>
    </xf>
    <xf numFmtId="0" fontId="32" fillId="8" borderId="52" xfId="1" applyFont="1" applyFill="1" applyBorder="1" applyAlignment="1" applyProtection="1">
      <alignment horizontal="center" vertical="center" wrapText="1"/>
    </xf>
    <xf numFmtId="0" fontId="32" fillId="8" borderId="12" xfId="1" applyFont="1" applyFill="1" applyBorder="1" applyAlignment="1" applyProtection="1">
      <alignment horizontal="center" vertical="center" wrapText="1"/>
    </xf>
    <xf numFmtId="0" fontId="24" fillId="21" borderId="26" xfId="0" applyFont="1" applyFill="1" applyBorder="1" applyAlignment="1" applyProtection="1">
      <alignment horizontal="center" vertical="center"/>
    </xf>
    <xf numFmtId="0" fontId="24" fillId="21" borderId="46" xfId="0" applyFont="1" applyFill="1" applyBorder="1" applyAlignment="1" applyProtection="1">
      <alignment horizontal="center" vertical="center"/>
    </xf>
    <xf numFmtId="0" fontId="24" fillId="21" borderId="47" xfId="0" applyFont="1" applyFill="1" applyBorder="1" applyAlignment="1" applyProtection="1">
      <alignment horizontal="center" vertical="center"/>
    </xf>
    <xf numFmtId="0" fontId="40" fillId="23" borderId="16" xfId="0" applyFont="1" applyFill="1" applyBorder="1" applyAlignment="1" applyProtection="1">
      <alignment horizontal="center" vertical="center" wrapText="1"/>
    </xf>
    <xf numFmtId="0" fontId="27" fillId="8" borderId="7" xfId="0" applyFont="1" applyFill="1" applyBorder="1" applyAlignment="1" applyProtection="1">
      <alignment horizontal="left" vertical="center" wrapText="1"/>
    </xf>
    <xf numFmtId="164" fontId="24" fillId="8" borderId="3" xfId="0" applyNumberFormat="1" applyFont="1" applyFill="1" applyBorder="1" applyAlignment="1" applyProtection="1">
      <alignment horizontal="right" vertical="center" indent="1"/>
      <protection locked="0"/>
    </xf>
    <xf numFmtId="164" fontId="24" fillId="8" borderId="41" xfId="0" applyNumberFormat="1" applyFont="1" applyFill="1" applyBorder="1" applyAlignment="1" applyProtection="1">
      <alignment horizontal="right" vertical="center" indent="1"/>
      <protection locked="0"/>
    </xf>
    <xf numFmtId="0" fontId="32" fillId="23" borderId="12" xfId="1" applyFont="1" applyFill="1" applyBorder="1" applyAlignment="1" applyProtection="1">
      <alignment horizontal="center" vertical="center" wrapText="1"/>
    </xf>
    <xf numFmtId="0" fontId="32" fillId="23" borderId="13" xfId="1" applyFont="1" applyFill="1" applyBorder="1" applyAlignment="1" applyProtection="1">
      <alignment horizontal="center" vertical="center" wrapText="1"/>
    </xf>
    <xf numFmtId="175" fontId="24" fillId="8" borderId="30" xfId="0" applyNumberFormat="1" applyFont="1" applyFill="1" applyBorder="1" applyAlignment="1" applyProtection="1">
      <alignment horizontal="center" vertical="center"/>
      <protection locked="0"/>
    </xf>
    <xf numFmtId="0" fontId="24" fillId="8" borderId="50" xfId="0" applyFont="1" applyFill="1" applyBorder="1" applyAlignment="1" applyProtection="1">
      <alignment horizontal="right" vertical="center" wrapText="1"/>
    </xf>
    <xf numFmtId="0" fontId="24" fillId="8" borderId="3" xfId="0" applyFont="1" applyFill="1" applyBorder="1" applyAlignment="1" applyProtection="1">
      <alignment horizontal="right" vertical="center" wrapText="1"/>
    </xf>
    <xf numFmtId="0" fontId="24" fillId="8" borderId="41" xfId="0" applyFont="1" applyFill="1" applyBorder="1" applyAlignment="1" applyProtection="1">
      <alignment horizontal="right" vertical="center" wrapText="1"/>
    </xf>
    <xf numFmtId="0" fontId="26" fillId="17" borderId="0" xfId="0" applyFont="1" applyFill="1" applyBorder="1" applyAlignment="1" applyProtection="1">
      <alignment horizontal="center" vertical="center"/>
    </xf>
    <xf numFmtId="0" fontId="24" fillId="8" borderId="0" xfId="0" applyFont="1" applyFill="1" applyBorder="1" applyAlignment="1" applyProtection="1">
      <alignment horizontal="center" vertical="center"/>
    </xf>
    <xf numFmtId="0" fontId="26" fillId="17" borderId="53" xfId="0" applyFont="1" applyFill="1" applyBorder="1" applyAlignment="1" applyProtection="1">
      <alignment horizontal="center" vertical="center" textRotation="90"/>
    </xf>
    <xf numFmtId="0" fontId="26" fillId="17" borderId="59" xfId="0" applyFont="1" applyFill="1" applyBorder="1" applyAlignment="1" applyProtection="1">
      <alignment horizontal="center" vertical="center" textRotation="90"/>
    </xf>
    <xf numFmtId="0" fontId="26" fillId="17" borderId="16" xfId="0" applyFont="1" applyFill="1" applyBorder="1" applyAlignment="1" applyProtection="1">
      <alignment horizontal="center" vertical="center" textRotation="90"/>
    </xf>
    <xf numFmtId="0" fontId="40" fillId="23" borderId="43" xfId="0" applyFont="1" applyFill="1" applyBorder="1" applyAlignment="1" applyProtection="1">
      <alignment horizontal="left" vertical="center"/>
    </xf>
    <xf numFmtId="0" fontId="40" fillId="23" borderId="44" xfId="0" applyFont="1" applyFill="1" applyBorder="1" applyAlignment="1" applyProtection="1">
      <alignment horizontal="left" vertical="center"/>
    </xf>
    <xf numFmtId="0" fontId="40" fillId="23" borderId="1" xfId="0" applyFont="1" applyFill="1" applyBorder="1" applyAlignment="1" applyProtection="1">
      <alignment horizontal="left" vertical="center"/>
    </xf>
    <xf numFmtId="0" fontId="24" fillId="8" borderId="14" xfId="0" applyFont="1" applyFill="1" applyBorder="1" applyAlignment="1" applyProtection="1">
      <alignment horizontal="left" vertical="top" wrapText="1"/>
      <protection locked="0"/>
    </xf>
    <xf numFmtId="0" fontId="24" fillId="17" borderId="0" xfId="0" applyFont="1" applyFill="1" applyBorder="1" applyAlignment="1" applyProtection="1">
      <alignment horizontal="left" vertical="top" wrapText="1"/>
      <protection locked="0"/>
    </xf>
    <xf numFmtId="0" fontId="24" fillId="17" borderId="5" xfId="0" applyFont="1" applyFill="1" applyBorder="1" applyAlignment="1" applyProtection="1">
      <alignment horizontal="left" vertical="top" wrapText="1"/>
      <protection locked="0"/>
    </xf>
    <xf numFmtId="0" fontId="24" fillId="8" borderId="51" xfId="0" applyFont="1" applyFill="1" applyBorder="1" applyAlignment="1" applyProtection="1">
      <alignment horizontal="left" vertical="top" wrapText="1"/>
      <protection locked="0"/>
    </xf>
    <xf numFmtId="0" fontId="24" fillId="8" borderId="7" xfId="0" applyFont="1" applyFill="1" applyBorder="1" applyAlignment="1" applyProtection="1">
      <alignment horizontal="left" vertical="top" wrapText="1"/>
      <protection locked="0"/>
    </xf>
    <xf numFmtId="0" fontId="24" fillId="8" borderId="8" xfId="0" applyFont="1" applyFill="1" applyBorder="1" applyAlignment="1" applyProtection="1">
      <alignment horizontal="left" vertical="top" wrapText="1"/>
      <protection locked="0"/>
    </xf>
    <xf numFmtId="0" fontId="37" fillId="23" borderId="43" xfId="0" applyFont="1" applyFill="1" applyBorder="1" applyAlignment="1" applyProtection="1">
      <alignment horizontal="left" vertical="center" wrapText="1"/>
    </xf>
    <xf numFmtId="0" fontId="37" fillId="23" borderId="44" xfId="0" applyFont="1" applyFill="1" applyBorder="1" applyAlignment="1" applyProtection="1">
      <alignment horizontal="left" vertical="center" wrapText="1"/>
    </xf>
    <xf numFmtId="0" fontId="37" fillId="23" borderId="1" xfId="0" applyFont="1" applyFill="1" applyBorder="1" applyAlignment="1" applyProtection="1">
      <alignment horizontal="left" vertical="center" wrapText="1"/>
    </xf>
    <xf numFmtId="0" fontId="24" fillId="17" borderId="50" xfId="0" applyFont="1" applyFill="1" applyBorder="1" applyAlignment="1" applyProtection="1">
      <alignment horizontal="left" vertical="top" wrapText="1"/>
      <protection locked="0"/>
    </xf>
    <xf numFmtId="0" fontId="24" fillId="17" borderId="3" xfId="0" applyFont="1" applyFill="1" applyBorder="1" applyAlignment="1" applyProtection="1">
      <alignment horizontal="left" vertical="top" wrapText="1"/>
      <protection locked="0"/>
    </xf>
    <xf numFmtId="0" fontId="24" fillId="17" borderId="4" xfId="0" applyFont="1" applyFill="1" applyBorder="1" applyAlignment="1" applyProtection="1">
      <alignment horizontal="left" vertical="top" wrapText="1"/>
      <protection locked="0"/>
    </xf>
    <xf numFmtId="0" fontId="24" fillId="17" borderId="51" xfId="0" applyFont="1" applyFill="1" applyBorder="1" applyAlignment="1" applyProtection="1">
      <alignment horizontal="left" vertical="top" wrapText="1"/>
      <protection locked="0"/>
    </xf>
    <xf numFmtId="0" fontId="24" fillId="17" borderId="7" xfId="0" applyFont="1" applyFill="1" applyBorder="1" applyAlignment="1" applyProtection="1">
      <alignment horizontal="left" vertical="top" wrapText="1"/>
      <protection locked="0"/>
    </xf>
    <xf numFmtId="0" fontId="24" fillId="17" borderId="8" xfId="0" applyFont="1" applyFill="1" applyBorder="1" applyAlignment="1" applyProtection="1">
      <alignment horizontal="left" vertical="top" wrapText="1"/>
      <protection locked="0"/>
    </xf>
    <xf numFmtId="0" fontId="24" fillId="17" borderId="28" xfId="0" applyFont="1" applyFill="1" applyBorder="1" applyAlignment="1" applyProtection="1">
      <alignment horizontal="left" vertical="center" wrapText="1"/>
    </xf>
    <xf numFmtId="0" fontId="24" fillId="17" borderId="29" xfId="0" applyFont="1" applyFill="1" applyBorder="1" applyAlignment="1" applyProtection="1">
      <alignment horizontal="left" vertical="center" wrapText="1"/>
    </xf>
    <xf numFmtId="0" fontId="24" fillId="17" borderId="24" xfId="0" applyFont="1" applyFill="1" applyBorder="1" applyAlignment="1" applyProtection="1">
      <alignment horizontal="left" vertical="center" wrapText="1"/>
    </xf>
    <xf numFmtId="0" fontId="24" fillId="17" borderId="14" xfId="0" applyFont="1" applyFill="1" applyBorder="1" applyAlignment="1" applyProtection="1">
      <alignment horizontal="left" vertical="top" wrapText="1"/>
      <protection locked="0"/>
    </xf>
    <xf numFmtId="0" fontId="24" fillId="8" borderId="5" xfId="0" applyFont="1" applyFill="1" applyBorder="1" applyAlignment="1" applyProtection="1">
      <alignment horizontal="left" vertical="top" wrapText="1"/>
      <protection locked="0"/>
    </xf>
    <xf numFmtId="0" fontId="24" fillId="8" borderId="27" xfId="0" applyFont="1" applyFill="1" applyBorder="1" applyAlignment="1" applyProtection="1">
      <alignment horizontal="left" vertical="top" wrapText="1"/>
      <protection locked="0"/>
    </xf>
    <xf numFmtId="0" fontId="24" fillId="8" borderId="22" xfId="0" applyFont="1" applyFill="1" applyBorder="1" applyAlignment="1" applyProtection="1">
      <alignment horizontal="left" vertical="top" wrapText="1"/>
      <protection locked="0"/>
    </xf>
    <xf numFmtId="0" fontId="24" fillId="8" borderId="23" xfId="0" applyFont="1" applyFill="1" applyBorder="1" applyAlignment="1" applyProtection="1">
      <alignment horizontal="left" vertical="top" wrapText="1"/>
      <protection locked="0"/>
    </xf>
    <xf numFmtId="0" fontId="24" fillId="17" borderId="55" xfId="0" applyFont="1" applyFill="1" applyBorder="1" applyAlignment="1" applyProtection="1">
      <alignment horizontal="left" vertical="center" wrapText="1"/>
    </xf>
    <xf numFmtId="0" fontId="24" fillId="17" borderId="56" xfId="0" applyFont="1" applyFill="1" applyBorder="1" applyAlignment="1" applyProtection="1">
      <alignment horizontal="left" vertical="center" wrapText="1"/>
    </xf>
    <xf numFmtId="0" fontId="24" fillId="17" borderId="57" xfId="0" applyFont="1" applyFill="1" applyBorder="1" applyAlignment="1" applyProtection="1">
      <alignment horizontal="left" vertical="center" wrapText="1"/>
    </xf>
    <xf numFmtId="0" fontId="40" fillId="23" borderId="45" xfId="0" applyFont="1" applyFill="1" applyBorder="1" applyAlignment="1" applyProtection="1">
      <alignment horizontal="center" vertical="center" wrapText="1"/>
    </xf>
    <xf numFmtId="0" fontId="40" fillId="23" borderId="36" xfId="0" applyFont="1" applyFill="1" applyBorder="1" applyAlignment="1" applyProtection="1">
      <alignment horizontal="center" vertical="center" wrapText="1"/>
    </xf>
    <xf numFmtId="0" fontId="40" fillId="23" borderId="19" xfId="0" applyFont="1" applyFill="1" applyBorder="1" applyAlignment="1" applyProtection="1">
      <alignment horizontal="center" vertical="center" wrapText="1"/>
    </xf>
    <xf numFmtId="5" fontId="24" fillId="17" borderId="14" xfId="0" applyNumberFormat="1" applyFont="1" applyFill="1" applyBorder="1" applyAlignment="1" applyProtection="1">
      <alignment horizontal="right" vertical="center" wrapText="1"/>
    </xf>
    <xf numFmtId="5" fontId="24" fillId="17" borderId="0" xfId="0" applyNumberFormat="1" applyFont="1" applyFill="1" applyBorder="1" applyAlignment="1" applyProtection="1">
      <alignment horizontal="right" vertical="center" wrapText="1"/>
    </xf>
    <xf numFmtId="5" fontId="24" fillId="17" borderId="42" xfId="0" applyNumberFormat="1" applyFont="1" applyFill="1" applyBorder="1" applyAlignment="1" applyProtection="1">
      <alignment horizontal="right" vertical="center" wrapText="1"/>
    </xf>
    <xf numFmtId="0" fontId="24" fillId="17" borderId="34" xfId="0" applyFont="1" applyFill="1" applyBorder="1" applyAlignment="1" applyProtection="1">
      <alignment horizontal="center" vertical="center" wrapText="1"/>
      <protection locked="0"/>
    </xf>
    <xf numFmtId="0" fontId="24" fillId="17" borderId="29" xfId="0" applyFont="1" applyFill="1" applyBorder="1" applyAlignment="1" applyProtection="1">
      <alignment horizontal="center" vertical="center" wrapText="1"/>
      <protection locked="0"/>
    </xf>
    <xf numFmtId="0" fontId="24" fillId="17" borderId="9" xfId="0" applyFont="1" applyFill="1" applyBorder="1" applyAlignment="1" applyProtection="1">
      <alignment horizontal="center" vertical="center" wrapText="1"/>
      <protection locked="0"/>
    </xf>
    <xf numFmtId="0" fontId="40" fillId="23" borderId="25" xfId="0" applyFont="1" applyFill="1" applyBorder="1" applyAlignment="1" applyProtection="1">
      <alignment horizontal="left" vertical="center" wrapText="1"/>
    </xf>
    <xf numFmtId="0" fontId="40" fillId="23" borderId="15" xfId="0" applyFont="1" applyFill="1" applyBorder="1" applyAlignment="1" applyProtection="1">
      <alignment horizontal="left" vertical="center" wrapText="1"/>
    </xf>
    <xf numFmtId="0" fontId="40" fillId="23" borderId="18" xfId="0" applyFont="1" applyFill="1" applyBorder="1" applyAlignment="1" applyProtection="1">
      <alignment horizontal="left" vertical="center" wrapText="1"/>
    </xf>
    <xf numFmtId="0" fontId="24" fillId="17" borderId="27" xfId="0" applyFont="1" applyFill="1" applyBorder="1" applyAlignment="1" applyProtection="1">
      <alignment horizontal="left" vertical="top" wrapText="1"/>
      <protection locked="0"/>
    </xf>
    <xf numFmtId="0" fontId="24" fillId="17" borderId="22" xfId="0" applyFont="1" applyFill="1" applyBorder="1" applyAlignment="1" applyProtection="1">
      <alignment horizontal="left" vertical="top" wrapText="1"/>
      <protection locked="0"/>
    </xf>
    <xf numFmtId="0" fontId="24" fillId="17" borderId="23" xfId="0" applyFont="1" applyFill="1" applyBorder="1" applyAlignment="1" applyProtection="1">
      <alignment horizontal="left" vertical="top" wrapText="1"/>
      <protection locked="0"/>
    </xf>
    <xf numFmtId="0" fontId="24" fillId="17" borderId="55" xfId="0" applyFont="1" applyFill="1" applyBorder="1" applyAlignment="1" applyProtection="1">
      <alignment vertical="center"/>
    </xf>
    <xf numFmtId="0" fontId="24" fillId="17" borderId="56" xfId="0" applyFont="1" applyFill="1" applyBorder="1" applyAlignment="1" applyProtection="1">
      <alignment vertical="center"/>
    </xf>
    <xf numFmtId="0" fontId="24" fillId="17" borderId="57" xfId="0" applyFont="1" applyFill="1" applyBorder="1" applyAlignment="1" applyProtection="1">
      <alignment vertical="center"/>
    </xf>
    <xf numFmtId="0" fontId="24" fillId="17" borderId="55" xfId="0" applyFont="1" applyFill="1" applyBorder="1" applyAlignment="1" applyProtection="1">
      <alignment vertical="center" wrapText="1"/>
    </xf>
    <xf numFmtId="0" fontId="24" fillId="17" borderId="56" xfId="0" applyFont="1" applyFill="1" applyBorder="1" applyAlignment="1" applyProtection="1">
      <alignment vertical="center" wrapText="1"/>
    </xf>
    <xf numFmtId="0" fontId="24" fillId="17" borderId="57" xfId="0" applyFont="1" applyFill="1" applyBorder="1" applyAlignment="1" applyProtection="1">
      <alignment vertical="center" wrapText="1"/>
    </xf>
    <xf numFmtId="0" fontId="24" fillId="17" borderId="50" xfId="0" applyFont="1" applyFill="1" applyBorder="1" applyAlignment="1" applyProtection="1">
      <alignment horizontal="left" vertical="center" wrapText="1"/>
    </xf>
    <xf numFmtId="0" fontId="24" fillId="17" borderId="3" xfId="0" applyFont="1" applyFill="1" applyBorder="1" applyAlignment="1" applyProtection="1">
      <alignment horizontal="left" vertical="center" wrapText="1"/>
    </xf>
    <xf numFmtId="0" fontId="24" fillId="17" borderId="41" xfId="0" applyFont="1" applyFill="1" applyBorder="1" applyAlignment="1" applyProtection="1">
      <alignment horizontal="left" vertical="center" wrapText="1"/>
    </xf>
    <xf numFmtId="0" fontId="24" fillId="8" borderId="30" xfId="0" applyFont="1" applyFill="1" applyBorder="1" applyAlignment="1" applyProtection="1">
      <alignment horizontal="left" vertical="center"/>
      <protection locked="0"/>
    </xf>
    <xf numFmtId="0" fontId="24" fillId="8" borderId="21" xfId="0" applyFont="1" applyFill="1" applyBorder="1" applyAlignment="1" applyProtection="1">
      <alignment horizontal="left" vertical="center"/>
      <protection locked="0"/>
    </xf>
    <xf numFmtId="0" fontId="37" fillId="23" borderId="37" xfId="0" applyFont="1" applyFill="1" applyBorder="1" applyAlignment="1" applyProtection="1">
      <alignment vertical="center" wrapText="1"/>
    </xf>
    <xf numFmtId="0" fontId="37" fillId="23" borderId="38" xfId="0" applyFont="1" applyFill="1" applyBorder="1" applyAlignment="1" applyProtection="1">
      <alignment vertical="center" wrapText="1"/>
    </xf>
    <xf numFmtId="0" fontId="37" fillId="23" borderId="39" xfId="0" applyFont="1" applyFill="1" applyBorder="1" applyAlignment="1" applyProtection="1">
      <alignment vertical="center" wrapText="1"/>
    </xf>
    <xf numFmtId="0" fontId="26" fillId="17" borderId="34" xfId="0" applyFont="1" applyFill="1" applyBorder="1" applyAlignment="1" applyProtection="1">
      <alignment horizontal="center" vertical="center" wrapText="1"/>
    </xf>
    <xf numFmtId="0" fontId="26" fillId="17" borderId="29" xfId="0" applyFont="1" applyFill="1" applyBorder="1" applyAlignment="1" applyProtection="1">
      <alignment horizontal="center" vertical="center" wrapText="1"/>
    </xf>
    <xf numFmtId="0" fontId="26" fillId="17" borderId="24" xfId="0" applyFont="1" applyFill="1" applyBorder="1" applyAlignment="1" applyProtection="1">
      <alignment horizontal="center" vertical="center" wrapText="1"/>
    </xf>
    <xf numFmtId="0" fontId="24" fillId="17" borderId="41" xfId="0" applyFont="1" applyFill="1" applyBorder="1" applyAlignment="1" applyProtection="1">
      <alignment horizontal="left" vertical="top" wrapText="1"/>
      <protection locked="0"/>
    </xf>
    <xf numFmtId="0" fontId="24" fillId="17" borderId="36" xfId="0" applyFont="1" applyFill="1" applyBorder="1" applyAlignment="1" applyProtection="1">
      <alignment horizontal="left" vertical="top" wrapText="1"/>
      <protection locked="0"/>
    </xf>
    <xf numFmtId="0" fontId="40" fillId="23" borderId="28" xfId="0" applyFont="1" applyFill="1" applyBorder="1" applyAlignment="1" applyProtection="1">
      <alignment horizontal="left" vertical="center"/>
    </xf>
    <xf numFmtId="0" fontId="40" fillId="23" borderId="29" xfId="0" applyFont="1" applyFill="1" applyBorder="1" applyAlignment="1" applyProtection="1">
      <alignment horizontal="left" vertical="center"/>
    </xf>
    <xf numFmtId="0" fontId="40" fillId="23" borderId="24" xfId="0" applyFont="1" applyFill="1" applyBorder="1" applyAlignment="1" applyProtection="1">
      <alignment horizontal="left" vertical="center"/>
    </xf>
    <xf numFmtId="0" fontId="40" fillId="23" borderId="12" xfId="0" applyFont="1" applyFill="1" applyBorder="1" applyAlignment="1" applyProtection="1">
      <alignment horizontal="center" vertical="center" wrapText="1"/>
    </xf>
    <xf numFmtId="0" fontId="40" fillId="23" borderId="22" xfId="0" applyFont="1" applyFill="1" applyBorder="1" applyAlignment="1" applyProtection="1">
      <alignment horizontal="center" vertical="center" wrapText="1"/>
    </xf>
    <xf numFmtId="0" fontId="40" fillId="23" borderId="58" xfId="0" applyFont="1" applyFill="1" applyBorder="1" applyAlignment="1" applyProtection="1">
      <alignment horizontal="left" vertical="center"/>
    </xf>
    <xf numFmtId="0" fontId="37" fillId="3" borderId="17" xfId="0" applyFont="1" applyFill="1" applyBorder="1" applyAlignment="1" applyProtection="1">
      <alignment horizontal="left" vertical="center"/>
    </xf>
    <xf numFmtId="0" fontId="51" fillId="17" borderId="25" xfId="0" applyFont="1" applyFill="1" applyBorder="1" applyAlignment="1">
      <alignment horizontal="right" vertical="center"/>
    </xf>
    <xf numFmtId="0" fontId="51" fillId="17" borderId="15" xfId="0" applyFont="1" applyFill="1" applyBorder="1" applyAlignment="1">
      <alignment horizontal="right" vertical="center"/>
    </xf>
    <xf numFmtId="164" fontId="0" fillId="17" borderId="15" xfId="11" applyNumberFormat="1" applyFont="1" applyFill="1" applyBorder="1" applyAlignment="1">
      <alignment horizontal="right" vertical="center"/>
    </xf>
    <xf numFmtId="14" fontId="0" fillId="17" borderId="29" xfId="0" applyNumberFormat="1" applyFill="1" applyBorder="1" applyAlignment="1">
      <alignment horizontal="left" vertical="center"/>
    </xf>
    <xf numFmtId="0" fontId="0" fillId="17" borderId="29" xfId="0" applyFill="1" applyBorder="1" applyAlignment="1">
      <alignment horizontal="left" vertical="center"/>
    </xf>
    <xf numFmtId="0" fontId="0" fillId="17" borderId="9" xfId="0" applyFill="1" applyBorder="1" applyAlignment="1">
      <alignment horizontal="left" vertical="center"/>
    </xf>
    <xf numFmtId="0" fontId="51" fillId="17" borderId="26" xfId="0" applyFont="1" applyFill="1" applyBorder="1" applyAlignment="1">
      <alignment horizontal="right" vertical="center"/>
    </xf>
    <xf numFmtId="0" fontId="51" fillId="17" borderId="49" xfId="0" applyFont="1" applyFill="1" applyBorder="1" applyAlignment="1">
      <alignment horizontal="right" vertical="center"/>
    </xf>
    <xf numFmtId="0" fontId="0" fillId="17" borderId="48" xfId="0" applyFill="1" applyBorder="1" applyAlignment="1">
      <alignment horizontal="left" vertical="top" wrapText="1"/>
    </xf>
    <xf numFmtId="0" fontId="0" fillId="17" borderId="46" xfId="0" applyFill="1" applyBorder="1" applyAlignment="1">
      <alignment horizontal="left" vertical="top" wrapText="1"/>
    </xf>
    <xf numFmtId="0" fontId="0" fillId="17" borderId="47" xfId="0" applyFill="1" applyBorder="1" applyAlignment="1">
      <alignment horizontal="left" vertical="top" wrapText="1"/>
    </xf>
    <xf numFmtId="0" fontId="55" fillId="23" borderId="44" xfId="0" applyFont="1" applyFill="1" applyBorder="1" applyAlignment="1">
      <alignment horizontal="right" vertical="center"/>
    </xf>
    <xf numFmtId="0" fontId="55" fillId="23" borderId="44" xfId="0" applyFont="1" applyFill="1" applyBorder="1" applyAlignment="1">
      <alignment horizontal="center" vertical="center"/>
    </xf>
    <xf numFmtId="0" fontId="55" fillId="23" borderId="1" xfId="0" applyFont="1" applyFill="1" applyBorder="1" applyAlignment="1">
      <alignment horizontal="center" vertical="center"/>
    </xf>
    <xf numFmtId="0" fontId="57" fillId="17" borderId="28" xfId="0" applyFont="1" applyFill="1" applyBorder="1" applyAlignment="1">
      <alignment horizontal="right" vertical="center"/>
    </xf>
    <xf numFmtId="0" fontId="57" fillId="17" borderId="29" xfId="0" applyFont="1" applyFill="1" applyBorder="1" applyAlignment="1">
      <alignment horizontal="right" vertical="center"/>
    </xf>
    <xf numFmtId="0" fontId="45" fillId="17" borderId="34" xfId="0" applyFont="1" applyFill="1" applyBorder="1" applyAlignment="1">
      <alignment vertical="center"/>
    </xf>
    <xf numFmtId="0" fontId="45" fillId="17" borderId="24" xfId="0" applyFont="1" applyFill="1" applyBorder="1" applyAlignment="1">
      <alignment vertical="center"/>
    </xf>
    <xf numFmtId="0" fontId="57" fillId="17" borderId="29" xfId="0" applyFont="1" applyFill="1" applyBorder="1" applyAlignment="1">
      <alignment horizontal="left" vertical="center"/>
    </xf>
    <xf numFmtId="0" fontId="57" fillId="17" borderId="9" xfId="0" applyFont="1" applyFill="1" applyBorder="1" applyAlignment="1">
      <alignment horizontal="left" vertical="center"/>
    </xf>
    <xf numFmtId="14" fontId="0" fillId="17" borderId="15" xfId="0" applyNumberFormat="1" applyFill="1" applyBorder="1" applyAlignment="1">
      <alignment horizontal="right" vertical="center"/>
    </xf>
    <xf numFmtId="14" fontId="0" fillId="17" borderId="9" xfId="0" applyNumberFormat="1" applyFill="1" applyBorder="1" applyAlignment="1">
      <alignment horizontal="left" vertical="center"/>
    </xf>
    <xf numFmtId="0" fontId="53" fillId="23" borderId="34" xfId="0" applyFont="1" applyFill="1" applyBorder="1" applyAlignment="1">
      <alignment horizontal="center" vertical="center"/>
    </xf>
    <xf numFmtId="0" fontId="53" fillId="23" borderId="29" xfId="0" applyFont="1" applyFill="1" applyBorder="1" applyAlignment="1">
      <alignment horizontal="center" vertical="center"/>
    </xf>
    <xf numFmtId="0" fontId="53" fillId="23" borderId="24" xfId="0" applyFont="1" applyFill="1" applyBorder="1" applyAlignment="1">
      <alignment horizontal="center" vertical="center"/>
    </xf>
    <xf numFmtId="0" fontId="2" fillId="17" borderId="0" xfId="1" applyFill="1" applyAlignment="1" applyProtection="1">
      <alignment horizontal="center" vertical="center" wrapText="1"/>
    </xf>
    <xf numFmtId="0" fontId="54" fillId="27" borderId="17" xfId="0" applyFont="1" applyFill="1" applyBorder="1" applyAlignment="1">
      <alignment horizontal="left" vertical="center" wrapText="1"/>
    </xf>
    <xf numFmtId="0" fontId="54" fillId="27" borderId="3" xfId="0" applyFont="1" applyFill="1" applyBorder="1" applyAlignment="1">
      <alignment horizontal="left" vertical="center" wrapText="1"/>
    </xf>
    <xf numFmtId="0" fontId="54" fillId="27" borderId="41" xfId="0" applyFont="1" applyFill="1" applyBorder="1" applyAlignment="1">
      <alignment horizontal="left" vertical="center" wrapText="1"/>
    </xf>
    <xf numFmtId="0" fontId="54" fillId="27" borderId="35" xfId="0" applyFont="1" applyFill="1" applyBorder="1" applyAlignment="1">
      <alignment horizontal="left" vertical="center" wrapText="1"/>
    </xf>
    <xf numFmtId="0" fontId="54" fillId="27" borderId="22" xfId="0" applyFont="1" applyFill="1" applyBorder="1" applyAlignment="1">
      <alignment horizontal="left" vertical="center" wrapText="1"/>
    </xf>
    <xf numFmtId="0" fontId="54" fillId="27" borderId="36" xfId="0" applyFont="1" applyFill="1" applyBorder="1" applyAlignment="1">
      <alignment horizontal="left" vertical="center" wrapText="1"/>
    </xf>
    <xf numFmtId="0" fontId="54" fillId="27" borderId="34" xfId="0" applyFont="1" applyFill="1" applyBorder="1" applyAlignment="1">
      <alignment horizontal="left" vertical="center" wrapText="1"/>
    </xf>
    <xf numFmtId="0" fontId="54" fillId="27" borderId="29" xfId="0" applyFont="1" applyFill="1" applyBorder="1" applyAlignment="1">
      <alignment horizontal="left" vertical="center" wrapText="1"/>
    </xf>
    <xf numFmtId="0" fontId="54" fillId="27" borderId="24" xfId="0" applyFont="1" applyFill="1" applyBorder="1" applyAlignment="1">
      <alignment horizontal="left" vertical="center" wrapText="1"/>
    </xf>
    <xf numFmtId="0" fontId="25" fillId="8" borderId="0" xfId="0" applyFont="1" applyFill="1" applyBorder="1" applyAlignment="1">
      <alignment horizontal="center" vertical="center" wrapText="1"/>
    </xf>
    <xf numFmtId="0" fontId="24" fillId="0" borderId="0" xfId="0" applyFont="1" applyAlignment="1">
      <alignment horizontal="center" vertical="center" wrapText="1"/>
    </xf>
    <xf numFmtId="0" fontId="48" fillId="27" borderId="0" xfId="0" applyFont="1" applyFill="1" applyBorder="1" applyAlignment="1" applyProtection="1">
      <alignment vertical="center" wrapText="1"/>
    </xf>
    <xf numFmtId="0" fontId="24" fillId="27" borderId="0" xfId="0" applyFont="1" applyFill="1" applyBorder="1" applyAlignment="1" applyProtection="1">
      <alignment vertical="center" wrapText="1"/>
    </xf>
    <xf numFmtId="0" fontId="24" fillId="0" borderId="0" xfId="0" applyFont="1" applyFill="1" applyBorder="1" applyAlignment="1">
      <alignment horizontal="left" vertical="top" wrapText="1"/>
    </xf>
  </cellXfs>
  <cellStyles count="14">
    <cellStyle name="Comma 2" xfId="12" xr:uid="{00000000-0005-0000-0000-000000000000}"/>
    <cellStyle name="Comma 3" xfId="13" xr:uid="{00000000-0005-0000-0000-000001000000}"/>
    <cellStyle name="Currency" xfId="11" builtinId="4"/>
    <cellStyle name="Hyperlink" xfId="1" builtinId="8"/>
    <cellStyle name="Normal" xfId="0" builtinId="0"/>
    <cellStyle name="Normal 2" xfId="2" xr:uid="{00000000-0005-0000-0000-000005000000}"/>
    <cellStyle name="Normal 2 2" xfId="3" xr:uid="{00000000-0005-0000-0000-000006000000}"/>
    <cellStyle name="Normal 3" xfId="4" xr:uid="{00000000-0005-0000-0000-000007000000}"/>
    <cellStyle name="Normal 4" xfId="5" xr:uid="{00000000-0005-0000-0000-000008000000}"/>
    <cellStyle name="Normal 5" xfId="6" xr:uid="{00000000-0005-0000-0000-000009000000}"/>
    <cellStyle name="Normal 5 2" xfId="7" xr:uid="{00000000-0005-0000-0000-00000A000000}"/>
    <cellStyle name="Normal 6" xfId="8" xr:uid="{00000000-0005-0000-0000-00000B000000}"/>
    <cellStyle name="Normal 7" xfId="9" xr:uid="{00000000-0005-0000-0000-00000C000000}"/>
    <cellStyle name="Normal 8" xfId="10" xr:uid="{00000000-0005-0000-0000-00000D000000}"/>
  </cellStyles>
  <dxfs count="7">
    <dxf>
      <font>
        <b/>
        <i val="0"/>
        <condense val="0"/>
        <extend val="0"/>
        <color indexed="10"/>
      </font>
      <fill>
        <patternFill>
          <bgColor indexed="13"/>
        </patternFill>
      </fill>
    </dxf>
    <dxf>
      <font>
        <b val="0"/>
        <i val="0"/>
        <condense val="0"/>
        <extend val="0"/>
        <color indexed="10"/>
      </font>
      <fill>
        <patternFill>
          <bgColor indexed="34"/>
        </patternFill>
      </fill>
    </dxf>
    <dxf>
      <font>
        <b val="0"/>
        <i val="0"/>
        <condense val="0"/>
        <extend val="0"/>
        <color indexed="10"/>
      </font>
      <fill>
        <patternFill>
          <bgColor indexed="34"/>
        </patternFill>
      </fill>
    </dxf>
    <dxf>
      <fill>
        <patternFill>
          <bgColor indexed="22"/>
        </patternFill>
      </fill>
    </dxf>
    <dxf>
      <font>
        <color rgb="FF9C0006"/>
      </font>
      <fill>
        <patternFill>
          <bgColor rgb="FFFFC7CE"/>
        </patternFill>
      </fill>
    </dxf>
    <dxf>
      <font>
        <color rgb="FF9C0006"/>
      </font>
      <fill>
        <patternFill>
          <bgColor rgb="FFFFC7CE"/>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EAEAE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238125</xdr:colOff>
      <xdr:row>0</xdr:row>
      <xdr:rowOff>76200</xdr:rowOff>
    </xdr:from>
    <xdr:to>
      <xdr:col>10</xdr:col>
      <xdr:colOff>209550</xdr:colOff>
      <xdr:row>1</xdr:row>
      <xdr:rowOff>180975</xdr:rowOff>
    </xdr:to>
    <xdr:pic>
      <xdr:nvPicPr>
        <xdr:cNvPr id="1454" name="Picture 2">
          <a:extLst>
            <a:ext uri="{FF2B5EF4-FFF2-40B4-BE49-F238E27FC236}">
              <a16:creationId xmlns:a16="http://schemas.microsoft.com/office/drawing/2014/main" id="{00000000-0008-0000-0200-0000AE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76200"/>
          <a:ext cx="11906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my.camp@state.mn.us" TargetMode="External"/><Relationship Id="rId7" Type="http://schemas.openxmlformats.org/officeDocument/2006/relationships/drawing" Target="../drawings/drawing1.xml"/><Relationship Id="rId2" Type="http://schemas.openxmlformats.org/officeDocument/2006/relationships/hyperlink" Target="mailto:health.hccis@state.mn.us" TargetMode="External"/><Relationship Id="rId1" Type="http://schemas.openxmlformats.org/officeDocument/2006/relationships/hyperlink" Target="https://www.revisor.leg.state.mn.us/statutes/?id=62J.17" TargetMode="External"/><Relationship Id="rId6" Type="http://schemas.openxmlformats.org/officeDocument/2006/relationships/printerSettings" Target="../printerSettings/printerSettings3.bin"/><Relationship Id="rId5" Type="http://schemas.openxmlformats.org/officeDocument/2006/relationships/hyperlink" Target="mailto:tracy.l.johnson@state.mn.us" TargetMode="External"/><Relationship Id="rId4" Type="http://schemas.openxmlformats.org/officeDocument/2006/relationships/hyperlink" Target="mailto:Tracy.L.Johnson@state.mn.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visor.leg.state.mn.us/statutes/?id=256B.0625" TargetMode="External"/><Relationship Id="rId1" Type="http://schemas.openxmlformats.org/officeDocument/2006/relationships/hyperlink" Target="http://www.cms.hhs.gov/NationalProvIdentSt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zoomScaleNormal="100" workbookViewId="0">
      <selection activeCell="H20" sqref="H20"/>
    </sheetView>
  </sheetViews>
  <sheetFormatPr defaultColWidth="8.85546875" defaultRowHeight="12.75" x14ac:dyDescent="0.2"/>
  <cols>
    <col min="1" max="1" width="5" style="1" customWidth="1"/>
    <col min="2" max="2" width="20.28515625" style="51" customWidth="1"/>
    <col min="3" max="3" width="11.85546875" style="3" hidden="1" customWidth="1"/>
    <col min="4" max="4" width="13.85546875" style="3" hidden="1" customWidth="1"/>
    <col min="5" max="5" width="44.28515625" style="3" customWidth="1"/>
    <col min="6" max="6" width="4.140625" style="3" customWidth="1"/>
    <col min="7" max="7" width="5" style="1" customWidth="1"/>
    <col min="8" max="8" width="20.28515625" style="3" customWidth="1"/>
    <col min="9" max="9" width="11" style="3" hidden="1" customWidth="1"/>
    <col min="10" max="10" width="10.85546875" style="3" hidden="1" customWidth="1"/>
    <col min="11" max="11" width="44.28515625" style="3" customWidth="1"/>
    <col min="12" max="16384" width="8.85546875" style="3"/>
  </cols>
  <sheetData>
    <row r="1" spans="1:15" ht="48" customHeight="1" thickBot="1" x14ac:dyDescent="0.25">
      <c r="A1" s="1" t="s">
        <v>213</v>
      </c>
      <c r="B1" s="2" t="str">
        <f>CONCATENATE("System ID: ",'Capital Expend Detail'!D5)</f>
        <v xml:space="preserve">System ID: </v>
      </c>
      <c r="C1" s="3" t="s">
        <v>214</v>
      </c>
      <c r="D1" s="3" t="s">
        <v>215</v>
      </c>
      <c r="E1" s="4" t="str">
        <f>CONCATENATE('Capital Expend Detail'!$N$1," Change")</f>
        <v>2022 Change</v>
      </c>
      <c r="F1" s="5"/>
      <c r="G1" s="1" t="s">
        <v>213</v>
      </c>
      <c r="H1" s="6">
        <f>'Capital Expend Detail'!$N$1</f>
        <v>2022</v>
      </c>
      <c r="I1" s="3" t="s">
        <v>214</v>
      </c>
      <c r="J1" s="3" t="s">
        <v>215</v>
      </c>
      <c r="K1" s="4" t="str">
        <f>CONCATENATE('Capital Expend Detail'!$N$1," Change")</f>
        <v>2022 Change</v>
      </c>
      <c r="L1" s="7" t="s">
        <v>270</v>
      </c>
      <c r="M1" s="8"/>
      <c r="N1" s="8"/>
      <c r="O1" s="8"/>
    </row>
    <row r="2" spans="1:15" x14ac:dyDescent="0.2">
      <c r="A2" s="1">
        <v>1</v>
      </c>
      <c r="B2" s="493" t="s">
        <v>272</v>
      </c>
      <c r="C2" s="494"/>
      <c r="D2" s="494"/>
      <c r="E2" s="9" t="str">
        <f>CONCATENATE("System ID: ",'Capital Expend Detail'!D5)</f>
        <v xml:space="preserve">System ID: </v>
      </c>
      <c r="F2" s="10"/>
      <c r="H2" s="493" t="s">
        <v>272</v>
      </c>
      <c r="I2" s="495"/>
      <c r="J2" s="495"/>
      <c r="K2" s="496"/>
    </row>
    <row r="3" spans="1:15" x14ac:dyDescent="0.2">
      <c r="A3" s="1">
        <v>2</v>
      </c>
      <c r="B3" s="505" t="s">
        <v>273</v>
      </c>
      <c r="C3" s="507" t="e">
        <f>'Capital Expend Detail'!D6</f>
        <v>#N/A</v>
      </c>
      <c r="D3" s="509" t="e">
        <f>'Demog Contact (2)'!D6</f>
        <v>#N/A</v>
      </c>
      <c r="E3" s="516" t="e">
        <f t="shared" ref="E3:E21" si="0">IF(EXACT(C3,D3),"",C3)</f>
        <v>#N/A</v>
      </c>
      <c r="F3" s="11"/>
      <c r="G3" s="12">
        <v>91</v>
      </c>
      <c r="H3" s="13" t="s">
        <v>64</v>
      </c>
      <c r="I3" s="14" t="e">
        <f>'Capital Expend Detail'!I6</f>
        <v>#N/A</v>
      </c>
      <c r="J3" s="14" t="e">
        <f>'Demog Contact (2)'!I6</f>
        <v>#N/A</v>
      </c>
      <c r="K3" s="15" t="e">
        <f>IF(EXACT(I3,J3),"",I3)</f>
        <v>#N/A</v>
      </c>
    </row>
    <row r="4" spans="1:15" ht="13.5" thickBot="1" x14ac:dyDescent="0.25">
      <c r="A4" s="16">
        <v>33</v>
      </c>
      <c r="B4" s="506"/>
      <c r="C4" s="508"/>
      <c r="D4" s="510"/>
      <c r="E4" s="517"/>
      <c r="F4" s="11"/>
      <c r="G4" s="17">
        <v>99</v>
      </c>
      <c r="H4" s="18" t="s">
        <v>324</v>
      </c>
      <c r="I4" s="19" t="e">
        <f>'Capital Expend Detail'!I7</f>
        <v>#N/A</v>
      </c>
      <c r="J4" s="19" t="e">
        <f>'Demog Contact (2)'!I7</f>
        <v>#N/A</v>
      </c>
      <c r="K4" s="20" t="e">
        <f>IF(EXACT(I4,J4),"",I4)</f>
        <v>#N/A</v>
      </c>
    </row>
    <row r="5" spans="1:15" x14ac:dyDescent="0.2">
      <c r="A5" s="1">
        <v>92</v>
      </c>
      <c r="B5" s="503" t="s">
        <v>275</v>
      </c>
      <c r="C5" s="504"/>
      <c r="D5" s="504"/>
      <c r="E5" s="21" t="e">
        <f>CONCATENATE("Contact ID: ",'Capital Expend Detail'!S7)</f>
        <v>#N/A</v>
      </c>
      <c r="H5" s="22"/>
      <c r="I5" s="23"/>
      <c r="J5" s="23"/>
      <c r="K5" s="24"/>
    </row>
    <row r="6" spans="1:15" x14ac:dyDescent="0.2">
      <c r="A6" s="1">
        <v>10</v>
      </c>
      <c r="B6" s="497" t="s">
        <v>227</v>
      </c>
      <c r="C6" s="499" t="e">
        <f>'Capital Expend Detail'!D7</f>
        <v>#N/A</v>
      </c>
      <c r="D6" s="500" t="e">
        <f>'Demog Contact (2)'!D7</f>
        <v>#N/A</v>
      </c>
      <c r="E6" s="502" t="e">
        <f>IF(EXACT(C6,D6),"",C6)</f>
        <v>#N/A</v>
      </c>
      <c r="F6" s="11"/>
      <c r="H6" s="22"/>
      <c r="I6" s="23"/>
      <c r="J6" s="23"/>
      <c r="K6" s="24"/>
    </row>
    <row r="7" spans="1:15" ht="13.5" thickBot="1" x14ac:dyDescent="0.25">
      <c r="A7" s="1">
        <v>11</v>
      </c>
      <c r="B7" s="498"/>
      <c r="C7" s="499"/>
      <c r="D7" s="501"/>
      <c r="E7" s="502"/>
      <c r="F7" s="11"/>
      <c r="I7" s="25"/>
      <c r="J7" s="25"/>
      <c r="K7" s="26"/>
    </row>
    <row r="8" spans="1:15" x14ac:dyDescent="0.2">
      <c r="A8" s="1">
        <v>12</v>
      </c>
      <c r="B8" s="27" t="s">
        <v>229</v>
      </c>
      <c r="C8" s="25" t="e">
        <f>'Capital Expend Detail'!D8</f>
        <v>#N/A</v>
      </c>
      <c r="D8" s="28" t="e">
        <f>'Demog Contact (2)'!D8</f>
        <v>#N/A</v>
      </c>
      <c r="E8" s="29" t="e">
        <f>IF(EXACT(C8,D8),"",C8)</f>
        <v>#N/A</v>
      </c>
      <c r="F8" s="11"/>
      <c r="G8" s="1">
        <v>97</v>
      </c>
      <c r="H8" s="30" t="s">
        <v>208</v>
      </c>
      <c r="I8" s="31" t="e">
        <f>'Capital Expend Detail'!J13</f>
        <v>#N/A</v>
      </c>
      <c r="J8" s="31" t="e">
        <f>'Demog Contact (2)'!J13</f>
        <v>#N/A</v>
      </c>
      <c r="K8" s="32" t="e">
        <f>IF(EXACT(I8,J8),"",I8)</f>
        <v>#N/A</v>
      </c>
    </row>
    <row r="9" spans="1:15" ht="13.5" thickBot="1" x14ac:dyDescent="0.25">
      <c r="A9" s="1">
        <v>13</v>
      </c>
      <c r="B9" s="27" t="s">
        <v>230</v>
      </c>
      <c r="C9" s="25" t="e">
        <f>'Capital Expend Detail'!D9</f>
        <v>#N/A</v>
      </c>
      <c r="D9" s="28" t="e">
        <f>'Demog Contact (2)'!D9</f>
        <v>#N/A</v>
      </c>
      <c r="E9" s="29" t="e">
        <f t="shared" si="0"/>
        <v>#N/A</v>
      </c>
      <c r="F9" s="11"/>
      <c r="G9" s="1">
        <v>98</v>
      </c>
      <c r="H9" s="18" t="s">
        <v>209</v>
      </c>
      <c r="I9" s="19" t="e">
        <f>'Capital Expend Detail'!J14</f>
        <v>#N/A</v>
      </c>
      <c r="J9" s="19" t="e">
        <f>'Demog Contact (2)'!J14</f>
        <v>#N/A</v>
      </c>
      <c r="K9" s="20" t="e">
        <f>IF(EXACT(I9,J9),"",I9)</f>
        <v>#N/A</v>
      </c>
    </row>
    <row r="10" spans="1:15" x14ac:dyDescent="0.2">
      <c r="A10" s="1">
        <v>14</v>
      </c>
      <c r="B10" s="27" t="s">
        <v>231</v>
      </c>
      <c r="C10" s="28" t="e">
        <f>'Capital Expend Detail'!D10</f>
        <v>#N/A</v>
      </c>
      <c r="D10" s="28" t="e">
        <f>'Demog Contact (2)'!D10</f>
        <v>#N/A</v>
      </c>
      <c r="E10" s="29" t="e">
        <f t="shared" si="0"/>
        <v>#N/A</v>
      </c>
      <c r="F10" s="11"/>
      <c r="I10" s="25"/>
      <c r="J10" s="25"/>
      <c r="K10" s="26"/>
    </row>
    <row r="11" spans="1:15" ht="13.5" thickBot="1" x14ac:dyDescent="0.25">
      <c r="A11" s="1">
        <v>15</v>
      </c>
      <c r="B11" s="497" t="s">
        <v>232</v>
      </c>
      <c r="C11" s="515" t="e">
        <f>'Capital Expend Detail'!D11</f>
        <v>#N/A</v>
      </c>
      <c r="D11" s="500" t="e">
        <f>'Demog Contact (2)'!D11</f>
        <v>#N/A</v>
      </c>
      <c r="E11" s="502" t="e">
        <f t="shared" si="0"/>
        <v>#N/A</v>
      </c>
      <c r="F11" s="33"/>
      <c r="I11" s="25"/>
      <c r="J11" s="25"/>
      <c r="K11" s="26"/>
    </row>
    <row r="12" spans="1:15" ht="13.5" thickBot="1" x14ac:dyDescent="0.25">
      <c r="A12" s="1">
        <v>16</v>
      </c>
      <c r="B12" s="514"/>
      <c r="C12" s="515"/>
      <c r="D12" s="500" t="e">
        <v>#N/A</v>
      </c>
      <c r="E12" s="502" t="e">
        <f t="shared" si="0"/>
        <v>#N/A</v>
      </c>
      <c r="F12" s="33"/>
      <c r="G12" s="1">
        <v>85</v>
      </c>
      <c r="H12" s="30" t="s">
        <v>216</v>
      </c>
      <c r="I12" s="34" t="e">
        <f>'Capital Expend Detail'!D21</f>
        <v>#N/A</v>
      </c>
      <c r="J12" s="34" t="e">
        <f>'Demog Contact (2)'!D21</f>
        <v>#N/A</v>
      </c>
      <c r="K12" s="35" t="e">
        <f t="shared" ref="K12:K17" si="1">IF(EXACT(I12,J12),"",I12)</f>
        <v>#N/A</v>
      </c>
    </row>
    <row r="13" spans="1:15" x14ac:dyDescent="0.2">
      <c r="A13" s="1">
        <v>17</v>
      </c>
      <c r="B13" s="493" t="s">
        <v>272</v>
      </c>
      <c r="C13" s="494"/>
      <c r="D13" s="494"/>
      <c r="E13" s="9" t="str">
        <f>CONCATENATE("System ID: ",'Capital Expend Detail'!D5)</f>
        <v xml:space="preserve">System ID: </v>
      </c>
      <c r="F13" s="11"/>
      <c r="G13" s="1">
        <v>86</v>
      </c>
      <c r="H13" s="36" t="s">
        <v>217</v>
      </c>
      <c r="I13" s="37" t="e">
        <f>'Capital Expend Detail'!S21</f>
        <v>#N/A</v>
      </c>
      <c r="J13" s="38" t="e">
        <f>'Demog Contact (2)'!S21</f>
        <v>#N/A</v>
      </c>
      <c r="K13" s="39" t="e">
        <f t="shared" si="1"/>
        <v>#N/A</v>
      </c>
    </row>
    <row r="14" spans="1:15" x14ac:dyDescent="0.2">
      <c r="A14" s="1">
        <v>18</v>
      </c>
      <c r="B14" s="36" t="s">
        <v>17</v>
      </c>
      <c r="C14" s="25" t="e">
        <f>'Capital Expend Detail'!D12</f>
        <v>#N/A</v>
      </c>
      <c r="D14" s="25" t="e">
        <f>'Demog Contact (2)'!D12</f>
        <v>#N/A</v>
      </c>
      <c r="E14" s="40" t="e">
        <f t="shared" si="0"/>
        <v>#N/A</v>
      </c>
      <c r="F14" s="41"/>
      <c r="G14" s="1">
        <v>87</v>
      </c>
      <c r="H14" s="36" t="s">
        <v>218</v>
      </c>
      <c r="I14" s="25" t="e">
        <f>'Capital Expend Detail'!D22</f>
        <v>#N/A</v>
      </c>
      <c r="J14" s="28" t="e">
        <f>'Demog Contact (2)'!D22</f>
        <v>#N/A</v>
      </c>
      <c r="K14" s="39" t="e">
        <f t="shared" si="1"/>
        <v>#N/A</v>
      </c>
    </row>
    <row r="15" spans="1:15" x14ac:dyDescent="0.2">
      <c r="A15" s="17">
        <v>19</v>
      </c>
      <c r="B15" s="36" t="s">
        <v>18</v>
      </c>
      <c r="C15" s="25" t="e">
        <f>'Capital Expend Detail'!D13</f>
        <v>#N/A</v>
      </c>
      <c r="D15" s="28" t="e">
        <f>'Demog Contact (2)'!D13</f>
        <v>#N/A</v>
      </c>
      <c r="E15" s="40" t="e">
        <f t="shared" si="0"/>
        <v>#N/A</v>
      </c>
      <c r="F15" s="42"/>
      <c r="G15" s="1">
        <v>88</v>
      </c>
      <c r="H15" s="36" t="s">
        <v>220</v>
      </c>
      <c r="I15" s="38" t="e">
        <f>'Capital Expend Detail'!S22</f>
        <v>#N/A</v>
      </c>
      <c r="J15" s="38" t="e">
        <f>'Demog Contact (2)'!S22</f>
        <v>#N/A</v>
      </c>
      <c r="K15" s="39" t="e">
        <f t="shared" si="1"/>
        <v>#N/A</v>
      </c>
    </row>
    <row r="16" spans="1:15" x14ac:dyDescent="0.2">
      <c r="A16" s="17">
        <v>20</v>
      </c>
      <c r="B16" s="511" t="s">
        <v>219</v>
      </c>
      <c r="C16" s="512" t="e">
        <f>'Capital Expend Detail'!D14</f>
        <v>#N/A</v>
      </c>
      <c r="D16" s="500" t="e">
        <f>'Demog Contact (2)'!D14</f>
        <v>#N/A</v>
      </c>
      <c r="E16" s="513" t="e">
        <f t="shared" si="0"/>
        <v>#N/A</v>
      </c>
      <c r="F16" s="43"/>
      <c r="G16" s="1">
        <v>89</v>
      </c>
      <c r="H16" s="36" t="s">
        <v>221</v>
      </c>
      <c r="I16" s="25" t="e">
        <f>'Capital Expend Detail'!D23</f>
        <v>#N/A</v>
      </c>
      <c r="J16" s="28" t="e">
        <f>'Demog Contact (2)'!D23</f>
        <v>#N/A</v>
      </c>
      <c r="K16" s="39" t="e">
        <f t="shared" si="1"/>
        <v>#N/A</v>
      </c>
    </row>
    <row r="17" spans="1:11" ht="13.5" thickBot="1" x14ac:dyDescent="0.25">
      <c r="A17" s="1">
        <v>21</v>
      </c>
      <c r="B17" s="511"/>
      <c r="C17" s="512"/>
      <c r="D17" s="500" t="e">
        <v>#N/A</v>
      </c>
      <c r="E17" s="502" t="e">
        <f t="shared" si="0"/>
        <v>#N/A</v>
      </c>
      <c r="F17" s="11"/>
      <c r="G17" s="1">
        <v>90</v>
      </c>
      <c r="H17" s="18" t="s">
        <v>223</v>
      </c>
      <c r="I17" s="44" t="e">
        <f>'Capital Expend Detail'!S23</f>
        <v>#N/A</v>
      </c>
      <c r="J17" s="44" t="e">
        <f>'Demog Contact (2)'!S23</f>
        <v>#N/A</v>
      </c>
      <c r="K17" s="20" t="e">
        <f t="shared" si="1"/>
        <v>#N/A</v>
      </c>
    </row>
    <row r="18" spans="1:11" x14ac:dyDescent="0.2">
      <c r="A18" s="1">
        <v>22</v>
      </c>
      <c r="B18" s="36" t="s">
        <v>222</v>
      </c>
      <c r="C18" s="28" t="e">
        <f>'Capital Expend Detail'!D15</f>
        <v>#N/A</v>
      </c>
      <c r="D18" s="28" t="e">
        <f>'Demog Contact (2)'!D15</f>
        <v>#N/A</v>
      </c>
      <c r="E18" s="29" t="e">
        <f t="shared" si="0"/>
        <v>#N/A</v>
      </c>
      <c r="F18" s="11"/>
    </row>
    <row r="19" spans="1:11" x14ac:dyDescent="0.2">
      <c r="A19" s="1">
        <v>23</v>
      </c>
      <c r="B19" s="36" t="s">
        <v>224</v>
      </c>
      <c r="C19" s="25" t="e">
        <f>'Capital Expend Detail'!D16</f>
        <v>#N/A</v>
      </c>
      <c r="D19" s="28" t="e">
        <f>'Demog Contact (2)'!D16</f>
        <v>#N/A</v>
      </c>
      <c r="E19" s="29" t="e">
        <f t="shared" si="0"/>
        <v>#N/A</v>
      </c>
      <c r="F19" s="11"/>
    </row>
    <row r="20" spans="1:11" x14ac:dyDescent="0.2">
      <c r="A20" s="1">
        <v>84</v>
      </c>
      <c r="B20" s="36" t="s">
        <v>225</v>
      </c>
      <c r="C20" s="28" t="e">
        <f>'Capital Expend Detail'!D17</f>
        <v>#N/A</v>
      </c>
      <c r="D20" s="28" t="e">
        <f>'Demog Contact (2)'!D17</f>
        <v>#N/A</v>
      </c>
      <c r="E20" s="29" t="e">
        <f t="shared" si="0"/>
        <v>#N/A</v>
      </c>
      <c r="F20" s="11"/>
    </row>
    <row r="21" spans="1:11" ht="13.5" thickBot="1" x14ac:dyDescent="0.25">
      <c r="B21" s="18" t="s">
        <v>226</v>
      </c>
      <c r="C21" s="19" t="e">
        <f>'Capital Expend Detail'!D18</f>
        <v>#N/A</v>
      </c>
      <c r="D21" s="19" t="e">
        <f>'Demog Contact (2)'!D18</f>
        <v>#N/A</v>
      </c>
      <c r="E21" s="45" t="e">
        <f t="shared" si="0"/>
        <v>#N/A</v>
      </c>
      <c r="H21" s="46" t="str">
        <f>IF(SUM('Capital Expend Project Specific'!S15:S18)&gt;0,"Project May NOT Qualify for Retrospective Review","")</f>
        <v/>
      </c>
    </row>
    <row r="22" spans="1:11" x14ac:dyDescent="0.2">
      <c r="A22" s="16">
        <v>40</v>
      </c>
      <c r="B22" s="47"/>
      <c r="F22" s="48"/>
      <c r="H22" s="49"/>
      <c r="I22" s="49"/>
      <c r="J22" s="49"/>
      <c r="K22" s="49"/>
    </row>
    <row r="23" spans="1:11" ht="13.5" thickBot="1" x14ac:dyDescent="0.25">
      <c r="A23" s="50">
        <v>96</v>
      </c>
      <c r="C23" s="52"/>
      <c r="D23" s="52"/>
      <c r="H23" s="53"/>
      <c r="I23" s="10"/>
      <c r="J23" s="10"/>
      <c r="K23" s="53"/>
    </row>
    <row r="24" spans="1:11" ht="12.75" customHeight="1" x14ac:dyDescent="0.2">
      <c r="A24" s="50">
        <v>69</v>
      </c>
      <c r="B24" s="519" t="s">
        <v>276</v>
      </c>
      <c r="C24" s="520"/>
      <c r="D24" s="520"/>
      <c r="E24" s="54" t="e">
        <f>CONCATENATE("Contact ID: ",'Capital Expend Detail'!S34)</f>
        <v>#N/A</v>
      </c>
      <c r="H24" s="55"/>
      <c r="I24" s="56"/>
      <c r="J24" s="57"/>
      <c r="K24" s="56"/>
    </row>
    <row r="25" spans="1:11" x14ac:dyDescent="0.2">
      <c r="A25" s="50">
        <v>70</v>
      </c>
      <c r="B25" s="521" t="s">
        <v>259</v>
      </c>
      <c r="C25" s="522" t="e">
        <f>'Capital Expend Detail'!D35</f>
        <v>#N/A</v>
      </c>
      <c r="D25" s="507" t="e">
        <f>'Demog Contact (2)'!D35</f>
        <v>#N/A</v>
      </c>
      <c r="E25" s="513" t="e">
        <f t="shared" ref="E25:E37" si="2">IF(EXACT(C25,D25),"",C25)</f>
        <v>#N/A</v>
      </c>
      <c r="H25" s="58"/>
      <c r="I25" s="56"/>
      <c r="J25" s="57"/>
      <c r="K25" s="56"/>
    </row>
    <row r="26" spans="1:11" x14ac:dyDescent="0.2">
      <c r="A26" s="50">
        <v>71</v>
      </c>
      <c r="B26" s="521" t="s">
        <v>228</v>
      </c>
      <c r="C26" s="515"/>
      <c r="D26" s="500"/>
      <c r="E26" s="502" t="str">
        <f t="shared" si="2"/>
        <v/>
      </c>
      <c r="H26" s="58"/>
      <c r="I26" s="38"/>
      <c r="J26" s="38"/>
      <c r="K26" s="38"/>
    </row>
    <row r="27" spans="1:11" x14ac:dyDescent="0.2">
      <c r="A27" s="50">
        <v>72</v>
      </c>
      <c r="B27" s="59" t="s">
        <v>260</v>
      </c>
      <c r="C27" s="28" t="e">
        <f>'Capital Expend Detail'!I35</f>
        <v>#N/A</v>
      </c>
      <c r="D27" s="28" t="e">
        <f>'Demog Contact (2)'!I35</f>
        <v>#N/A</v>
      </c>
      <c r="E27" s="29" t="e">
        <f t="shared" si="2"/>
        <v>#N/A</v>
      </c>
      <c r="H27" s="58"/>
      <c r="I27" s="38"/>
      <c r="J27" s="38"/>
      <c r="K27" s="38"/>
    </row>
    <row r="28" spans="1:11" x14ac:dyDescent="0.2">
      <c r="A28" s="50">
        <v>77</v>
      </c>
      <c r="B28" s="59" t="s">
        <v>261</v>
      </c>
      <c r="C28" s="28" t="e">
        <f>'Capital Expend Detail'!D36</f>
        <v>#N/A</v>
      </c>
      <c r="D28" s="28" t="e">
        <f>'Demog Contact (2)'!D36</f>
        <v>#N/A</v>
      </c>
      <c r="E28" s="39" t="e">
        <f t="shared" si="2"/>
        <v>#N/A</v>
      </c>
      <c r="H28" s="58"/>
      <c r="I28" s="38"/>
      <c r="J28" s="38"/>
      <c r="K28" s="38"/>
    </row>
    <row r="29" spans="1:11" x14ac:dyDescent="0.2">
      <c r="A29" s="50">
        <v>78</v>
      </c>
      <c r="B29" s="521" t="s">
        <v>274</v>
      </c>
      <c r="C29" s="499" t="e">
        <f>'Capital Expend Detail'!D37</f>
        <v>#N/A</v>
      </c>
      <c r="D29" s="500" t="e">
        <f>'Demog Contact (2)'!D37</f>
        <v>#N/A</v>
      </c>
      <c r="E29" s="502" t="e">
        <f t="shared" si="2"/>
        <v>#N/A</v>
      </c>
      <c r="H29" s="55"/>
      <c r="I29" s="57"/>
      <c r="J29" s="57"/>
      <c r="K29" s="57"/>
    </row>
    <row r="30" spans="1:11" x14ac:dyDescent="0.2">
      <c r="A30" s="50">
        <v>79</v>
      </c>
      <c r="B30" s="521"/>
      <c r="C30" s="499"/>
      <c r="D30" s="500"/>
      <c r="E30" s="502" t="str">
        <f t="shared" si="2"/>
        <v/>
      </c>
      <c r="H30" s="55"/>
      <c r="I30" s="57"/>
      <c r="J30" s="57"/>
      <c r="K30" s="57"/>
    </row>
    <row r="31" spans="1:11" x14ac:dyDescent="0.2">
      <c r="A31" s="50">
        <v>80</v>
      </c>
      <c r="B31" s="59" t="s">
        <v>262</v>
      </c>
      <c r="C31" s="28" t="e">
        <f>'Capital Expend Detail'!D38</f>
        <v>#N/A</v>
      </c>
      <c r="D31" s="28" t="e">
        <f>'Demog Contact (2)'!D38</f>
        <v>#N/A</v>
      </c>
      <c r="E31" s="39" t="e">
        <f t="shared" si="2"/>
        <v>#N/A</v>
      </c>
      <c r="H31" s="49"/>
      <c r="I31" s="49"/>
      <c r="J31" s="49"/>
      <c r="K31" s="49"/>
    </row>
    <row r="32" spans="1:11" x14ac:dyDescent="0.2">
      <c r="A32" s="50">
        <v>81</v>
      </c>
      <c r="B32" s="59" t="s">
        <v>263</v>
      </c>
      <c r="C32" s="28" t="e">
        <f>'Capital Expend Detail'!D39</f>
        <v>#N/A</v>
      </c>
      <c r="D32" s="28" t="e">
        <f>'Demog Contact (2)'!D39</f>
        <v>#N/A</v>
      </c>
      <c r="E32" s="39" t="e">
        <f t="shared" si="2"/>
        <v>#N/A</v>
      </c>
    </row>
    <row r="33" spans="1:11" x14ac:dyDescent="0.2">
      <c r="A33" s="50">
        <v>82</v>
      </c>
      <c r="B33" s="59" t="s">
        <v>264</v>
      </c>
      <c r="C33" s="28" t="e">
        <f>'Capital Expend Detail'!D40</f>
        <v>#N/A</v>
      </c>
      <c r="D33" s="28" t="e">
        <f>'Demog Contact (2)'!D40</f>
        <v>#N/A</v>
      </c>
      <c r="E33" s="39" t="e">
        <f t="shared" si="2"/>
        <v>#N/A</v>
      </c>
      <c r="H33" s="22"/>
      <c r="I33" s="22"/>
      <c r="J33" s="22"/>
      <c r="K33" s="22"/>
    </row>
    <row r="34" spans="1:11" x14ac:dyDescent="0.2">
      <c r="A34" s="50">
        <v>83</v>
      </c>
      <c r="B34" s="521" t="s">
        <v>265</v>
      </c>
      <c r="C34" s="515" t="e">
        <f>'Capital Expend Detail'!D41</f>
        <v>#N/A</v>
      </c>
      <c r="D34" s="500" t="e">
        <f>'Demog Contact (2)'!D41</f>
        <v>#N/A</v>
      </c>
      <c r="E34" s="502" t="e">
        <f t="shared" si="2"/>
        <v>#N/A</v>
      </c>
      <c r="H34" s="22"/>
      <c r="I34" s="22"/>
      <c r="J34" s="22"/>
      <c r="K34" s="22"/>
    </row>
    <row r="35" spans="1:11" x14ac:dyDescent="0.2">
      <c r="A35" s="50">
        <v>76</v>
      </c>
      <c r="B35" s="521"/>
      <c r="C35" s="515"/>
      <c r="D35" s="500"/>
      <c r="E35" s="502" t="str">
        <f t="shared" si="2"/>
        <v/>
      </c>
      <c r="H35" s="22"/>
      <c r="I35" s="22"/>
      <c r="J35" s="22"/>
      <c r="K35" s="22"/>
    </row>
    <row r="36" spans="1:11" x14ac:dyDescent="0.2">
      <c r="A36" s="50">
        <v>73</v>
      </c>
      <c r="B36" s="59" t="s">
        <v>266</v>
      </c>
      <c r="C36" s="28" t="e">
        <f>'Capital Expend Detail'!I37</f>
        <v>#N/A</v>
      </c>
      <c r="D36" s="28" t="e">
        <f>'Demog Contact (2)'!I37</f>
        <v>#N/A</v>
      </c>
      <c r="E36" s="39" t="e">
        <f t="shared" si="2"/>
        <v>#N/A</v>
      </c>
      <c r="H36" s="22"/>
      <c r="I36" s="22"/>
      <c r="J36" s="22"/>
      <c r="K36" s="22"/>
    </row>
    <row r="37" spans="1:11" x14ac:dyDescent="0.2">
      <c r="A37" s="50">
        <v>74</v>
      </c>
      <c r="B37" s="59" t="s">
        <v>267</v>
      </c>
      <c r="C37" s="28" t="e">
        <f>'Capital Expend Detail'!I38</f>
        <v>#N/A</v>
      </c>
      <c r="D37" s="28" t="e">
        <f>'Demog Contact (2)'!I38</f>
        <v>#N/A</v>
      </c>
      <c r="E37" s="60" t="e">
        <f t="shared" si="2"/>
        <v>#N/A</v>
      </c>
      <c r="H37" s="22"/>
      <c r="I37" s="22"/>
      <c r="J37" s="22"/>
      <c r="K37" s="22"/>
    </row>
    <row r="38" spans="1:11" x14ac:dyDescent="0.2">
      <c r="A38" s="50">
        <v>75</v>
      </c>
      <c r="B38" s="59" t="s">
        <v>268</v>
      </c>
      <c r="C38" s="28" t="e">
        <f>'Capital Expend Detail'!I39</f>
        <v>#N/A</v>
      </c>
      <c r="D38" s="28" t="e">
        <f>'Demog Contact (2)'!I39</f>
        <v>#N/A</v>
      </c>
      <c r="E38" s="39" t="e">
        <f>IF(EXACT(C38,D38),"",C38)</f>
        <v>#N/A</v>
      </c>
      <c r="H38" s="22"/>
      <c r="I38" s="22"/>
      <c r="J38" s="22"/>
      <c r="K38" s="22"/>
    </row>
    <row r="39" spans="1:11" ht="13.5" thickBot="1" x14ac:dyDescent="0.25">
      <c r="B39" s="61" t="s">
        <v>269</v>
      </c>
      <c r="C39" s="19" t="e">
        <f>'Capital Expend Detail'!I40</f>
        <v>#N/A</v>
      </c>
      <c r="D39" s="19" t="e">
        <f>'Demog Contact (2)'!I40</f>
        <v>#N/A</v>
      </c>
      <c r="E39" s="62" t="e">
        <f>IF(EXACT(C39,D39),"",C39)</f>
        <v>#N/A</v>
      </c>
    </row>
    <row r="40" spans="1:11" x14ac:dyDescent="0.2">
      <c r="A40" s="16">
        <v>32</v>
      </c>
    </row>
    <row r="41" spans="1:11" ht="13.5" thickBot="1" x14ac:dyDescent="0.25">
      <c r="A41" s="1">
        <v>94</v>
      </c>
      <c r="G41" s="63">
        <v>32</v>
      </c>
      <c r="H41" s="64"/>
      <c r="I41" s="64"/>
      <c r="J41" s="64"/>
      <c r="K41" s="64"/>
    </row>
    <row r="42" spans="1:11" x14ac:dyDescent="0.2">
      <c r="A42" s="1">
        <v>39</v>
      </c>
      <c r="B42" s="523" t="s">
        <v>79</v>
      </c>
      <c r="C42" s="524"/>
      <c r="D42" s="524"/>
      <c r="E42" s="65" t="e">
        <f>CONCATENATE("Contact ID: ",'Capital Expend Detail'!S42)</f>
        <v>#N/A</v>
      </c>
      <c r="F42" s="12"/>
      <c r="G42" s="17">
        <v>95</v>
      </c>
      <c r="H42" s="518" t="s">
        <v>80</v>
      </c>
      <c r="I42" s="494"/>
      <c r="J42" s="494"/>
      <c r="K42" s="66" t="e">
        <f>CONCATENATE("Contact ID: ",'Capital Expend Detail'!S50)</f>
        <v>#N/A</v>
      </c>
    </row>
    <row r="43" spans="1:11" x14ac:dyDescent="0.2">
      <c r="A43" s="1">
        <v>40</v>
      </c>
      <c r="B43" s="526" t="s">
        <v>233</v>
      </c>
      <c r="C43" s="512" t="e">
        <f>'Capital Expend Detail'!D43</f>
        <v>#N/A</v>
      </c>
      <c r="D43" s="500" t="e">
        <f>'Demog Contact (2)'!D43</f>
        <v>#N/A</v>
      </c>
      <c r="E43" s="513" t="e">
        <f t="shared" ref="E43:E56" si="3">IF(EXACT(C43,D43),"",C43)</f>
        <v>#N/A</v>
      </c>
      <c r="F43" s="67"/>
      <c r="G43" s="17">
        <v>54</v>
      </c>
      <c r="H43" s="529" t="s">
        <v>234</v>
      </c>
      <c r="I43" s="512" t="e">
        <f>'Capital Expend Detail'!D51</f>
        <v>#N/A</v>
      </c>
      <c r="J43" s="500" t="e">
        <f>'Demog Contact (2)'!D51</f>
        <v>#N/A</v>
      </c>
      <c r="K43" s="525" t="e">
        <f>IF(EXACT(I43,J43),"",I43)</f>
        <v>#N/A</v>
      </c>
    </row>
    <row r="44" spans="1:11" x14ac:dyDescent="0.2">
      <c r="A44" s="1">
        <v>41</v>
      </c>
      <c r="B44" s="526" t="s">
        <v>235</v>
      </c>
      <c r="C44" s="512"/>
      <c r="D44" s="500"/>
      <c r="E44" s="502" t="str">
        <f t="shared" si="3"/>
        <v/>
      </c>
      <c r="F44" s="67"/>
      <c r="G44" s="17">
        <v>55</v>
      </c>
      <c r="H44" s="529" t="s">
        <v>236</v>
      </c>
      <c r="I44" s="512"/>
      <c r="J44" s="500"/>
      <c r="K44" s="502"/>
    </row>
    <row r="45" spans="1:11" x14ac:dyDescent="0.2">
      <c r="A45" s="1">
        <v>42</v>
      </c>
      <c r="B45" s="68" t="s">
        <v>237</v>
      </c>
      <c r="C45" s="28" t="e">
        <f>'Capital Expend Detail'!I43</f>
        <v>#N/A</v>
      </c>
      <c r="D45" s="28" t="e">
        <f>'Demog Contact (2)'!I43</f>
        <v>#N/A</v>
      </c>
      <c r="E45" s="29" t="e">
        <f t="shared" si="3"/>
        <v>#N/A</v>
      </c>
      <c r="F45" s="67"/>
      <c r="G45" s="1">
        <v>56</v>
      </c>
      <c r="H45" s="69" t="s">
        <v>238</v>
      </c>
      <c r="I45" s="28" t="e">
        <f>'Capital Expend Detail'!I51</f>
        <v>#N/A</v>
      </c>
      <c r="J45" s="28" t="e">
        <f>'Demog Contact (2)'!I51</f>
        <v>#N/A</v>
      </c>
      <c r="K45" s="39" t="e">
        <f>IF(EXACT(I45,J45),"",I45)</f>
        <v>#N/A</v>
      </c>
    </row>
    <row r="46" spans="1:11" x14ac:dyDescent="0.2">
      <c r="A46" s="1">
        <v>47</v>
      </c>
      <c r="B46" s="68" t="s">
        <v>239</v>
      </c>
      <c r="C46" s="28" t="e">
        <f>'Capital Expend Detail'!D44</f>
        <v>#N/A</v>
      </c>
      <c r="D46" s="28" t="e">
        <f>'Demog Contact (2)'!D44</f>
        <v>#N/A</v>
      </c>
      <c r="E46" s="29" t="e">
        <f t="shared" si="3"/>
        <v>#N/A</v>
      </c>
      <c r="F46" s="52"/>
      <c r="G46" s="1">
        <v>57</v>
      </c>
      <c r="H46" s="69" t="s">
        <v>240</v>
      </c>
      <c r="I46" s="28" t="e">
        <f>'Capital Expend Detail'!D52</f>
        <v>#N/A</v>
      </c>
      <c r="J46" s="28" t="e">
        <f>'Demog Contact (2)'!D52</f>
        <v>#N/A</v>
      </c>
      <c r="K46" s="39" t="e">
        <f>IF(EXACT(I46,J46),"",I46)</f>
        <v>#N/A</v>
      </c>
    </row>
    <row r="47" spans="1:11" x14ac:dyDescent="0.2">
      <c r="A47" s="1">
        <v>48</v>
      </c>
      <c r="B47" s="526" t="s">
        <v>241</v>
      </c>
      <c r="C47" s="499" t="e">
        <f>'Capital Expend Detail'!D45</f>
        <v>#N/A</v>
      </c>
      <c r="D47" s="500" t="e">
        <f>'Demog Contact (2)'!D45</f>
        <v>#N/A</v>
      </c>
      <c r="E47" s="528" t="e">
        <f t="shared" si="3"/>
        <v>#N/A</v>
      </c>
      <c r="F47" s="52"/>
      <c r="G47" s="1">
        <v>62</v>
      </c>
      <c r="H47" s="529" t="s">
        <v>242</v>
      </c>
      <c r="I47" s="499" t="e">
        <f>'Capital Expend Detail'!D53</f>
        <v>#N/A</v>
      </c>
      <c r="J47" s="500" t="e">
        <f>'Demog Contact (2)'!D53</f>
        <v>#N/A</v>
      </c>
      <c r="K47" s="528" t="e">
        <f>IF(EXACT(I47,J47),"",I47)</f>
        <v>#N/A</v>
      </c>
    </row>
    <row r="48" spans="1:11" x14ac:dyDescent="0.2">
      <c r="A48" s="1">
        <v>49</v>
      </c>
      <c r="B48" s="527"/>
      <c r="C48" s="499"/>
      <c r="D48" s="500"/>
      <c r="E48" s="528" t="str">
        <f t="shared" si="3"/>
        <v/>
      </c>
      <c r="F48" s="52"/>
      <c r="G48" s="1">
        <v>63</v>
      </c>
      <c r="H48" s="527"/>
      <c r="I48" s="499"/>
      <c r="J48" s="500"/>
      <c r="K48" s="528"/>
    </row>
    <row r="49" spans="1:11" x14ac:dyDescent="0.2">
      <c r="A49" s="1">
        <v>50</v>
      </c>
      <c r="B49" s="68" t="s">
        <v>243</v>
      </c>
      <c r="C49" s="28" t="e">
        <f>'Capital Expend Detail'!D46</f>
        <v>#N/A</v>
      </c>
      <c r="D49" s="28" t="e">
        <f>'Demog Contact (2)'!D46</f>
        <v>#N/A</v>
      </c>
      <c r="E49" s="29" t="e">
        <f t="shared" si="3"/>
        <v>#N/A</v>
      </c>
      <c r="F49" s="52"/>
      <c r="G49" s="1">
        <v>64</v>
      </c>
      <c r="H49" s="69" t="s">
        <v>244</v>
      </c>
      <c r="I49" s="28" t="e">
        <f>'Capital Expend Detail'!D54</f>
        <v>#N/A</v>
      </c>
      <c r="J49" s="28" t="e">
        <f>'Demog Contact (2)'!D54</f>
        <v>#N/A</v>
      </c>
      <c r="K49" s="39" t="e">
        <f>IF(EXACT(I49,J49),"",I49)</f>
        <v>#N/A</v>
      </c>
    </row>
    <row r="50" spans="1:11" x14ac:dyDescent="0.2">
      <c r="A50" s="1">
        <v>51</v>
      </c>
      <c r="B50" s="68" t="s">
        <v>245</v>
      </c>
      <c r="C50" s="28" t="e">
        <f>'Capital Expend Detail'!D47</f>
        <v>#N/A</v>
      </c>
      <c r="D50" s="28" t="e">
        <f>'Demog Contact (2)'!D47</f>
        <v>#N/A</v>
      </c>
      <c r="E50" s="29" t="e">
        <f t="shared" si="3"/>
        <v>#N/A</v>
      </c>
      <c r="F50" s="52"/>
      <c r="G50" s="1">
        <v>65</v>
      </c>
      <c r="H50" s="69" t="s">
        <v>246</v>
      </c>
      <c r="I50" s="28" t="e">
        <f>'Capital Expend Detail'!D55</f>
        <v>#N/A</v>
      </c>
      <c r="J50" s="28" t="e">
        <f>'Demog Contact (2)'!D55</f>
        <v>#N/A</v>
      </c>
      <c r="K50" s="39" t="e">
        <f>IF(EXACT(I50,J50),"",I50)</f>
        <v>#N/A</v>
      </c>
    </row>
    <row r="51" spans="1:11" x14ac:dyDescent="0.2">
      <c r="A51" s="1">
        <v>52</v>
      </c>
      <c r="B51" s="68" t="s">
        <v>247</v>
      </c>
      <c r="C51" s="28" t="e">
        <f>'Capital Expend Detail'!D48</f>
        <v>#N/A</v>
      </c>
      <c r="D51" s="28" t="e">
        <f>'Demog Contact (2)'!D48</f>
        <v>#N/A</v>
      </c>
      <c r="E51" s="29" t="e">
        <f t="shared" si="3"/>
        <v>#N/A</v>
      </c>
      <c r="F51" s="52"/>
      <c r="G51" s="1">
        <v>66</v>
      </c>
      <c r="H51" s="69" t="s">
        <v>248</v>
      </c>
      <c r="I51" s="28" t="e">
        <f>'Capital Expend Detail'!D56</f>
        <v>#N/A</v>
      </c>
      <c r="J51" s="28" t="e">
        <f>'Demog Contact (2)'!D56</f>
        <v>#N/A</v>
      </c>
      <c r="K51" s="39" t="e">
        <f>IF(EXACT(I51,J51),"",I51)</f>
        <v>#N/A</v>
      </c>
    </row>
    <row r="52" spans="1:11" x14ac:dyDescent="0.2">
      <c r="A52" s="1">
        <v>53</v>
      </c>
      <c r="B52" s="526" t="s">
        <v>249</v>
      </c>
      <c r="C52" s="515" t="e">
        <f>'Capital Expend Detail'!D49</f>
        <v>#N/A</v>
      </c>
      <c r="D52" s="500" t="e">
        <f>'Demog Contact (2)'!D49</f>
        <v>#N/A</v>
      </c>
      <c r="E52" s="502" t="e">
        <f t="shared" si="3"/>
        <v>#N/A</v>
      </c>
      <c r="F52" s="70"/>
      <c r="G52" s="1">
        <v>67</v>
      </c>
      <c r="H52" s="529" t="s">
        <v>250</v>
      </c>
      <c r="I52" s="515" t="e">
        <f>'Capital Expend Detail'!D57</f>
        <v>#N/A</v>
      </c>
      <c r="J52" s="500" t="e">
        <f>'Demog Contact (2)'!D57</f>
        <v>#N/A</v>
      </c>
      <c r="K52" s="502" t="e">
        <f>IF(EXACT(I52,J52),"",I52)</f>
        <v>#N/A</v>
      </c>
    </row>
    <row r="53" spans="1:11" x14ac:dyDescent="0.2">
      <c r="A53" s="1">
        <v>46</v>
      </c>
      <c r="B53" s="530"/>
      <c r="C53" s="515"/>
      <c r="D53" s="500"/>
      <c r="E53" s="502" t="str">
        <f t="shared" si="3"/>
        <v/>
      </c>
      <c r="F53" s="70"/>
      <c r="G53" s="1">
        <v>68</v>
      </c>
      <c r="H53" s="530"/>
      <c r="I53" s="515"/>
      <c r="J53" s="500"/>
      <c r="K53" s="502"/>
    </row>
    <row r="54" spans="1:11" x14ac:dyDescent="0.2">
      <c r="A54" s="1">
        <v>43</v>
      </c>
      <c r="B54" s="68" t="s">
        <v>251</v>
      </c>
      <c r="C54" s="28" t="e">
        <f>'Capital Expend Detail'!I45</f>
        <v>#N/A</v>
      </c>
      <c r="D54" s="28" t="e">
        <f>'Demog Contact (2)'!I45</f>
        <v>#N/A</v>
      </c>
      <c r="E54" s="29" t="e">
        <f t="shared" si="3"/>
        <v>#N/A</v>
      </c>
      <c r="F54" s="52"/>
      <c r="G54" s="1">
        <v>61</v>
      </c>
      <c r="H54" s="69" t="s">
        <v>252</v>
      </c>
      <c r="I54" s="28" t="e">
        <f>'Capital Expend Detail'!I53</f>
        <v>#N/A</v>
      </c>
      <c r="J54" s="28" t="e">
        <f>'Demog Contact (2)'!I53</f>
        <v>#N/A</v>
      </c>
      <c r="K54" s="39" t="e">
        <f>IF(EXACT(I54,J54),"",I54)</f>
        <v>#N/A</v>
      </c>
    </row>
    <row r="55" spans="1:11" x14ac:dyDescent="0.2">
      <c r="A55" s="1">
        <v>44</v>
      </c>
      <c r="B55" s="71" t="s">
        <v>253</v>
      </c>
      <c r="C55" s="72" t="e">
        <f>'Capital Expend Detail'!I46</f>
        <v>#N/A</v>
      </c>
      <c r="D55" s="73" t="e">
        <f>'Demog Contact (2)'!I46</f>
        <v>#N/A</v>
      </c>
      <c r="E55" s="74" t="e">
        <f t="shared" si="3"/>
        <v>#N/A</v>
      </c>
      <c r="F55" s="52"/>
      <c r="G55" s="1">
        <v>58</v>
      </c>
      <c r="H55" s="69" t="s">
        <v>254</v>
      </c>
      <c r="I55" s="28" t="e">
        <f>'Capital Expend Detail'!I54</f>
        <v>#N/A</v>
      </c>
      <c r="J55" s="28" t="e">
        <f>'Demog Contact (2)'!I54</f>
        <v>#N/A</v>
      </c>
      <c r="K55" s="60" t="e">
        <f>IF(EXACT(I55,J55),"",I55)</f>
        <v>#N/A</v>
      </c>
    </row>
    <row r="56" spans="1:11" x14ac:dyDescent="0.2">
      <c r="A56" s="1">
        <v>45</v>
      </c>
      <c r="B56" s="71" t="s">
        <v>255</v>
      </c>
      <c r="C56" s="72" t="e">
        <f>'Capital Expend Detail'!I47</f>
        <v>#N/A</v>
      </c>
      <c r="D56" s="73" t="e">
        <f>'Demog Contact (2)'!I47</f>
        <v>#N/A</v>
      </c>
      <c r="E56" s="75" t="e">
        <f t="shared" si="3"/>
        <v>#N/A</v>
      </c>
      <c r="F56" s="52"/>
      <c r="G56" s="1">
        <v>59</v>
      </c>
      <c r="H56" s="69" t="s">
        <v>256</v>
      </c>
      <c r="I56" s="28" t="e">
        <f>'Capital Expend Detail'!I55</f>
        <v>#N/A</v>
      </c>
      <c r="J56" s="28" t="e">
        <f>'Demog Contact (2)'!I55</f>
        <v>#N/A</v>
      </c>
      <c r="K56" s="39" t="e">
        <f>IF(EXACT(I56,J56),"",I56)</f>
        <v>#N/A</v>
      </c>
    </row>
    <row r="57" spans="1:11" ht="13.5" thickBot="1" x14ac:dyDescent="0.25">
      <c r="B57" s="76" t="s">
        <v>257</v>
      </c>
      <c r="C57" s="19" t="e">
        <f>'Capital Expend Detail'!I48</f>
        <v>#N/A</v>
      </c>
      <c r="D57" s="19" t="e">
        <f>'Demog Contact (2)'!I48</f>
        <v>#N/A</v>
      </c>
      <c r="E57" s="77" t="e">
        <f>IF(EXACT(C57,D57),"",C57)</f>
        <v>#N/A</v>
      </c>
      <c r="F57" s="78"/>
      <c r="G57" s="1">
        <v>60</v>
      </c>
      <c r="H57" s="79" t="s">
        <v>258</v>
      </c>
      <c r="I57" s="19" t="e">
        <f>'Capital Expend Detail'!I56</f>
        <v>#N/A</v>
      </c>
      <c r="J57" s="19" t="e">
        <f>'Demog Contact (2)'!I56</f>
        <v>#N/A</v>
      </c>
      <c r="K57" s="62" t="e">
        <f>IF(EXACT(I57,J57),"",I57)</f>
        <v>#N/A</v>
      </c>
    </row>
    <row r="58" spans="1:11" x14ac:dyDescent="0.2">
      <c r="F58" s="78"/>
    </row>
    <row r="59" spans="1:11" x14ac:dyDescent="0.2">
      <c r="A59" s="10"/>
      <c r="B59" s="80"/>
      <c r="C59" s="78"/>
      <c r="D59" s="78"/>
      <c r="E59" s="78"/>
    </row>
    <row r="60" spans="1:11" x14ac:dyDescent="0.2">
      <c r="A60" s="10"/>
      <c r="B60" s="81"/>
      <c r="C60" s="49"/>
      <c r="D60" s="49"/>
      <c r="E60" s="49"/>
    </row>
    <row r="61" spans="1:11" x14ac:dyDescent="0.2">
      <c r="A61" s="10"/>
      <c r="B61" s="82"/>
      <c r="C61" s="83"/>
      <c r="D61" s="83"/>
      <c r="E61" s="82"/>
    </row>
    <row r="62" spans="1:11" x14ac:dyDescent="0.2">
      <c r="A62" s="10"/>
      <c r="B62" s="55"/>
      <c r="C62" s="57"/>
      <c r="D62" s="57"/>
      <c r="E62" s="57"/>
    </row>
    <row r="63" spans="1:11" x14ac:dyDescent="0.2">
      <c r="A63" s="10"/>
      <c r="B63" s="55"/>
      <c r="C63" s="57"/>
      <c r="D63" s="57"/>
      <c r="E63" s="57"/>
    </row>
    <row r="64" spans="1:11" x14ac:dyDescent="0.2">
      <c r="A64" s="10"/>
      <c r="B64" s="58"/>
      <c r="C64" s="38"/>
      <c r="D64" s="38"/>
      <c r="E64" s="56"/>
    </row>
    <row r="65" spans="1:10" x14ac:dyDescent="0.2">
      <c r="A65" s="10"/>
      <c r="B65" s="58"/>
      <c r="C65" s="38"/>
      <c r="D65" s="38"/>
      <c r="E65" s="56"/>
    </row>
    <row r="66" spans="1:10" x14ac:dyDescent="0.2">
      <c r="A66" s="10"/>
      <c r="B66" s="55"/>
      <c r="C66" s="56"/>
      <c r="D66" s="57"/>
      <c r="E66" s="56"/>
    </row>
    <row r="67" spans="1:10" x14ac:dyDescent="0.2">
      <c r="A67" s="10"/>
      <c r="B67" s="58"/>
      <c r="C67" s="56"/>
      <c r="D67" s="57"/>
      <c r="E67" s="56"/>
    </row>
    <row r="68" spans="1:10" x14ac:dyDescent="0.2">
      <c r="A68" s="10"/>
      <c r="B68" s="58"/>
      <c r="C68" s="38"/>
      <c r="D68" s="38"/>
      <c r="E68" s="56"/>
      <c r="J68" s="5"/>
    </row>
    <row r="69" spans="1:10" x14ac:dyDescent="0.2">
      <c r="A69" s="10"/>
      <c r="B69" s="58"/>
      <c r="C69" s="38"/>
      <c r="D69" s="38"/>
      <c r="E69" s="56"/>
    </row>
    <row r="70" spans="1:10" x14ac:dyDescent="0.2">
      <c r="A70" s="10"/>
      <c r="B70" s="58"/>
      <c r="C70" s="38"/>
      <c r="D70" s="38"/>
      <c r="E70" s="56"/>
    </row>
    <row r="71" spans="1:10" x14ac:dyDescent="0.2">
      <c r="A71" s="10"/>
      <c r="B71" s="55"/>
      <c r="C71" s="57"/>
      <c r="D71" s="57"/>
      <c r="E71" s="57"/>
    </row>
    <row r="72" spans="1:10" x14ac:dyDescent="0.2">
      <c r="A72" s="10"/>
      <c r="B72" s="55"/>
      <c r="C72" s="57"/>
      <c r="D72" s="57"/>
      <c r="E72" s="57"/>
    </row>
    <row r="73" spans="1:10" x14ac:dyDescent="0.2">
      <c r="A73" s="10"/>
      <c r="B73" s="58"/>
      <c r="C73" s="38"/>
      <c r="D73" s="38"/>
      <c r="E73" s="56"/>
    </row>
    <row r="74" spans="1:10" x14ac:dyDescent="0.2">
      <c r="A74" s="10"/>
      <c r="B74" s="58"/>
      <c r="C74" s="38"/>
      <c r="D74" s="38"/>
      <c r="E74" s="56"/>
    </row>
    <row r="75" spans="1:10" x14ac:dyDescent="0.2">
      <c r="A75" s="10"/>
      <c r="B75" s="58"/>
      <c r="C75" s="38"/>
      <c r="D75" s="38"/>
      <c r="E75" s="56"/>
    </row>
    <row r="76" spans="1:10" x14ac:dyDescent="0.2">
      <c r="A76" s="10"/>
      <c r="B76" s="58"/>
      <c r="C76" s="38"/>
      <c r="D76" s="38"/>
      <c r="E76" s="56"/>
    </row>
    <row r="77" spans="1:10" x14ac:dyDescent="0.2">
      <c r="B77" s="58"/>
      <c r="C77" s="49"/>
      <c r="D77" s="49"/>
      <c r="E77" s="49"/>
    </row>
  </sheetData>
  <sheetProtection sheet="1"/>
  <mergeCells count="59">
    <mergeCell ref="J52:J53"/>
    <mergeCell ref="K52:K53"/>
    <mergeCell ref="B52:B53"/>
    <mergeCell ref="C52:C53"/>
    <mergeCell ref="D52:D53"/>
    <mergeCell ref="E52:E53"/>
    <mergeCell ref="H52:H53"/>
    <mergeCell ref="I52:I53"/>
    <mergeCell ref="J43:J44"/>
    <mergeCell ref="K43:K44"/>
    <mergeCell ref="B47:B48"/>
    <mergeCell ref="C47:C48"/>
    <mergeCell ref="D47:D48"/>
    <mergeCell ref="E47:E48"/>
    <mergeCell ref="H47:H48"/>
    <mergeCell ref="I47:I48"/>
    <mergeCell ref="J47:J48"/>
    <mergeCell ref="K47:K48"/>
    <mergeCell ref="B43:B44"/>
    <mergeCell ref="C43:C44"/>
    <mergeCell ref="D43:D44"/>
    <mergeCell ref="E43:E44"/>
    <mergeCell ref="H43:H44"/>
    <mergeCell ref="I43:I44"/>
    <mergeCell ref="H42:J42"/>
    <mergeCell ref="B24:D24"/>
    <mergeCell ref="B25:B26"/>
    <mergeCell ref="C25:C26"/>
    <mergeCell ref="D25:D26"/>
    <mergeCell ref="E25:E26"/>
    <mergeCell ref="B29:B30"/>
    <mergeCell ref="C29:C30"/>
    <mergeCell ref="D29:D30"/>
    <mergeCell ref="E29:E30"/>
    <mergeCell ref="B34:B35"/>
    <mergeCell ref="C34:C35"/>
    <mergeCell ref="D34:D35"/>
    <mergeCell ref="E34:E35"/>
    <mergeCell ref="B42:D42"/>
    <mergeCell ref="B11:B12"/>
    <mergeCell ref="C11:C12"/>
    <mergeCell ref="D11:D12"/>
    <mergeCell ref="E11:E12"/>
    <mergeCell ref="E3:E4"/>
    <mergeCell ref="B16:B17"/>
    <mergeCell ref="C16:C17"/>
    <mergeCell ref="D16:D17"/>
    <mergeCell ref="E16:E17"/>
    <mergeCell ref="B13:D13"/>
    <mergeCell ref="B2:D2"/>
    <mergeCell ref="H2:K2"/>
    <mergeCell ref="B6:B7"/>
    <mergeCell ref="C6:C7"/>
    <mergeCell ref="D6:D7"/>
    <mergeCell ref="E6:E7"/>
    <mergeCell ref="B5:D5"/>
    <mergeCell ref="B3:B4"/>
    <mergeCell ref="C3:C4"/>
    <mergeCell ref="D3:D4"/>
  </mergeCells>
  <phoneticPr fontId="5" type="noConversion"/>
  <conditionalFormatting sqref="C3">
    <cfRule type="expression" dxfId="6" priority="1" stopIfTrue="1">
      <formula>$E$3=TRUE</formula>
    </cfRule>
  </conditionalFormatting>
  <pageMargins left="0.75" right="0.75" top="1" bottom="1" header="0.5" footer="0.5"/>
  <pageSetup scale="63"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46"/>
  </sheetPr>
  <dimension ref="A1:EW31"/>
  <sheetViews>
    <sheetView zoomScaleNormal="100" workbookViewId="0">
      <selection sqref="A1:C1"/>
    </sheetView>
  </sheetViews>
  <sheetFormatPr defaultRowHeight="12.75" x14ac:dyDescent="0.2"/>
  <cols>
    <col min="1" max="1" width="9.28515625" style="397" bestFit="1" customWidth="1"/>
    <col min="2" max="2" width="45.7109375" style="86" customWidth="1"/>
    <col min="3" max="3" width="18.85546875" style="86" customWidth="1"/>
    <col min="4" max="4" width="28.7109375" style="86" hidden="1" customWidth="1"/>
    <col min="5" max="5" width="15" style="86" hidden="1" customWidth="1"/>
    <col min="6" max="6" width="15.140625" style="86" hidden="1" customWidth="1"/>
    <col min="7" max="7" width="6.85546875" style="86" hidden="1" customWidth="1"/>
    <col min="8" max="8" width="6" style="86" hidden="1" customWidth="1"/>
    <col min="9" max="9" width="5" style="86" hidden="1" customWidth="1"/>
    <col min="10" max="91" width="10.28515625" style="86" hidden="1" customWidth="1"/>
    <col min="92" max="92" width="12.5703125" style="86" hidden="1" customWidth="1"/>
    <col min="93" max="96" width="10.28515625" style="86" hidden="1" customWidth="1"/>
    <col min="97" max="97" width="11.85546875" style="86" hidden="1" customWidth="1"/>
    <col min="98" max="102" width="10.28515625" style="86" hidden="1" customWidth="1"/>
    <col min="103" max="108" width="9.140625" style="86" hidden="1" customWidth="1"/>
    <col min="109" max="109" width="0" style="86" hidden="1" customWidth="1"/>
    <col min="110" max="16384" width="9.140625" style="86"/>
  </cols>
  <sheetData>
    <row r="1" spans="1:153" ht="59.25" customHeight="1" x14ac:dyDescent="0.2">
      <c r="A1" s="948" t="str">
        <f>CONCATENATE('Capital Expend Detail'!$N$1," Retrospective Review Reporting Entities")</f>
        <v>2022 Retrospective Review Reporting Entities</v>
      </c>
      <c r="B1" s="949"/>
      <c r="C1" s="949"/>
      <c r="D1" s="378" t="s">
        <v>116</v>
      </c>
      <c r="E1" s="378">
        <v>5</v>
      </c>
      <c r="F1" s="378">
        <v>6</v>
      </c>
      <c r="G1" s="378">
        <v>7</v>
      </c>
      <c r="H1" s="378">
        <v>8</v>
      </c>
      <c r="I1" s="378">
        <v>9</v>
      </c>
      <c r="J1" s="379" t="s">
        <v>115</v>
      </c>
      <c r="K1" s="379">
        <v>11</v>
      </c>
      <c r="L1" s="379">
        <v>12</v>
      </c>
      <c r="M1" s="379">
        <v>13</v>
      </c>
      <c r="N1" s="379">
        <v>14</v>
      </c>
      <c r="O1" s="379">
        <v>15</v>
      </c>
      <c r="P1" s="379">
        <v>16</v>
      </c>
      <c r="Q1" s="378">
        <v>17</v>
      </c>
      <c r="R1" s="378">
        <v>18</v>
      </c>
      <c r="S1" s="378">
        <v>19</v>
      </c>
      <c r="T1" s="378">
        <v>20</v>
      </c>
      <c r="U1" s="378">
        <v>21</v>
      </c>
      <c r="V1" s="378">
        <v>22</v>
      </c>
      <c r="W1" s="378">
        <v>23</v>
      </c>
      <c r="X1" s="380" t="s">
        <v>329</v>
      </c>
      <c r="Y1" s="381">
        <v>25</v>
      </c>
      <c r="Z1" s="381">
        <v>26</v>
      </c>
      <c r="AA1" s="381">
        <v>27</v>
      </c>
      <c r="AB1" s="381">
        <v>28</v>
      </c>
      <c r="AC1" s="381">
        <v>29</v>
      </c>
      <c r="AD1" s="381">
        <v>30</v>
      </c>
      <c r="AE1" s="381">
        <v>31</v>
      </c>
      <c r="AF1" s="381">
        <v>32</v>
      </c>
      <c r="AG1" s="381">
        <v>33</v>
      </c>
      <c r="AH1" s="381">
        <v>34</v>
      </c>
      <c r="AI1" s="381">
        <v>35</v>
      </c>
      <c r="AJ1" s="381">
        <v>36</v>
      </c>
      <c r="AK1" s="381">
        <v>37</v>
      </c>
      <c r="AL1" s="381">
        <v>38</v>
      </c>
      <c r="AM1" s="382">
        <v>39</v>
      </c>
      <c r="AN1" s="383">
        <v>40</v>
      </c>
      <c r="AO1" s="383">
        <v>41</v>
      </c>
      <c r="AP1" s="383">
        <v>42</v>
      </c>
      <c r="AQ1" s="383">
        <v>43</v>
      </c>
      <c r="AR1" s="383">
        <v>44</v>
      </c>
      <c r="AS1" s="383">
        <v>45</v>
      </c>
      <c r="AT1" s="383">
        <v>46</v>
      </c>
      <c r="AU1" s="383">
        <v>47</v>
      </c>
      <c r="AV1" s="383">
        <v>48</v>
      </c>
      <c r="AW1" s="383">
        <v>49</v>
      </c>
      <c r="AX1" s="383">
        <v>50</v>
      </c>
      <c r="AY1" s="383">
        <v>51</v>
      </c>
      <c r="AZ1" s="383">
        <v>52</v>
      </c>
      <c r="BA1" s="383">
        <v>53</v>
      </c>
      <c r="BB1" s="384">
        <v>54</v>
      </c>
      <c r="BC1" s="385">
        <v>55</v>
      </c>
      <c r="BD1" s="385">
        <v>56</v>
      </c>
      <c r="BE1" s="385">
        <v>57</v>
      </c>
      <c r="BF1" s="385">
        <v>58</v>
      </c>
      <c r="BG1" s="385">
        <v>59</v>
      </c>
      <c r="BH1" s="385">
        <v>60</v>
      </c>
      <c r="BI1" s="385">
        <v>61</v>
      </c>
      <c r="BJ1" s="385">
        <v>62</v>
      </c>
      <c r="BK1" s="385">
        <v>63</v>
      </c>
      <c r="BL1" s="385">
        <v>64</v>
      </c>
      <c r="BM1" s="385">
        <v>65</v>
      </c>
      <c r="BN1" s="385">
        <v>66</v>
      </c>
      <c r="BO1" s="385">
        <v>67</v>
      </c>
      <c r="BP1" s="385">
        <v>68</v>
      </c>
      <c r="BQ1" s="386">
        <v>69</v>
      </c>
      <c r="BR1" s="387">
        <v>70</v>
      </c>
      <c r="BS1" s="387">
        <v>71</v>
      </c>
      <c r="BT1" s="387">
        <v>72</v>
      </c>
      <c r="BU1" s="387">
        <v>73</v>
      </c>
      <c r="BV1" s="387">
        <v>74</v>
      </c>
      <c r="BW1" s="387">
        <v>75</v>
      </c>
      <c r="BX1" s="387">
        <v>76</v>
      </c>
      <c r="BY1" s="387">
        <v>77</v>
      </c>
      <c r="BZ1" s="387">
        <v>78</v>
      </c>
      <c r="CA1" s="387">
        <v>79</v>
      </c>
      <c r="CB1" s="387">
        <v>80</v>
      </c>
      <c r="CC1" s="387">
        <v>81</v>
      </c>
      <c r="CD1" s="387">
        <v>82</v>
      </c>
      <c r="CE1" s="387">
        <v>83</v>
      </c>
      <c r="CF1" s="378">
        <v>84</v>
      </c>
      <c r="CG1" s="378">
        <v>85</v>
      </c>
      <c r="CH1" s="378">
        <v>86</v>
      </c>
      <c r="CI1" s="378">
        <v>87</v>
      </c>
      <c r="CJ1" s="378">
        <v>88</v>
      </c>
      <c r="CK1" s="378">
        <v>89</v>
      </c>
      <c r="CL1" s="378">
        <v>90</v>
      </c>
      <c r="CM1" s="378">
        <v>91</v>
      </c>
      <c r="CN1" s="388">
        <v>92</v>
      </c>
      <c r="CO1" s="381">
        <v>93</v>
      </c>
      <c r="CP1" s="383">
        <v>94</v>
      </c>
      <c r="CQ1" s="385">
        <v>95</v>
      </c>
      <c r="CR1" s="387">
        <v>96</v>
      </c>
      <c r="CS1" s="378">
        <v>97</v>
      </c>
      <c r="CT1" s="378">
        <v>98</v>
      </c>
      <c r="CU1" s="389">
        <v>99</v>
      </c>
      <c r="CV1" s="389">
        <v>100</v>
      </c>
      <c r="CW1" s="389">
        <v>101</v>
      </c>
      <c r="CX1" s="389">
        <v>102</v>
      </c>
      <c r="CY1" s="389">
        <v>103</v>
      </c>
      <c r="CZ1" s="389">
        <v>104</v>
      </c>
      <c r="DA1" s="389">
        <v>105</v>
      </c>
      <c r="DB1" s="389">
        <v>106</v>
      </c>
      <c r="DC1" s="389">
        <v>107</v>
      </c>
    </row>
    <row r="2" spans="1:153" ht="24.75" customHeight="1" x14ac:dyDescent="0.25">
      <c r="A2" s="390" t="s">
        <v>14</v>
      </c>
      <c r="B2" s="391" t="s">
        <v>25</v>
      </c>
      <c r="C2" s="391" t="s">
        <v>50</v>
      </c>
      <c r="D2" s="391" t="s">
        <v>49</v>
      </c>
      <c r="E2" s="392" t="s">
        <v>15</v>
      </c>
      <c r="F2" s="392" t="s">
        <v>56</v>
      </c>
      <c r="G2" s="392" t="s">
        <v>58</v>
      </c>
      <c r="H2" s="392" t="s">
        <v>117</v>
      </c>
      <c r="I2" s="392" t="s">
        <v>16</v>
      </c>
      <c r="J2" s="392" t="s">
        <v>142</v>
      </c>
      <c r="K2" s="392" t="s">
        <v>143</v>
      </c>
      <c r="L2" s="392" t="s">
        <v>144</v>
      </c>
      <c r="M2" s="392" t="s">
        <v>145</v>
      </c>
      <c r="N2" s="392" t="s">
        <v>146</v>
      </c>
      <c r="O2" s="392" t="s">
        <v>147</v>
      </c>
      <c r="P2" s="392" t="s">
        <v>148</v>
      </c>
      <c r="Q2" s="392" t="s">
        <v>17</v>
      </c>
      <c r="R2" s="392" t="s">
        <v>18</v>
      </c>
      <c r="S2" s="393" t="s">
        <v>19</v>
      </c>
      <c r="T2" s="393" t="s">
        <v>20</v>
      </c>
      <c r="U2" s="392" t="s">
        <v>21</v>
      </c>
      <c r="V2" s="392" t="s">
        <v>22</v>
      </c>
      <c r="W2" s="392" t="s">
        <v>23</v>
      </c>
      <c r="X2" s="393" t="s">
        <v>149</v>
      </c>
      <c r="Y2" s="393" t="s">
        <v>150</v>
      </c>
      <c r="Z2" s="392" t="s">
        <v>151</v>
      </c>
      <c r="AA2" s="392" t="s">
        <v>163</v>
      </c>
      <c r="AB2" s="393" t="s">
        <v>152</v>
      </c>
      <c r="AC2" s="393" t="s">
        <v>153</v>
      </c>
      <c r="AD2" s="393" t="s">
        <v>154</v>
      </c>
      <c r="AE2" s="392" t="s">
        <v>155</v>
      </c>
      <c r="AF2" s="392" t="s">
        <v>156</v>
      </c>
      <c r="AG2" s="392" t="s">
        <v>157</v>
      </c>
      <c r="AH2" s="392" t="s">
        <v>158</v>
      </c>
      <c r="AI2" s="392" t="s">
        <v>159</v>
      </c>
      <c r="AJ2" s="392" t="s">
        <v>160</v>
      </c>
      <c r="AK2" s="392" t="s">
        <v>161</v>
      </c>
      <c r="AL2" s="392" t="s">
        <v>162</v>
      </c>
      <c r="AM2" s="393" t="s">
        <v>164</v>
      </c>
      <c r="AN2" s="393" t="s">
        <v>165</v>
      </c>
      <c r="AO2" s="392" t="s">
        <v>166</v>
      </c>
      <c r="AP2" s="392" t="s">
        <v>178</v>
      </c>
      <c r="AQ2" s="393" t="s">
        <v>167</v>
      </c>
      <c r="AR2" s="393" t="s">
        <v>168</v>
      </c>
      <c r="AS2" s="393" t="s">
        <v>169</v>
      </c>
      <c r="AT2" s="392" t="s">
        <v>170</v>
      </c>
      <c r="AU2" s="392" t="s">
        <v>171</v>
      </c>
      <c r="AV2" s="392" t="s">
        <v>172</v>
      </c>
      <c r="AW2" s="392" t="s">
        <v>173</v>
      </c>
      <c r="AX2" s="392" t="s">
        <v>174</v>
      </c>
      <c r="AY2" s="392" t="s">
        <v>175</v>
      </c>
      <c r="AZ2" s="392" t="s">
        <v>176</v>
      </c>
      <c r="BA2" s="392" t="s">
        <v>177</v>
      </c>
      <c r="BB2" s="393" t="s">
        <v>179</v>
      </c>
      <c r="BC2" s="393" t="s">
        <v>180</v>
      </c>
      <c r="BD2" s="392" t="s">
        <v>181</v>
      </c>
      <c r="BE2" s="392" t="s">
        <v>126</v>
      </c>
      <c r="BF2" s="393" t="s">
        <v>182</v>
      </c>
      <c r="BG2" s="393" t="s">
        <v>183</v>
      </c>
      <c r="BH2" s="393" t="s">
        <v>184</v>
      </c>
      <c r="BI2" s="392" t="s">
        <v>185</v>
      </c>
      <c r="BJ2" s="392" t="s">
        <v>186</v>
      </c>
      <c r="BK2" s="392" t="s">
        <v>187</v>
      </c>
      <c r="BL2" s="392" t="s">
        <v>188</v>
      </c>
      <c r="BM2" s="392" t="s">
        <v>189</v>
      </c>
      <c r="BN2" s="392" t="s">
        <v>190</v>
      </c>
      <c r="BO2" s="392" t="s">
        <v>191</v>
      </c>
      <c r="BP2" s="392" t="s">
        <v>192</v>
      </c>
      <c r="BQ2" s="393" t="s">
        <v>193</v>
      </c>
      <c r="BR2" s="393" t="s">
        <v>194</v>
      </c>
      <c r="BS2" s="392" t="s">
        <v>195</v>
      </c>
      <c r="BT2" s="392" t="s">
        <v>207</v>
      </c>
      <c r="BU2" s="393" t="s">
        <v>196</v>
      </c>
      <c r="BV2" s="393" t="s">
        <v>197</v>
      </c>
      <c r="BW2" s="393" t="s">
        <v>198</v>
      </c>
      <c r="BX2" s="392" t="s">
        <v>199</v>
      </c>
      <c r="BY2" s="392" t="s">
        <v>200</v>
      </c>
      <c r="BZ2" s="392" t="s">
        <v>201</v>
      </c>
      <c r="CA2" s="392" t="s">
        <v>202</v>
      </c>
      <c r="CB2" s="392" t="s">
        <v>203</v>
      </c>
      <c r="CC2" s="392" t="s">
        <v>204</v>
      </c>
      <c r="CD2" s="392" t="s">
        <v>205</v>
      </c>
      <c r="CE2" s="392" t="s">
        <v>206</v>
      </c>
      <c r="CF2" s="394" t="s">
        <v>38</v>
      </c>
      <c r="CG2" s="394" t="s">
        <v>118</v>
      </c>
      <c r="CH2" s="394" t="s">
        <v>119</v>
      </c>
      <c r="CI2" s="394" t="s">
        <v>120</v>
      </c>
      <c r="CJ2" s="394" t="s">
        <v>121</v>
      </c>
      <c r="CK2" s="394" t="s">
        <v>71</v>
      </c>
      <c r="CL2" s="394" t="s">
        <v>72</v>
      </c>
      <c r="CM2" s="395" t="s">
        <v>64</v>
      </c>
      <c r="CN2" s="394" t="s">
        <v>0</v>
      </c>
      <c r="CO2" s="394" t="s">
        <v>1</v>
      </c>
      <c r="CP2" s="394" t="s">
        <v>2</v>
      </c>
      <c r="CQ2" s="394" t="s">
        <v>3</v>
      </c>
      <c r="CR2" s="394" t="s">
        <v>4</v>
      </c>
      <c r="CS2" s="394" t="s">
        <v>208</v>
      </c>
      <c r="CT2" s="394" t="s">
        <v>209</v>
      </c>
      <c r="CU2" s="394" t="s">
        <v>271</v>
      </c>
      <c r="CV2" s="394" t="s">
        <v>280</v>
      </c>
      <c r="CW2" s="394" t="s">
        <v>281</v>
      </c>
      <c r="CX2" s="394" t="s">
        <v>282</v>
      </c>
      <c r="CY2" s="394" t="s">
        <v>283</v>
      </c>
      <c r="CZ2" s="394" t="s">
        <v>284</v>
      </c>
      <c r="DA2" s="394" t="s">
        <v>285</v>
      </c>
      <c r="DB2" s="394" t="s">
        <v>286</v>
      </c>
      <c r="DC2" s="394" t="s">
        <v>287</v>
      </c>
      <c r="DD2" s="488" t="s">
        <v>879</v>
      </c>
    </row>
    <row r="3" spans="1:153" s="486" customFormat="1" ht="15" x14ac:dyDescent="0.25">
      <c r="A3" s="489">
        <v>1523</v>
      </c>
      <c r="B3" t="s">
        <v>587</v>
      </c>
      <c r="C3" t="s">
        <v>588</v>
      </c>
      <c r="D3" t="s">
        <v>589</v>
      </c>
      <c r="E3"/>
      <c r="F3" t="s">
        <v>590</v>
      </c>
      <c r="G3" t="s">
        <v>24</v>
      </c>
      <c r="H3" t="s">
        <v>880</v>
      </c>
      <c r="I3"/>
      <c r="J3" t="s">
        <v>589</v>
      </c>
      <c r="K3"/>
      <c r="L3" t="s">
        <v>588</v>
      </c>
      <c r="M3" t="s">
        <v>590</v>
      </c>
      <c r="N3" t="s">
        <v>24</v>
      </c>
      <c r="O3" t="s">
        <v>880</v>
      </c>
      <c r="P3"/>
      <c r="Q3">
        <v>3202315000</v>
      </c>
      <c r="R3"/>
      <c r="S3" t="s">
        <v>591</v>
      </c>
      <c r="T3" t="s">
        <v>592</v>
      </c>
      <c r="U3" t="s">
        <v>593</v>
      </c>
      <c r="V3" t="s">
        <v>594</v>
      </c>
      <c r="W3" t="s">
        <v>595</v>
      </c>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t="s">
        <v>596</v>
      </c>
      <c r="BR3" t="s">
        <v>597</v>
      </c>
      <c r="BS3" t="s">
        <v>598</v>
      </c>
      <c r="BT3" t="s">
        <v>587</v>
      </c>
      <c r="BU3">
        <v>3202146101</v>
      </c>
      <c r="BV3"/>
      <c r="BW3">
        <v>3202146890</v>
      </c>
      <c r="BX3" t="s">
        <v>599</v>
      </c>
      <c r="BY3" t="s">
        <v>589</v>
      </c>
      <c r="BZ3"/>
      <c r="CA3" t="s">
        <v>588</v>
      </c>
      <c r="CB3" t="s">
        <v>590</v>
      </c>
      <c r="CC3" t="s">
        <v>24</v>
      </c>
      <c r="CD3" t="s">
        <v>880</v>
      </c>
      <c r="CE3"/>
      <c r="CF3" t="s">
        <v>600</v>
      </c>
      <c r="CG3" t="s">
        <v>601</v>
      </c>
      <c r="CH3"/>
      <c r="CI3"/>
      <c r="CJ3"/>
      <c r="CK3"/>
      <c r="CL3"/>
      <c r="CM3">
        <v>1952363699</v>
      </c>
      <c r="CN3">
        <v>214</v>
      </c>
      <c r="CO3"/>
      <c r="CP3"/>
      <c r="CQ3"/>
      <c r="CR3">
        <v>288</v>
      </c>
      <c r="CS3" t="s">
        <v>912</v>
      </c>
      <c r="CT3">
        <v>12</v>
      </c>
      <c r="CU3">
        <v>152</v>
      </c>
      <c r="CV3"/>
      <c r="CW3"/>
      <c r="CX3"/>
      <c r="CY3"/>
      <c r="CZ3"/>
      <c r="DA3"/>
      <c r="DB3"/>
      <c r="DC3"/>
      <c r="DD3">
        <v>107</v>
      </c>
      <c r="EW3" s="486">
        <v>2</v>
      </c>
    </row>
    <row r="4" spans="1:153" s="486" customFormat="1" ht="15" x14ac:dyDescent="0.25">
      <c r="A4" s="489">
        <v>1500</v>
      </c>
      <c r="B4" t="s">
        <v>133</v>
      </c>
      <c r="C4"/>
      <c r="D4"/>
      <c r="E4"/>
      <c r="F4"/>
      <c r="G4"/>
      <c r="H4"/>
      <c r="I4"/>
      <c r="J4" t="s">
        <v>602</v>
      </c>
      <c r="K4"/>
      <c r="L4" t="s">
        <v>343</v>
      </c>
      <c r="M4" t="s">
        <v>344</v>
      </c>
      <c r="N4" t="s">
        <v>24</v>
      </c>
      <c r="O4" t="s">
        <v>881</v>
      </c>
      <c r="P4"/>
      <c r="Q4">
        <v>6122624812</v>
      </c>
      <c r="R4">
        <v>6122624366</v>
      </c>
      <c r="S4" t="s">
        <v>604</v>
      </c>
      <c r="T4" t="s">
        <v>605</v>
      </c>
      <c r="U4" t="s">
        <v>603</v>
      </c>
      <c r="V4" t="s">
        <v>608</v>
      </c>
      <c r="W4" t="s">
        <v>657</v>
      </c>
      <c r="X4"/>
      <c r="Y4"/>
      <c r="Z4"/>
      <c r="AA4"/>
      <c r="AB4"/>
      <c r="AC4"/>
      <c r="AD4"/>
      <c r="AE4"/>
      <c r="AF4"/>
      <c r="AG4"/>
      <c r="AH4"/>
      <c r="AI4"/>
      <c r="AJ4"/>
      <c r="AK4"/>
      <c r="AL4"/>
      <c r="AM4" t="s">
        <v>826</v>
      </c>
      <c r="AN4" t="s">
        <v>913</v>
      </c>
      <c r="AO4" t="s">
        <v>606</v>
      </c>
      <c r="AP4" t="s">
        <v>607</v>
      </c>
      <c r="AQ4">
        <v>6122627383</v>
      </c>
      <c r="AR4"/>
      <c r="AS4">
        <v>6122624366</v>
      </c>
      <c r="AT4" t="s">
        <v>827</v>
      </c>
      <c r="AU4" t="s">
        <v>602</v>
      </c>
      <c r="AV4"/>
      <c r="AW4" t="s">
        <v>343</v>
      </c>
      <c r="AX4" t="s">
        <v>344</v>
      </c>
      <c r="AY4" t="s">
        <v>24</v>
      </c>
      <c r="AZ4" t="s">
        <v>881</v>
      </c>
      <c r="BA4"/>
      <c r="BB4"/>
      <c r="BC4"/>
      <c r="BD4"/>
      <c r="BE4"/>
      <c r="BF4"/>
      <c r="BG4"/>
      <c r="BH4"/>
      <c r="BI4"/>
      <c r="BJ4"/>
      <c r="BK4"/>
      <c r="BL4"/>
      <c r="BM4"/>
      <c r="BN4"/>
      <c r="BO4"/>
      <c r="BP4"/>
      <c r="BQ4" t="s">
        <v>914</v>
      </c>
      <c r="BR4" t="s">
        <v>915</v>
      </c>
      <c r="BS4" t="s">
        <v>916</v>
      </c>
      <c r="BT4" t="s">
        <v>607</v>
      </c>
      <c r="BU4"/>
      <c r="BV4"/>
      <c r="BW4"/>
      <c r="BX4" t="s">
        <v>917</v>
      </c>
      <c r="BY4" t="s">
        <v>602</v>
      </c>
      <c r="BZ4"/>
      <c r="CA4" t="s">
        <v>343</v>
      </c>
      <c r="CB4" t="s">
        <v>344</v>
      </c>
      <c r="CC4" t="s">
        <v>24</v>
      </c>
      <c r="CD4" t="s">
        <v>881</v>
      </c>
      <c r="CE4"/>
      <c r="CF4" t="s">
        <v>658</v>
      </c>
      <c r="CG4" t="s">
        <v>609</v>
      </c>
      <c r="CH4" t="s">
        <v>53</v>
      </c>
      <c r="CI4"/>
      <c r="CJ4"/>
      <c r="CK4"/>
      <c r="CL4"/>
      <c r="CM4"/>
      <c r="CN4">
        <v>1721</v>
      </c>
      <c r="CO4"/>
      <c r="CP4">
        <v>1723</v>
      </c>
      <c r="CQ4"/>
      <c r="CR4">
        <v>1722</v>
      </c>
      <c r="CS4" t="s">
        <v>912</v>
      </c>
      <c r="CT4">
        <v>12</v>
      </c>
      <c r="CU4">
        <v>74</v>
      </c>
      <c r="CV4"/>
      <c r="CW4"/>
      <c r="CX4"/>
      <c r="CY4"/>
      <c r="CZ4"/>
      <c r="DA4"/>
      <c r="DB4"/>
      <c r="DC4"/>
      <c r="DD4">
        <v>2</v>
      </c>
      <c r="EW4" s="486">
        <v>49</v>
      </c>
    </row>
    <row r="5" spans="1:153" s="486" customFormat="1" ht="15" x14ac:dyDescent="0.25">
      <c r="A5" s="489">
        <v>1517</v>
      </c>
      <c r="B5" t="s">
        <v>381</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t="s">
        <v>382</v>
      </c>
      <c r="CH5"/>
      <c r="CI5"/>
      <c r="CJ5"/>
      <c r="CK5"/>
      <c r="CL5"/>
      <c r="CM5"/>
      <c r="CN5"/>
      <c r="CO5"/>
      <c r="CP5"/>
      <c r="CQ5"/>
      <c r="CR5"/>
      <c r="CS5"/>
      <c r="CT5"/>
      <c r="CU5">
        <v>159</v>
      </c>
      <c r="CV5"/>
      <c r="CW5"/>
      <c r="CX5"/>
      <c r="CY5"/>
      <c r="CZ5"/>
      <c r="DA5"/>
      <c r="DB5"/>
      <c r="DC5"/>
      <c r="DD5">
        <v>49</v>
      </c>
      <c r="EW5" s="486">
        <v>48</v>
      </c>
    </row>
    <row r="6" spans="1:153" s="486" customFormat="1" ht="15" x14ac:dyDescent="0.25">
      <c r="A6" s="489">
        <v>1502</v>
      </c>
      <c r="B6" t="s">
        <v>309</v>
      </c>
      <c r="C6"/>
      <c r="D6"/>
      <c r="E6"/>
      <c r="F6"/>
      <c r="G6"/>
      <c r="H6"/>
      <c r="I6"/>
      <c r="J6" t="s">
        <v>383</v>
      </c>
      <c r="K6"/>
      <c r="L6" t="s">
        <v>384</v>
      </c>
      <c r="M6" t="s">
        <v>385</v>
      </c>
      <c r="N6" t="s">
        <v>24</v>
      </c>
      <c r="O6" t="s">
        <v>883</v>
      </c>
      <c r="P6"/>
      <c r="Q6">
        <v>3202512700</v>
      </c>
      <c r="R6"/>
      <c r="S6" t="s">
        <v>386</v>
      </c>
      <c r="T6" t="s">
        <v>387</v>
      </c>
      <c r="U6" t="s">
        <v>388</v>
      </c>
      <c r="V6" t="s">
        <v>389</v>
      </c>
      <c r="W6" t="s">
        <v>390</v>
      </c>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t="s">
        <v>391</v>
      </c>
      <c r="BR6" t="s">
        <v>392</v>
      </c>
      <c r="BS6" t="s">
        <v>393</v>
      </c>
      <c r="BT6" t="s">
        <v>394</v>
      </c>
      <c r="BU6">
        <v>3202512700</v>
      </c>
      <c r="BV6">
        <v>54786</v>
      </c>
      <c r="BW6"/>
      <c r="BX6" t="s">
        <v>395</v>
      </c>
      <c r="BY6" t="s">
        <v>383</v>
      </c>
      <c r="BZ6"/>
      <c r="CA6" t="s">
        <v>384</v>
      </c>
      <c r="CB6" t="s">
        <v>385</v>
      </c>
      <c r="CC6" t="s">
        <v>24</v>
      </c>
      <c r="CD6" t="s">
        <v>883</v>
      </c>
      <c r="CE6"/>
      <c r="CF6" t="s">
        <v>396</v>
      </c>
      <c r="CG6" t="s">
        <v>309</v>
      </c>
      <c r="CH6"/>
      <c r="CI6"/>
      <c r="CJ6"/>
      <c r="CK6"/>
      <c r="CL6"/>
      <c r="CM6">
        <v>1326097833</v>
      </c>
      <c r="CN6">
        <v>3199</v>
      </c>
      <c r="CO6"/>
      <c r="CP6"/>
      <c r="CQ6"/>
      <c r="CR6">
        <v>3200</v>
      </c>
      <c r="CS6" t="s">
        <v>918</v>
      </c>
      <c r="CT6">
        <v>12</v>
      </c>
      <c r="CU6">
        <v>30</v>
      </c>
      <c r="CV6"/>
      <c r="CW6"/>
      <c r="CX6"/>
      <c r="CY6"/>
      <c r="CZ6"/>
      <c r="DA6"/>
      <c r="DB6"/>
      <c r="DC6"/>
      <c r="DD6">
        <v>8</v>
      </c>
      <c r="EW6" s="486">
        <v>8</v>
      </c>
    </row>
    <row r="7" spans="1:153" s="486" customFormat="1" ht="15" x14ac:dyDescent="0.25">
      <c r="A7" s="489">
        <v>1521</v>
      </c>
      <c r="B7" t="s">
        <v>366</v>
      </c>
      <c r="C7" t="s">
        <v>367</v>
      </c>
      <c r="D7" t="s">
        <v>734</v>
      </c>
      <c r="E7"/>
      <c r="F7" t="s">
        <v>369</v>
      </c>
      <c r="G7" t="s">
        <v>24</v>
      </c>
      <c r="H7" t="s">
        <v>884</v>
      </c>
      <c r="I7"/>
      <c r="J7" t="s">
        <v>370</v>
      </c>
      <c r="K7"/>
      <c r="L7" t="s">
        <v>367</v>
      </c>
      <c r="M7" t="s">
        <v>369</v>
      </c>
      <c r="N7" t="s">
        <v>24</v>
      </c>
      <c r="O7" t="s">
        <v>885</v>
      </c>
      <c r="P7"/>
      <c r="Q7">
        <v>3209836300</v>
      </c>
      <c r="R7">
        <v>3209836345</v>
      </c>
      <c r="S7" t="s">
        <v>735</v>
      </c>
      <c r="T7" t="s">
        <v>736</v>
      </c>
      <c r="U7" t="s">
        <v>737</v>
      </c>
      <c r="V7" t="s">
        <v>738</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t="s">
        <v>371</v>
      </c>
      <c r="BR7" t="s">
        <v>372</v>
      </c>
      <c r="BS7" t="s">
        <v>654</v>
      </c>
      <c r="BT7" t="s">
        <v>373</v>
      </c>
      <c r="BU7">
        <v>3209837471</v>
      </c>
      <c r="BV7"/>
      <c r="BW7">
        <v>3209837472</v>
      </c>
      <c r="BX7" t="s">
        <v>374</v>
      </c>
      <c r="BY7" t="s">
        <v>368</v>
      </c>
      <c r="BZ7"/>
      <c r="CA7" t="s">
        <v>367</v>
      </c>
      <c r="CB7" t="s">
        <v>369</v>
      </c>
      <c r="CC7" t="s">
        <v>24</v>
      </c>
      <c r="CD7" t="s">
        <v>884</v>
      </c>
      <c r="CE7"/>
      <c r="CF7" t="s">
        <v>375</v>
      </c>
      <c r="CG7" t="s">
        <v>376</v>
      </c>
      <c r="CH7" t="s">
        <v>886</v>
      </c>
      <c r="CI7"/>
      <c r="CJ7"/>
      <c r="CK7"/>
      <c r="CL7"/>
      <c r="CM7"/>
      <c r="CN7">
        <v>2958</v>
      </c>
      <c r="CO7"/>
      <c r="CP7"/>
      <c r="CQ7"/>
      <c r="CR7">
        <v>2957</v>
      </c>
      <c r="CS7" t="s">
        <v>912</v>
      </c>
      <c r="CT7">
        <v>12</v>
      </c>
      <c r="CU7">
        <v>195</v>
      </c>
      <c r="CV7"/>
      <c r="CW7"/>
      <c r="CX7"/>
      <c r="CY7"/>
      <c r="CZ7"/>
      <c r="DA7"/>
      <c r="DB7"/>
      <c r="DC7"/>
      <c r="DD7">
        <v>96</v>
      </c>
      <c r="EW7" s="486">
        <v>96</v>
      </c>
    </row>
    <row r="8" spans="1:153" s="486" customFormat="1" ht="15" x14ac:dyDescent="0.25">
      <c r="A8" s="489">
        <v>1503</v>
      </c>
      <c r="B8" t="s">
        <v>310</v>
      </c>
      <c r="C8"/>
      <c r="D8"/>
      <c r="E8"/>
      <c r="F8"/>
      <c r="G8"/>
      <c r="H8"/>
      <c r="I8"/>
      <c r="J8" t="s">
        <v>330</v>
      </c>
      <c r="K8"/>
      <c r="L8" t="s">
        <v>331</v>
      </c>
      <c r="M8" t="s">
        <v>332</v>
      </c>
      <c r="N8" t="s">
        <v>24</v>
      </c>
      <c r="O8" t="s">
        <v>887</v>
      </c>
      <c r="P8" t="s">
        <v>888</v>
      </c>
      <c r="Q8">
        <v>6518552667</v>
      </c>
      <c r="R8">
        <v>6518552690</v>
      </c>
      <c r="S8" t="s">
        <v>333</v>
      </c>
      <c r="T8" t="s">
        <v>334</v>
      </c>
      <c r="U8" t="s">
        <v>335</v>
      </c>
      <c r="V8" t="s">
        <v>336</v>
      </c>
      <c r="W8" t="s">
        <v>650</v>
      </c>
      <c r="X8"/>
      <c r="Y8"/>
      <c r="Z8"/>
      <c r="AA8"/>
      <c r="AB8"/>
      <c r="AC8"/>
      <c r="AD8"/>
      <c r="AE8"/>
      <c r="AF8"/>
      <c r="AG8"/>
      <c r="AH8"/>
      <c r="AI8"/>
      <c r="AJ8"/>
      <c r="AK8"/>
      <c r="AL8"/>
      <c r="AM8" t="s">
        <v>337</v>
      </c>
      <c r="AN8" t="s">
        <v>338</v>
      </c>
      <c r="AO8" t="s">
        <v>339</v>
      </c>
      <c r="AP8" t="s">
        <v>310</v>
      </c>
      <c r="AQ8">
        <v>6518552312</v>
      </c>
      <c r="AR8"/>
      <c r="AS8">
        <v>6518552690</v>
      </c>
      <c r="AT8" t="s">
        <v>340</v>
      </c>
      <c r="AU8" t="s">
        <v>330</v>
      </c>
      <c r="AV8"/>
      <c r="AW8" t="s">
        <v>331</v>
      </c>
      <c r="AX8" t="s">
        <v>332</v>
      </c>
      <c r="AY8" t="s">
        <v>24</v>
      </c>
      <c r="AZ8" t="s">
        <v>887</v>
      </c>
      <c r="BA8" t="s">
        <v>888</v>
      </c>
      <c r="BB8"/>
      <c r="BC8"/>
      <c r="BD8"/>
      <c r="BE8"/>
      <c r="BF8"/>
      <c r="BG8"/>
      <c r="BH8"/>
      <c r="BI8"/>
      <c r="BJ8"/>
      <c r="BK8"/>
      <c r="BL8"/>
      <c r="BM8"/>
      <c r="BN8"/>
      <c r="BO8"/>
      <c r="BP8"/>
      <c r="BQ8" t="s">
        <v>651</v>
      </c>
      <c r="BR8" t="s">
        <v>652</v>
      </c>
      <c r="BS8" t="s">
        <v>623</v>
      </c>
      <c r="BT8" t="s">
        <v>310</v>
      </c>
      <c r="BU8">
        <v>6518552026</v>
      </c>
      <c r="BV8"/>
      <c r="BW8">
        <v>6518552690</v>
      </c>
      <c r="BX8" t="s">
        <v>653</v>
      </c>
      <c r="BY8" t="s">
        <v>330</v>
      </c>
      <c r="BZ8"/>
      <c r="CA8" t="s">
        <v>331</v>
      </c>
      <c r="CB8" t="s">
        <v>332</v>
      </c>
      <c r="CC8" t="s">
        <v>24</v>
      </c>
      <c r="CD8" t="s">
        <v>887</v>
      </c>
      <c r="CE8" t="s">
        <v>888</v>
      </c>
      <c r="CF8" t="s">
        <v>341</v>
      </c>
      <c r="CG8" t="s">
        <v>310</v>
      </c>
      <c r="CH8" t="s">
        <v>53</v>
      </c>
      <c r="CI8"/>
      <c r="CJ8"/>
      <c r="CK8"/>
      <c r="CL8"/>
      <c r="CM8">
        <v>1881793750</v>
      </c>
      <c r="CN8">
        <v>2811</v>
      </c>
      <c r="CO8"/>
      <c r="CP8">
        <v>2810</v>
      </c>
      <c r="CQ8"/>
      <c r="CR8">
        <v>2809</v>
      </c>
      <c r="CS8" t="s">
        <v>912</v>
      </c>
      <c r="CT8">
        <v>12</v>
      </c>
      <c r="CU8">
        <v>66</v>
      </c>
      <c r="CV8"/>
      <c r="CW8"/>
      <c r="CX8"/>
      <c r="CY8"/>
      <c r="CZ8"/>
      <c r="DA8"/>
      <c r="DB8"/>
      <c r="DC8"/>
      <c r="DD8">
        <v>9</v>
      </c>
      <c r="EW8" s="486">
        <v>9</v>
      </c>
    </row>
    <row r="9" spans="1:153" s="486" customFormat="1" ht="15" x14ac:dyDescent="0.25">
      <c r="A9" s="489">
        <v>1504</v>
      </c>
      <c r="B9" t="s">
        <v>314</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t="s">
        <v>342</v>
      </c>
      <c r="CH9"/>
      <c r="CI9"/>
      <c r="CJ9"/>
      <c r="CK9"/>
      <c r="CL9"/>
      <c r="CM9"/>
      <c r="CN9"/>
      <c r="CO9"/>
      <c r="CP9"/>
      <c r="CQ9"/>
      <c r="CR9"/>
      <c r="CS9"/>
      <c r="CT9"/>
      <c r="CU9">
        <v>147</v>
      </c>
      <c r="CV9"/>
      <c r="CW9"/>
      <c r="CX9"/>
      <c r="CY9"/>
      <c r="CZ9"/>
      <c r="DA9"/>
      <c r="DB9"/>
      <c r="DC9"/>
      <c r="DD9">
        <v>58</v>
      </c>
      <c r="EW9" s="486">
        <v>58</v>
      </c>
    </row>
    <row r="10" spans="1:153" s="486" customFormat="1" ht="15" x14ac:dyDescent="0.25">
      <c r="A10" s="489">
        <v>1505</v>
      </c>
      <c r="B10" t="s">
        <v>919</v>
      </c>
      <c r="C10" t="s">
        <v>920</v>
      </c>
      <c r="D10" t="s">
        <v>921</v>
      </c>
      <c r="E10" t="s">
        <v>922</v>
      </c>
      <c r="F10" t="s">
        <v>906</v>
      </c>
      <c r="G10" t="s">
        <v>907</v>
      </c>
      <c r="H10" t="s">
        <v>923</v>
      </c>
      <c r="I10"/>
      <c r="J10" t="s">
        <v>921</v>
      </c>
      <c r="K10" t="s">
        <v>922</v>
      </c>
      <c r="L10" t="s">
        <v>905</v>
      </c>
      <c r="M10" t="s">
        <v>906</v>
      </c>
      <c r="N10" t="s">
        <v>907</v>
      </c>
      <c r="O10" t="s">
        <v>923</v>
      </c>
      <c r="P10"/>
      <c r="Q10">
        <v>7012379073</v>
      </c>
      <c r="R10">
        <v>7012351582</v>
      </c>
      <c r="S10" t="s">
        <v>886</v>
      </c>
      <c r="T10" t="s">
        <v>886</v>
      </c>
      <c r="U10" t="s">
        <v>886</v>
      </c>
      <c r="V10" t="s">
        <v>910</v>
      </c>
      <c r="W10" t="s">
        <v>924</v>
      </c>
      <c r="X10" t="s">
        <v>908</v>
      </c>
      <c r="Y10" t="s">
        <v>909</v>
      </c>
      <c r="Z10" t="s">
        <v>598</v>
      </c>
      <c r="AA10" t="s">
        <v>919</v>
      </c>
      <c r="AB10">
        <v>7012973028</v>
      </c>
      <c r="AC10">
        <v>7012379073</v>
      </c>
      <c r="AD10">
        <v>7012351582</v>
      </c>
      <c r="AE10" t="s">
        <v>910</v>
      </c>
      <c r="AF10" t="s">
        <v>921</v>
      </c>
      <c r="AG10" t="s">
        <v>922</v>
      </c>
      <c r="AH10" t="s">
        <v>905</v>
      </c>
      <c r="AI10" t="s">
        <v>906</v>
      </c>
      <c r="AJ10" t="s">
        <v>907</v>
      </c>
      <c r="AK10" t="s">
        <v>923</v>
      </c>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t="s">
        <v>925</v>
      </c>
      <c r="CG10" t="s">
        <v>919</v>
      </c>
      <c r="CH10" t="s">
        <v>53</v>
      </c>
      <c r="CI10"/>
      <c r="CJ10"/>
      <c r="CK10"/>
      <c r="CL10"/>
      <c r="CM10">
        <v>1972553758</v>
      </c>
      <c r="CN10">
        <v>469</v>
      </c>
      <c r="CO10">
        <v>260</v>
      </c>
      <c r="CP10"/>
      <c r="CQ10"/>
      <c r="CR10"/>
      <c r="CS10" t="s">
        <v>912</v>
      </c>
      <c r="CT10">
        <v>12</v>
      </c>
      <c r="CU10">
        <v>234</v>
      </c>
      <c r="CV10"/>
      <c r="CW10"/>
      <c r="CX10"/>
      <c r="CY10"/>
      <c r="CZ10"/>
      <c r="DA10"/>
      <c r="DB10"/>
      <c r="DC10"/>
      <c r="DD10">
        <v>63</v>
      </c>
      <c r="EW10" s="486">
        <v>116</v>
      </c>
    </row>
    <row r="11" spans="1:153" s="486" customFormat="1" ht="15" x14ac:dyDescent="0.25">
      <c r="A11" s="489">
        <v>1524</v>
      </c>
      <c r="B11" t="s">
        <v>610</v>
      </c>
      <c r="C11" t="s">
        <v>611</v>
      </c>
      <c r="D11" t="s">
        <v>612</v>
      </c>
      <c r="E11"/>
      <c r="F11" t="s">
        <v>344</v>
      </c>
      <c r="G11" t="s">
        <v>24</v>
      </c>
      <c r="H11" t="s">
        <v>889</v>
      </c>
      <c r="I11"/>
      <c r="J11" t="s">
        <v>612</v>
      </c>
      <c r="K11"/>
      <c r="L11" t="s">
        <v>611</v>
      </c>
      <c r="M11" t="s">
        <v>344</v>
      </c>
      <c r="N11" t="s">
        <v>24</v>
      </c>
      <c r="O11" t="s">
        <v>889</v>
      </c>
      <c r="P11"/>
      <c r="Q11">
        <v>9528571529</v>
      </c>
      <c r="R11">
        <v>9528571554</v>
      </c>
      <c r="S11" t="s">
        <v>596</v>
      </c>
      <c r="T11" t="s">
        <v>613</v>
      </c>
      <c r="U11" t="s">
        <v>614</v>
      </c>
      <c r="V11" t="s">
        <v>615</v>
      </c>
      <c r="W11"/>
      <c r="X11"/>
      <c r="Y11"/>
      <c r="Z11"/>
      <c r="AA11"/>
      <c r="AB11"/>
      <c r="AC11"/>
      <c r="AD11"/>
      <c r="AE11"/>
      <c r="AF11"/>
      <c r="AG11"/>
      <c r="AH11"/>
      <c r="AI11"/>
      <c r="AJ11"/>
      <c r="AK11"/>
      <c r="AL11"/>
      <c r="AM11" t="s">
        <v>616</v>
      </c>
      <c r="AN11" t="s">
        <v>617</v>
      </c>
      <c r="AO11" t="s">
        <v>618</v>
      </c>
      <c r="AP11" t="s">
        <v>619</v>
      </c>
      <c r="AQ11">
        <v>9528571501</v>
      </c>
      <c r="AR11"/>
      <c r="AS11">
        <v>9528571554</v>
      </c>
      <c r="AT11" t="s">
        <v>620</v>
      </c>
      <c r="AU11" t="s">
        <v>612</v>
      </c>
      <c r="AV11"/>
      <c r="AW11" t="s">
        <v>611</v>
      </c>
      <c r="AX11" t="s">
        <v>344</v>
      </c>
      <c r="AY11" t="s">
        <v>24</v>
      </c>
      <c r="AZ11" t="s">
        <v>889</v>
      </c>
      <c r="BA11"/>
      <c r="BB11" t="s">
        <v>621</v>
      </c>
      <c r="BC11" t="s">
        <v>622</v>
      </c>
      <c r="BD11" t="s">
        <v>623</v>
      </c>
      <c r="BE11" t="s">
        <v>619</v>
      </c>
      <c r="BF11">
        <v>9528571524</v>
      </c>
      <c r="BG11"/>
      <c r="BH11">
        <v>9528571554</v>
      </c>
      <c r="BI11" t="s">
        <v>624</v>
      </c>
      <c r="BJ11" t="s">
        <v>612</v>
      </c>
      <c r="BK11"/>
      <c r="BL11" t="s">
        <v>611</v>
      </c>
      <c r="BM11" t="s">
        <v>344</v>
      </c>
      <c r="BN11" t="s">
        <v>24</v>
      </c>
      <c r="BO11" t="s">
        <v>889</v>
      </c>
      <c r="BP11"/>
      <c r="BQ11" t="s">
        <v>596</v>
      </c>
      <c r="BR11" t="s">
        <v>613</v>
      </c>
      <c r="BS11" t="s">
        <v>614</v>
      </c>
      <c r="BT11" t="s">
        <v>619</v>
      </c>
      <c r="BU11">
        <v>9528571529</v>
      </c>
      <c r="BV11"/>
      <c r="BW11">
        <v>9528571554</v>
      </c>
      <c r="BX11" t="s">
        <v>615</v>
      </c>
      <c r="BY11" t="s">
        <v>612</v>
      </c>
      <c r="BZ11"/>
      <c r="CA11" t="s">
        <v>611</v>
      </c>
      <c r="CB11" t="s">
        <v>344</v>
      </c>
      <c r="CC11" t="s">
        <v>24</v>
      </c>
      <c r="CD11" t="s">
        <v>889</v>
      </c>
      <c r="CE11"/>
      <c r="CF11" t="s">
        <v>625</v>
      </c>
      <c r="CG11" t="s">
        <v>626</v>
      </c>
      <c r="CH11" t="s">
        <v>53</v>
      </c>
      <c r="CI11"/>
      <c r="CJ11"/>
      <c r="CK11"/>
      <c r="CL11"/>
      <c r="CM11">
        <v>1972734721</v>
      </c>
      <c r="CN11">
        <v>468</v>
      </c>
      <c r="CO11"/>
      <c r="CP11">
        <v>471</v>
      </c>
      <c r="CQ11">
        <v>472</v>
      </c>
      <c r="CR11">
        <v>470</v>
      </c>
      <c r="CS11" t="s">
        <v>918</v>
      </c>
      <c r="CT11">
        <v>12</v>
      </c>
      <c r="CU11">
        <v>210</v>
      </c>
      <c r="CV11"/>
      <c r="CW11"/>
      <c r="CX11"/>
      <c r="CY11"/>
      <c r="CZ11"/>
      <c r="DA11"/>
      <c r="DB11"/>
      <c r="DC11"/>
      <c r="DD11">
        <v>116</v>
      </c>
      <c r="EW11" s="486">
        <v>63</v>
      </c>
    </row>
    <row r="12" spans="1:153" s="486" customFormat="1" ht="15" x14ac:dyDescent="0.25">
      <c r="A12" s="489">
        <v>1520</v>
      </c>
      <c r="B12" t="s">
        <v>348</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t="s">
        <v>670</v>
      </c>
      <c r="CH12"/>
      <c r="CI12"/>
      <c r="CJ12"/>
      <c r="CK12"/>
      <c r="CL12"/>
      <c r="CM12"/>
      <c r="CN12"/>
      <c r="CO12"/>
      <c r="CP12"/>
      <c r="CQ12"/>
      <c r="CR12"/>
      <c r="CS12"/>
      <c r="CT12"/>
      <c r="CU12">
        <v>213</v>
      </c>
      <c r="CV12"/>
      <c r="CW12"/>
      <c r="CX12"/>
      <c r="CY12"/>
      <c r="CZ12"/>
      <c r="DA12"/>
      <c r="DB12"/>
      <c r="DC12"/>
      <c r="DD12">
        <v>105</v>
      </c>
      <c r="EW12" s="486">
        <v>105</v>
      </c>
    </row>
    <row r="13" spans="1:153" s="486" customFormat="1" ht="15" x14ac:dyDescent="0.25">
      <c r="A13" s="489">
        <v>1506</v>
      </c>
      <c r="B13" t="s">
        <v>134</v>
      </c>
      <c r="C13"/>
      <c r="D13"/>
      <c r="E13"/>
      <c r="F13"/>
      <c r="G13"/>
      <c r="H13"/>
      <c r="I13"/>
      <c r="J13" t="s">
        <v>926</v>
      </c>
      <c r="K13" t="s">
        <v>927</v>
      </c>
      <c r="L13" t="s">
        <v>343</v>
      </c>
      <c r="M13" t="s">
        <v>344</v>
      </c>
      <c r="N13" t="s">
        <v>24</v>
      </c>
      <c r="O13" t="s">
        <v>928</v>
      </c>
      <c r="P13"/>
      <c r="Q13">
        <v>6126724976</v>
      </c>
      <c r="R13"/>
      <c r="S13" t="s">
        <v>828</v>
      </c>
      <c r="T13" t="s">
        <v>829</v>
      </c>
      <c r="U13" t="s">
        <v>686</v>
      </c>
      <c r="V13" t="s">
        <v>929</v>
      </c>
      <c r="W13" t="s">
        <v>830</v>
      </c>
      <c r="X13"/>
      <c r="Y13"/>
      <c r="Z13"/>
      <c r="AA13"/>
      <c r="AB13"/>
      <c r="AC13"/>
      <c r="AD13"/>
      <c r="AE13"/>
      <c r="AF13"/>
      <c r="AG13"/>
      <c r="AH13"/>
      <c r="AI13"/>
      <c r="AJ13"/>
      <c r="AK13"/>
      <c r="AL13"/>
      <c r="AM13" t="s">
        <v>831</v>
      </c>
      <c r="AN13" t="s">
        <v>832</v>
      </c>
      <c r="AO13" t="s">
        <v>345</v>
      </c>
      <c r="AP13" t="s">
        <v>134</v>
      </c>
      <c r="AQ13"/>
      <c r="AR13"/>
      <c r="AS13"/>
      <c r="AT13" t="s">
        <v>930</v>
      </c>
      <c r="AU13" t="s">
        <v>931</v>
      </c>
      <c r="AV13"/>
      <c r="AW13" t="s">
        <v>932</v>
      </c>
      <c r="AX13" t="s">
        <v>886</v>
      </c>
      <c r="AY13" t="s">
        <v>24</v>
      </c>
      <c r="AZ13" t="s">
        <v>933</v>
      </c>
      <c r="BA13"/>
      <c r="BB13"/>
      <c r="BC13"/>
      <c r="BD13"/>
      <c r="BE13"/>
      <c r="BF13"/>
      <c r="BG13"/>
      <c r="BH13"/>
      <c r="BI13"/>
      <c r="BJ13"/>
      <c r="BK13"/>
      <c r="BL13"/>
      <c r="BM13"/>
      <c r="BN13"/>
      <c r="BO13"/>
      <c r="BP13"/>
      <c r="BQ13" t="s">
        <v>934</v>
      </c>
      <c r="BR13" t="s">
        <v>935</v>
      </c>
      <c r="BS13" t="s">
        <v>936</v>
      </c>
      <c r="BT13" t="s">
        <v>134</v>
      </c>
      <c r="BU13"/>
      <c r="BV13"/>
      <c r="BW13"/>
      <c r="BX13" t="s">
        <v>937</v>
      </c>
      <c r="BY13" t="s">
        <v>931</v>
      </c>
      <c r="BZ13"/>
      <c r="CA13" t="s">
        <v>932</v>
      </c>
      <c r="CB13" t="s">
        <v>886</v>
      </c>
      <c r="CC13" t="s">
        <v>24</v>
      </c>
      <c r="CD13" t="s">
        <v>933</v>
      </c>
      <c r="CE13"/>
      <c r="CF13" t="s">
        <v>346</v>
      </c>
      <c r="CG13" t="s">
        <v>739</v>
      </c>
      <c r="CH13" t="s">
        <v>53</v>
      </c>
      <c r="CI13"/>
      <c r="CJ13"/>
      <c r="CK13"/>
      <c r="CL13"/>
      <c r="CM13"/>
      <c r="CN13">
        <v>2802</v>
      </c>
      <c r="CO13"/>
      <c r="CP13">
        <v>2804</v>
      </c>
      <c r="CQ13"/>
      <c r="CR13">
        <v>2803</v>
      </c>
      <c r="CS13" t="s">
        <v>912</v>
      </c>
      <c r="CT13">
        <v>12</v>
      </c>
      <c r="CU13">
        <v>43</v>
      </c>
      <c r="CV13"/>
      <c r="CW13"/>
      <c r="CX13"/>
      <c r="CY13"/>
      <c r="CZ13"/>
      <c r="DA13"/>
      <c r="DB13"/>
      <c r="DC13"/>
      <c r="DD13">
        <v>11</v>
      </c>
      <c r="EW13" s="486">
        <v>11</v>
      </c>
    </row>
    <row r="14" spans="1:153" s="486" customFormat="1" ht="15" x14ac:dyDescent="0.25">
      <c r="A14" s="489">
        <v>1508</v>
      </c>
      <c r="B14" t="s">
        <v>311</v>
      </c>
      <c r="C14"/>
      <c r="D14"/>
      <c r="E14"/>
      <c r="F14"/>
      <c r="G14"/>
      <c r="H14"/>
      <c r="I14"/>
      <c r="J14" t="s">
        <v>397</v>
      </c>
      <c r="K14"/>
      <c r="L14" t="s">
        <v>398</v>
      </c>
      <c r="M14" t="s">
        <v>344</v>
      </c>
      <c r="N14" t="s">
        <v>24</v>
      </c>
      <c r="O14" t="s">
        <v>890</v>
      </c>
      <c r="P14"/>
      <c r="Q14">
        <v>9528837918</v>
      </c>
      <c r="R14"/>
      <c r="S14" t="s">
        <v>740</v>
      </c>
      <c r="T14" t="s">
        <v>741</v>
      </c>
      <c r="U14" t="s">
        <v>833</v>
      </c>
      <c r="V14" t="s">
        <v>742</v>
      </c>
      <c r="W14" t="s">
        <v>743</v>
      </c>
      <c r="X14"/>
      <c r="Y14"/>
      <c r="Z14"/>
      <c r="AA14"/>
      <c r="AB14"/>
      <c r="AC14"/>
      <c r="AD14"/>
      <c r="AE14"/>
      <c r="AF14"/>
      <c r="AG14"/>
      <c r="AH14"/>
      <c r="AI14"/>
      <c r="AJ14"/>
      <c r="AK14"/>
      <c r="AL14"/>
      <c r="AM14" t="s">
        <v>687</v>
      </c>
      <c r="AN14" t="s">
        <v>688</v>
      </c>
      <c r="AO14" t="s">
        <v>689</v>
      </c>
      <c r="AP14" t="s">
        <v>399</v>
      </c>
      <c r="AQ14">
        <v>9528835185</v>
      </c>
      <c r="AR14"/>
      <c r="AS14"/>
      <c r="AT14" t="s">
        <v>690</v>
      </c>
      <c r="AU14" t="s">
        <v>397</v>
      </c>
      <c r="AV14"/>
      <c r="AW14" t="s">
        <v>398</v>
      </c>
      <c r="AX14" t="s">
        <v>344</v>
      </c>
      <c r="AY14" t="s">
        <v>24</v>
      </c>
      <c r="AZ14" t="s">
        <v>890</v>
      </c>
      <c r="BA14"/>
      <c r="BB14" t="s">
        <v>834</v>
      </c>
      <c r="BC14" t="s">
        <v>835</v>
      </c>
      <c r="BD14" t="s">
        <v>836</v>
      </c>
      <c r="BE14" t="s">
        <v>399</v>
      </c>
      <c r="BF14">
        <v>9528835305</v>
      </c>
      <c r="BG14"/>
      <c r="BH14"/>
      <c r="BI14" t="s">
        <v>837</v>
      </c>
      <c r="BJ14" t="s">
        <v>397</v>
      </c>
      <c r="BK14"/>
      <c r="BL14" t="s">
        <v>398</v>
      </c>
      <c r="BM14" t="s">
        <v>344</v>
      </c>
      <c r="BN14" t="s">
        <v>24</v>
      </c>
      <c r="BO14" t="s">
        <v>890</v>
      </c>
      <c r="BP14"/>
      <c r="BQ14" t="s">
        <v>891</v>
      </c>
      <c r="BR14" t="s">
        <v>892</v>
      </c>
      <c r="BS14" t="s">
        <v>623</v>
      </c>
      <c r="BT14" t="s">
        <v>717</v>
      </c>
      <c r="BU14">
        <v>9528336865</v>
      </c>
      <c r="BV14"/>
      <c r="BW14">
        <v>9528836514</v>
      </c>
      <c r="BX14" t="s">
        <v>893</v>
      </c>
      <c r="BY14" t="s">
        <v>397</v>
      </c>
      <c r="BZ14"/>
      <c r="CA14" t="s">
        <v>398</v>
      </c>
      <c r="CB14" t="s">
        <v>344</v>
      </c>
      <c r="CC14" t="s">
        <v>24</v>
      </c>
      <c r="CD14" t="s">
        <v>890</v>
      </c>
      <c r="CE14"/>
      <c r="CF14" t="s">
        <v>400</v>
      </c>
      <c r="CG14" t="s">
        <v>311</v>
      </c>
      <c r="CH14" t="s">
        <v>53</v>
      </c>
      <c r="CI14"/>
      <c r="CJ14"/>
      <c r="CK14"/>
      <c r="CL14"/>
      <c r="CM14">
        <v>1710924683</v>
      </c>
      <c r="CN14">
        <v>3183</v>
      </c>
      <c r="CO14"/>
      <c r="CP14">
        <v>2318</v>
      </c>
      <c r="CQ14">
        <v>3091</v>
      </c>
      <c r="CR14">
        <v>3182</v>
      </c>
      <c r="CS14" t="s">
        <v>912</v>
      </c>
      <c r="CT14">
        <v>12</v>
      </c>
      <c r="CU14">
        <v>48</v>
      </c>
      <c r="CV14"/>
      <c r="CW14"/>
      <c r="CX14"/>
      <c r="CY14"/>
      <c r="CZ14"/>
      <c r="DA14"/>
      <c r="DB14"/>
      <c r="DC14"/>
      <c r="DD14">
        <v>16</v>
      </c>
      <c r="EW14" s="486">
        <v>16</v>
      </c>
    </row>
    <row r="15" spans="1:153" s="486" customFormat="1" ht="15" x14ac:dyDescent="0.25">
      <c r="A15" s="489">
        <v>1522</v>
      </c>
      <c r="B15" t="s">
        <v>659</v>
      </c>
      <c r="C15" t="s">
        <v>662</v>
      </c>
      <c r="D15" t="s">
        <v>660</v>
      </c>
      <c r="E15" t="s">
        <v>661</v>
      </c>
      <c r="F15" t="s">
        <v>344</v>
      </c>
      <c r="G15" t="s">
        <v>24</v>
      </c>
      <c r="H15" t="s">
        <v>894</v>
      </c>
      <c r="I15" t="s">
        <v>895</v>
      </c>
      <c r="J15" t="s">
        <v>660</v>
      </c>
      <c r="K15" t="s">
        <v>661</v>
      </c>
      <c r="L15" t="s">
        <v>343</v>
      </c>
      <c r="M15" t="s">
        <v>344</v>
      </c>
      <c r="N15" t="s">
        <v>24</v>
      </c>
      <c r="O15" t="s">
        <v>894</v>
      </c>
      <c r="P15" t="s">
        <v>895</v>
      </c>
      <c r="Q15">
        <v>9528353800</v>
      </c>
      <c r="R15">
        <v>9528963333</v>
      </c>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t="s">
        <v>408</v>
      </c>
      <c r="BR15" t="s">
        <v>671</v>
      </c>
      <c r="BS15"/>
      <c r="BT15" t="s">
        <v>659</v>
      </c>
      <c r="BU15">
        <v>9528963355</v>
      </c>
      <c r="BV15"/>
      <c r="BW15">
        <v>9528963333</v>
      </c>
      <c r="BX15" t="s">
        <v>672</v>
      </c>
      <c r="BY15" t="s">
        <v>660</v>
      </c>
      <c r="BZ15" t="s">
        <v>661</v>
      </c>
      <c r="CA15" t="s">
        <v>343</v>
      </c>
      <c r="CB15" t="s">
        <v>344</v>
      </c>
      <c r="CC15" t="s">
        <v>24</v>
      </c>
      <c r="CD15" t="s">
        <v>894</v>
      </c>
      <c r="CE15" t="s">
        <v>895</v>
      </c>
      <c r="CF15" t="s">
        <v>663</v>
      </c>
      <c r="CG15" t="s">
        <v>659</v>
      </c>
      <c r="CH15"/>
      <c r="CI15"/>
      <c r="CJ15"/>
      <c r="CK15"/>
      <c r="CL15"/>
      <c r="CM15"/>
      <c r="CN15">
        <v>2901</v>
      </c>
      <c r="CO15"/>
      <c r="CP15"/>
      <c r="CQ15"/>
      <c r="CR15">
        <v>2902</v>
      </c>
      <c r="CS15" t="s">
        <v>912</v>
      </c>
      <c r="CT15">
        <v>12</v>
      </c>
      <c r="CU15">
        <v>212</v>
      </c>
      <c r="CV15"/>
      <c r="CW15"/>
      <c r="CX15"/>
      <c r="CY15"/>
      <c r="CZ15"/>
      <c r="DA15"/>
      <c r="DB15"/>
      <c r="DC15"/>
      <c r="DD15">
        <v>5</v>
      </c>
      <c r="EW15" s="486">
        <v>5</v>
      </c>
    </row>
    <row r="16" spans="1:153" s="486" customFormat="1" ht="15" x14ac:dyDescent="0.25">
      <c r="A16" s="489">
        <v>1509</v>
      </c>
      <c r="B16" t="s">
        <v>317</v>
      </c>
      <c r="C16"/>
      <c r="D16"/>
      <c r="E16"/>
      <c r="F16"/>
      <c r="G16"/>
      <c r="H16"/>
      <c r="I16"/>
      <c r="J16" t="s">
        <v>409</v>
      </c>
      <c r="K16"/>
      <c r="L16" t="s">
        <v>410</v>
      </c>
      <c r="M16" t="s">
        <v>411</v>
      </c>
      <c r="N16" t="s">
        <v>24</v>
      </c>
      <c r="O16" t="s">
        <v>896</v>
      </c>
      <c r="P16"/>
      <c r="Q16">
        <v>5072842511</v>
      </c>
      <c r="R16">
        <v>5075387802</v>
      </c>
      <c r="S16" t="s">
        <v>938</v>
      </c>
      <c r="T16" t="s">
        <v>939</v>
      </c>
      <c r="U16" t="s">
        <v>745</v>
      </c>
      <c r="V16" t="s">
        <v>940</v>
      </c>
      <c r="W16" t="s">
        <v>897</v>
      </c>
      <c r="X16"/>
      <c r="Y16"/>
      <c r="Z16"/>
      <c r="AA16"/>
      <c r="AB16"/>
      <c r="AC16"/>
      <c r="AD16"/>
      <c r="AE16"/>
      <c r="AF16"/>
      <c r="AG16"/>
      <c r="AH16"/>
      <c r="AI16"/>
      <c r="AJ16"/>
      <c r="AK16"/>
      <c r="AL16"/>
      <c r="AM16" t="s">
        <v>838</v>
      </c>
      <c r="AN16" t="s">
        <v>839</v>
      </c>
      <c r="AO16" t="s">
        <v>840</v>
      </c>
      <c r="AP16" t="s">
        <v>317</v>
      </c>
      <c r="AQ16">
        <v>5075383871</v>
      </c>
      <c r="AR16"/>
      <c r="AS16"/>
      <c r="AT16" t="s">
        <v>841</v>
      </c>
      <c r="AU16" t="s">
        <v>409</v>
      </c>
      <c r="AV16"/>
      <c r="AW16" t="s">
        <v>410</v>
      </c>
      <c r="AX16" t="s">
        <v>411</v>
      </c>
      <c r="AY16" t="s">
        <v>24</v>
      </c>
      <c r="AZ16" t="s">
        <v>896</v>
      </c>
      <c r="BA16"/>
      <c r="BB16"/>
      <c r="BC16"/>
      <c r="BD16"/>
      <c r="BE16"/>
      <c r="BF16"/>
      <c r="BG16"/>
      <c r="BH16"/>
      <c r="BI16"/>
      <c r="BJ16"/>
      <c r="BK16"/>
      <c r="BL16"/>
      <c r="BM16"/>
      <c r="BN16"/>
      <c r="BO16"/>
      <c r="BP16"/>
      <c r="BQ16" t="s">
        <v>412</v>
      </c>
      <c r="BR16" t="s">
        <v>413</v>
      </c>
      <c r="BS16" t="s">
        <v>414</v>
      </c>
      <c r="BT16" t="s">
        <v>317</v>
      </c>
      <c r="BU16">
        <v>5072666526</v>
      </c>
      <c r="BV16"/>
      <c r="BW16"/>
      <c r="BX16" t="s">
        <v>415</v>
      </c>
      <c r="BY16" t="s">
        <v>409</v>
      </c>
      <c r="BZ16"/>
      <c r="CA16" t="s">
        <v>410</v>
      </c>
      <c r="CB16" t="s">
        <v>411</v>
      </c>
      <c r="CC16" t="s">
        <v>24</v>
      </c>
      <c r="CD16" t="s">
        <v>896</v>
      </c>
      <c r="CE16"/>
      <c r="CF16" t="s">
        <v>416</v>
      </c>
      <c r="CG16" t="s">
        <v>317</v>
      </c>
      <c r="CH16" t="s">
        <v>53</v>
      </c>
      <c r="CI16"/>
      <c r="CJ16"/>
      <c r="CK16"/>
      <c r="CL16"/>
      <c r="CM16">
        <v>1922074434</v>
      </c>
      <c r="CN16">
        <v>208</v>
      </c>
      <c r="CO16"/>
      <c r="CP16">
        <v>227</v>
      </c>
      <c r="CQ16"/>
      <c r="CR16">
        <v>213</v>
      </c>
      <c r="CS16" t="s">
        <v>912</v>
      </c>
      <c r="CT16">
        <v>12</v>
      </c>
      <c r="CU16">
        <v>46</v>
      </c>
      <c r="CV16"/>
      <c r="CW16"/>
      <c r="CX16"/>
      <c r="CY16"/>
      <c r="CZ16"/>
      <c r="DA16"/>
      <c r="DB16"/>
      <c r="DC16"/>
      <c r="DD16">
        <v>19</v>
      </c>
      <c r="EW16" s="486">
        <v>19</v>
      </c>
    </row>
    <row r="17" spans="1:153" s="486" customFormat="1" ht="15" x14ac:dyDescent="0.25">
      <c r="A17" s="489">
        <v>1528</v>
      </c>
      <c r="B17" t="s">
        <v>664</v>
      </c>
      <c r="C17" t="s">
        <v>666</v>
      </c>
      <c r="D17" t="s">
        <v>691</v>
      </c>
      <c r="E17"/>
      <c r="F17"/>
      <c r="G17" t="s">
        <v>667</v>
      </c>
      <c r="H17" t="s">
        <v>898</v>
      </c>
      <c r="I17"/>
      <c r="J17" t="s">
        <v>665</v>
      </c>
      <c r="K17"/>
      <c r="L17" t="s">
        <v>666</v>
      </c>
      <c r="M17" t="s">
        <v>673</v>
      </c>
      <c r="N17" t="s">
        <v>667</v>
      </c>
      <c r="O17" t="s">
        <v>898</v>
      </c>
      <c r="P17"/>
      <c r="Q17">
        <v>3042252500</v>
      </c>
      <c r="R17"/>
      <c r="S17" t="s">
        <v>692</v>
      </c>
      <c r="T17" t="s">
        <v>693</v>
      </c>
      <c r="U17" t="s">
        <v>668</v>
      </c>
      <c r="V17"/>
      <c r="W17"/>
      <c r="X17"/>
      <c r="Y17"/>
      <c r="Z17"/>
      <c r="AA17"/>
      <c r="AB17"/>
      <c r="AC17"/>
      <c r="AD17"/>
      <c r="AE17"/>
      <c r="AF17"/>
      <c r="AG17"/>
      <c r="AH17"/>
      <c r="AI17"/>
      <c r="AJ17"/>
      <c r="AK17"/>
      <c r="AL17"/>
      <c r="AM17" t="s">
        <v>674</v>
      </c>
      <c r="AN17" t="s">
        <v>675</v>
      </c>
      <c r="AO17" t="s">
        <v>676</v>
      </c>
      <c r="AP17" t="s">
        <v>682</v>
      </c>
      <c r="AQ17">
        <v>7245976042</v>
      </c>
      <c r="AR17"/>
      <c r="AS17"/>
      <c r="AT17"/>
      <c r="AU17" t="s">
        <v>665</v>
      </c>
      <c r="AV17"/>
      <c r="AW17" t="s">
        <v>666</v>
      </c>
      <c r="AX17" t="s">
        <v>673</v>
      </c>
      <c r="AY17" t="s">
        <v>667</v>
      </c>
      <c r="AZ17" t="s">
        <v>898</v>
      </c>
      <c r="BA17"/>
      <c r="BB17"/>
      <c r="BC17"/>
      <c r="BD17"/>
      <c r="BE17"/>
      <c r="BF17"/>
      <c r="BG17"/>
      <c r="BH17"/>
      <c r="BI17"/>
      <c r="BJ17"/>
      <c r="BK17"/>
      <c r="BL17"/>
      <c r="BM17"/>
      <c r="BN17"/>
      <c r="BO17"/>
      <c r="BP17"/>
      <c r="BQ17" t="s">
        <v>677</v>
      </c>
      <c r="BR17" t="s">
        <v>678</v>
      </c>
      <c r="BS17" t="s">
        <v>679</v>
      </c>
      <c r="BT17" t="s">
        <v>682</v>
      </c>
      <c r="BU17">
        <v>3049856501</v>
      </c>
      <c r="BV17"/>
      <c r="BW17"/>
      <c r="BX17" t="s">
        <v>680</v>
      </c>
      <c r="BY17" t="s">
        <v>665</v>
      </c>
      <c r="BZ17"/>
      <c r="CA17" t="s">
        <v>666</v>
      </c>
      <c r="CB17" t="s">
        <v>673</v>
      </c>
      <c r="CC17" t="s">
        <v>667</v>
      </c>
      <c r="CD17" t="s">
        <v>898</v>
      </c>
      <c r="CE17"/>
      <c r="CF17" t="s">
        <v>669</v>
      </c>
      <c r="CG17" t="s">
        <v>681</v>
      </c>
      <c r="CH17"/>
      <c r="CI17"/>
      <c r="CJ17"/>
      <c r="CK17"/>
      <c r="CL17"/>
      <c r="CM17"/>
      <c r="CN17">
        <v>2935</v>
      </c>
      <c r="CO17"/>
      <c r="CP17">
        <v>2938</v>
      </c>
      <c r="CQ17"/>
      <c r="CR17">
        <v>2937</v>
      </c>
      <c r="CS17" t="s">
        <v>912</v>
      </c>
      <c r="CT17">
        <v>12</v>
      </c>
      <c r="CU17">
        <v>233</v>
      </c>
      <c r="CV17"/>
      <c r="CW17"/>
      <c r="CX17"/>
      <c r="CY17"/>
      <c r="CZ17"/>
      <c r="DA17"/>
      <c r="DB17"/>
      <c r="DC17"/>
      <c r="DD17">
        <v>155</v>
      </c>
      <c r="EW17" s="486">
        <v>155</v>
      </c>
    </row>
    <row r="18" spans="1:153" s="486" customFormat="1" ht="15" x14ac:dyDescent="0.25">
      <c r="A18" s="489">
        <v>1599</v>
      </c>
      <c r="B18" t="s">
        <v>694</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t="s">
        <v>695</v>
      </c>
      <c r="CH18"/>
      <c r="CI18"/>
      <c r="CJ18"/>
      <c r="CK18"/>
      <c r="CL18"/>
      <c r="CM18"/>
      <c r="CN18"/>
      <c r="CO18"/>
      <c r="CP18"/>
      <c r="CQ18"/>
      <c r="CR18"/>
      <c r="CS18"/>
      <c r="CT18"/>
      <c r="CU18">
        <v>227</v>
      </c>
      <c r="CV18"/>
      <c r="CW18"/>
      <c r="CX18"/>
      <c r="CY18"/>
      <c r="CZ18"/>
      <c r="DA18"/>
      <c r="DB18"/>
      <c r="DC18"/>
      <c r="DD18">
        <v>0</v>
      </c>
      <c r="EW18" s="486">
        <v>21</v>
      </c>
    </row>
    <row r="19" spans="1:153" s="486" customFormat="1" ht="15" x14ac:dyDescent="0.25">
      <c r="A19" s="489">
        <v>1526</v>
      </c>
      <c r="B19" t="s">
        <v>696</v>
      </c>
      <c r="C19" t="s">
        <v>729</v>
      </c>
      <c r="D19" t="s">
        <v>746</v>
      </c>
      <c r="E19"/>
      <c r="F19" t="s">
        <v>344</v>
      </c>
      <c r="G19" t="s">
        <v>24</v>
      </c>
      <c r="H19" t="s">
        <v>899</v>
      </c>
      <c r="I19" t="s">
        <v>900</v>
      </c>
      <c r="J19" t="s">
        <v>747</v>
      </c>
      <c r="K19" t="s">
        <v>748</v>
      </c>
      <c r="L19" t="s">
        <v>729</v>
      </c>
      <c r="M19" t="s">
        <v>344</v>
      </c>
      <c r="N19" t="s">
        <v>24</v>
      </c>
      <c r="O19" t="s">
        <v>899</v>
      </c>
      <c r="P19"/>
      <c r="Q19">
        <v>7635205000</v>
      </c>
      <c r="R19">
        <v>7635205006</v>
      </c>
      <c r="S19" t="s">
        <v>749</v>
      </c>
      <c r="T19" t="s">
        <v>750</v>
      </c>
      <c r="U19" t="s">
        <v>354</v>
      </c>
      <c r="V19" t="s">
        <v>751</v>
      </c>
      <c r="W19" t="s">
        <v>901</v>
      </c>
      <c r="X19"/>
      <c r="Y19"/>
      <c r="Z19"/>
      <c r="AA19"/>
      <c r="AB19"/>
      <c r="AC19"/>
      <c r="AD19"/>
      <c r="AE19"/>
      <c r="AF19"/>
      <c r="AG19"/>
      <c r="AH19"/>
      <c r="AI19"/>
      <c r="AJ19"/>
      <c r="AK19"/>
      <c r="AL19"/>
      <c r="AM19" t="s">
        <v>744</v>
      </c>
      <c r="AN19" t="s">
        <v>752</v>
      </c>
      <c r="AO19" t="s">
        <v>753</v>
      </c>
      <c r="AP19" t="s">
        <v>696</v>
      </c>
      <c r="AQ19">
        <v>7635814573</v>
      </c>
      <c r="AR19"/>
      <c r="AS19">
        <v>7635814561</v>
      </c>
      <c r="AT19" t="s">
        <v>754</v>
      </c>
      <c r="AU19" t="s">
        <v>747</v>
      </c>
      <c r="AV19" t="s">
        <v>748</v>
      </c>
      <c r="AW19" t="s">
        <v>729</v>
      </c>
      <c r="AX19" t="s">
        <v>344</v>
      </c>
      <c r="AY19" t="s">
        <v>24</v>
      </c>
      <c r="AZ19" t="s">
        <v>899</v>
      </c>
      <c r="BA19"/>
      <c r="BB19"/>
      <c r="BC19"/>
      <c r="BD19"/>
      <c r="BE19"/>
      <c r="BF19"/>
      <c r="BG19"/>
      <c r="BH19"/>
      <c r="BI19"/>
      <c r="BJ19"/>
      <c r="BK19"/>
      <c r="BL19"/>
      <c r="BM19"/>
      <c r="BN19"/>
      <c r="BO19"/>
      <c r="BP19"/>
      <c r="BQ19" t="s">
        <v>755</v>
      </c>
      <c r="BR19" t="s">
        <v>756</v>
      </c>
      <c r="BS19" t="s">
        <v>623</v>
      </c>
      <c r="BT19" t="s">
        <v>696</v>
      </c>
      <c r="BU19">
        <v>7635810988</v>
      </c>
      <c r="BV19"/>
      <c r="BW19">
        <v>7635814561</v>
      </c>
      <c r="BX19" t="s">
        <v>757</v>
      </c>
      <c r="BY19" t="s">
        <v>747</v>
      </c>
      <c r="BZ19" t="s">
        <v>748</v>
      </c>
      <c r="CA19" t="s">
        <v>729</v>
      </c>
      <c r="CB19" t="s">
        <v>344</v>
      </c>
      <c r="CC19" t="s">
        <v>24</v>
      </c>
      <c r="CD19" t="s">
        <v>899</v>
      </c>
      <c r="CE19"/>
      <c r="CF19" t="s">
        <v>758</v>
      </c>
      <c r="CG19" t="s">
        <v>696</v>
      </c>
      <c r="CH19" t="s">
        <v>53</v>
      </c>
      <c r="CI19"/>
      <c r="CJ19"/>
      <c r="CK19"/>
      <c r="CL19"/>
      <c r="CM19">
        <v>1538195912</v>
      </c>
      <c r="CN19">
        <v>262</v>
      </c>
      <c r="CO19"/>
      <c r="CP19">
        <v>238</v>
      </c>
      <c r="CQ19"/>
      <c r="CR19">
        <v>229</v>
      </c>
      <c r="CS19" t="s">
        <v>912</v>
      </c>
      <c r="CT19">
        <v>12</v>
      </c>
      <c r="CU19">
        <v>24</v>
      </c>
      <c r="CV19"/>
      <c r="CW19"/>
      <c r="CX19"/>
      <c r="CY19"/>
      <c r="CZ19"/>
      <c r="DA19"/>
      <c r="DB19"/>
      <c r="DC19"/>
      <c r="DD19">
        <v>21</v>
      </c>
      <c r="EW19" s="486">
        <v>0</v>
      </c>
    </row>
    <row r="20" spans="1:153" s="486" customFormat="1" ht="15" x14ac:dyDescent="0.25">
      <c r="A20" s="489">
        <v>1511</v>
      </c>
      <c r="B20" t="s">
        <v>315</v>
      </c>
      <c r="C20"/>
      <c r="D20"/>
      <c r="E20"/>
      <c r="F20"/>
      <c r="G20"/>
      <c r="H20"/>
      <c r="I20"/>
      <c r="J20" t="s">
        <v>401</v>
      </c>
      <c r="K20"/>
      <c r="L20" t="s">
        <v>402</v>
      </c>
      <c r="M20" t="s">
        <v>344</v>
      </c>
      <c r="N20" t="s">
        <v>24</v>
      </c>
      <c r="O20" t="s">
        <v>882</v>
      </c>
      <c r="P20"/>
      <c r="Q20">
        <v>9529939900</v>
      </c>
      <c r="R20">
        <v>9529935936</v>
      </c>
      <c r="S20" t="s">
        <v>941</v>
      </c>
      <c r="T20" t="s">
        <v>942</v>
      </c>
      <c r="U20" t="s">
        <v>943</v>
      </c>
      <c r="V20" t="s">
        <v>944</v>
      </c>
      <c r="W20" t="s">
        <v>945</v>
      </c>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t="s">
        <v>403</v>
      </c>
      <c r="BR20" t="s">
        <v>404</v>
      </c>
      <c r="BS20" t="s">
        <v>417</v>
      </c>
      <c r="BT20" t="s">
        <v>315</v>
      </c>
      <c r="BU20">
        <v>9529939255</v>
      </c>
      <c r="BV20"/>
      <c r="BW20">
        <v>9529931808</v>
      </c>
      <c r="BX20" t="s">
        <v>405</v>
      </c>
      <c r="BY20" t="s">
        <v>406</v>
      </c>
      <c r="BZ20"/>
      <c r="CA20" t="s">
        <v>402</v>
      </c>
      <c r="CB20" t="s">
        <v>344</v>
      </c>
      <c r="CC20" t="s">
        <v>24</v>
      </c>
      <c r="CD20" t="s">
        <v>882</v>
      </c>
      <c r="CE20"/>
      <c r="CF20" t="s">
        <v>400</v>
      </c>
      <c r="CG20" t="s">
        <v>315</v>
      </c>
      <c r="CH20" t="s">
        <v>53</v>
      </c>
      <c r="CI20"/>
      <c r="CJ20"/>
      <c r="CK20"/>
      <c r="CL20"/>
      <c r="CM20">
        <v>1780621904</v>
      </c>
      <c r="CN20">
        <v>3185</v>
      </c>
      <c r="CO20"/>
      <c r="CP20"/>
      <c r="CQ20"/>
      <c r="CR20">
        <v>3184</v>
      </c>
      <c r="CS20" t="s">
        <v>912</v>
      </c>
      <c r="CT20">
        <v>12</v>
      </c>
      <c r="CU20">
        <v>29</v>
      </c>
      <c r="CV20"/>
      <c r="CW20"/>
      <c r="CX20"/>
      <c r="CY20"/>
      <c r="CZ20"/>
      <c r="DA20"/>
      <c r="DB20"/>
      <c r="DC20"/>
      <c r="DD20">
        <v>22</v>
      </c>
      <c r="EW20" s="486">
        <v>22</v>
      </c>
    </row>
    <row r="21" spans="1:153" s="486" customFormat="1" ht="15" x14ac:dyDescent="0.25">
      <c r="A21" s="489">
        <v>1525</v>
      </c>
      <c r="B21" t="s">
        <v>627</v>
      </c>
      <c r="C21" t="s">
        <v>629</v>
      </c>
      <c r="D21" t="s">
        <v>628</v>
      </c>
      <c r="E21"/>
      <c r="F21" t="s">
        <v>630</v>
      </c>
      <c r="G21" t="s">
        <v>24</v>
      </c>
      <c r="H21" t="s">
        <v>902</v>
      </c>
      <c r="I21"/>
      <c r="J21" t="s">
        <v>628</v>
      </c>
      <c r="K21"/>
      <c r="L21" t="s">
        <v>629</v>
      </c>
      <c r="M21" t="s">
        <v>630</v>
      </c>
      <c r="N21" t="s">
        <v>24</v>
      </c>
      <c r="O21" t="s">
        <v>902</v>
      </c>
      <c r="P21"/>
      <c r="Q21">
        <v>6512599700</v>
      </c>
      <c r="R21">
        <v>6512599770</v>
      </c>
      <c r="S21" t="s">
        <v>632</v>
      </c>
      <c r="T21" t="s">
        <v>633</v>
      </c>
      <c r="U21" t="s">
        <v>631</v>
      </c>
      <c r="V21"/>
      <c r="W21" t="s">
        <v>634</v>
      </c>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t="s">
        <v>635</v>
      </c>
      <c r="CG21" t="s">
        <v>627</v>
      </c>
      <c r="CH21"/>
      <c r="CI21"/>
      <c r="CJ21"/>
      <c r="CK21"/>
      <c r="CL21"/>
      <c r="CM21"/>
      <c r="CN21">
        <v>2054</v>
      </c>
      <c r="CO21"/>
      <c r="CP21"/>
      <c r="CQ21"/>
      <c r="CR21"/>
      <c r="CS21"/>
      <c r="CT21"/>
      <c r="CU21">
        <v>228</v>
      </c>
      <c r="CV21"/>
      <c r="CW21"/>
      <c r="CX21"/>
      <c r="CY21"/>
      <c r="CZ21"/>
      <c r="DA21"/>
      <c r="DB21"/>
      <c r="DC21"/>
      <c r="DD21">
        <v>127</v>
      </c>
      <c r="EW21" s="486">
        <v>127</v>
      </c>
    </row>
    <row r="22" spans="1:153" s="486" customFormat="1" ht="15" x14ac:dyDescent="0.25">
      <c r="A22" s="489">
        <v>1501</v>
      </c>
      <c r="B22" t="s">
        <v>946</v>
      </c>
      <c r="C22" t="s">
        <v>402</v>
      </c>
      <c r="D22" t="s">
        <v>637</v>
      </c>
      <c r="E22" t="s">
        <v>347</v>
      </c>
      <c r="F22" t="s">
        <v>344</v>
      </c>
      <c r="G22" t="s">
        <v>24</v>
      </c>
      <c r="H22" t="s">
        <v>882</v>
      </c>
      <c r="I22"/>
      <c r="J22" t="s">
        <v>637</v>
      </c>
      <c r="K22" t="s">
        <v>347</v>
      </c>
      <c r="L22" t="s">
        <v>402</v>
      </c>
      <c r="M22" t="s">
        <v>344</v>
      </c>
      <c r="N22" t="s">
        <v>24</v>
      </c>
      <c r="O22" t="s">
        <v>882</v>
      </c>
      <c r="P22"/>
      <c r="Q22">
        <v>9527384513</v>
      </c>
      <c r="R22"/>
      <c r="S22" t="s">
        <v>826</v>
      </c>
      <c r="T22" t="s">
        <v>947</v>
      </c>
      <c r="U22" t="s">
        <v>948</v>
      </c>
      <c r="V22" t="s">
        <v>949</v>
      </c>
      <c r="W22" t="s">
        <v>950</v>
      </c>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t="s">
        <v>951</v>
      </c>
      <c r="BR22" t="s">
        <v>952</v>
      </c>
      <c r="BS22" t="s">
        <v>953</v>
      </c>
      <c r="BT22" t="s">
        <v>308</v>
      </c>
      <c r="BU22">
        <v>9527384513</v>
      </c>
      <c r="BV22"/>
      <c r="BW22">
        <v>9525415443</v>
      </c>
      <c r="BX22" t="s">
        <v>954</v>
      </c>
      <c r="BY22" t="s">
        <v>637</v>
      </c>
      <c r="BZ22" t="s">
        <v>347</v>
      </c>
      <c r="CA22" t="s">
        <v>402</v>
      </c>
      <c r="CB22" t="s">
        <v>344</v>
      </c>
      <c r="CC22" t="s">
        <v>24</v>
      </c>
      <c r="CD22" t="s">
        <v>882</v>
      </c>
      <c r="CE22"/>
      <c r="CF22" t="s">
        <v>955</v>
      </c>
      <c r="CG22" t="s">
        <v>956</v>
      </c>
      <c r="CH22" t="s">
        <v>54</v>
      </c>
      <c r="CI22"/>
      <c r="CJ22"/>
      <c r="CK22"/>
      <c r="CL22"/>
      <c r="CM22">
        <v>1659348092</v>
      </c>
      <c r="CN22">
        <v>221</v>
      </c>
      <c r="CO22"/>
      <c r="CP22"/>
      <c r="CQ22"/>
      <c r="CR22">
        <v>559</v>
      </c>
      <c r="CS22" t="s">
        <v>912</v>
      </c>
      <c r="CT22">
        <v>1</v>
      </c>
      <c r="CU22">
        <v>105</v>
      </c>
      <c r="CV22"/>
      <c r="CW22"/>
      <c r="CX22"/>
      <c r="CY22"/>
      <c r="CZ22"/>
      <c r="DA22"/>
      <c r="DB22"/>
      <c r="DC22"/>
      <c r="DD22">
        <v>48</v>
      </c>
      <c r="EW22" s="486">
        <v>29</v>
      </c>
    </row>
    <row r="23" spans="1:153" s="486" customFormat="1" ht="15" x14ac:dyDescent="0.25">
      <c r="A23" s="489">
        <v>1513</v>
      </c>
      <c r="B23" t="s">
        <v>312</v>
      </c>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t="s">
        <v>312</v>
      </c>
      <c r="CH23"/>
      <c r="CI23"/>
      <c r="CJ23"/>
      <c r="CK23"/>
      <c r="CL23"/>
      <c r="CM23"/>
      <c r="CN23"/>
      <c r="CO23"/>
      <c r="CP23"/>
      <c r="CQ23"/>
      <c r="CR23"/>
      <c r="CS23"/>
      <c r="CT23"/>
      <c r="CU23">
        <v>208</v>
      </c>
      <c r="CV23"/>
      <c r="CW23"/>
      <c r="CX23"/>
      <c r="CY23"/>
      <c r="CZ23"/>
      <c r="DA23"/>
      <c r="DB23"/>
      <c r="DC23"/>
      <c r="DD23">
        <v>29</v>
      </c>
      <c r="EW23" s="486">
        <v>148</v>
      </c>
    </row>
    <row r="24" spans="1:153" s="486" customFormat="1" ht="15" x14ac:dyDescent="0.25">
      <c r="A24" s="489">
        <v>1514</v>
      </c>
      <c r="B24" t="s">
        <v>313</v>
      </c>
      <c r="C24"/>
      <c r="D24"/>
      <c r="E24"/>
      <c r="F24"/>
      <c r="G24"/>
      <c r="H24"/>
      <c r="I24"/>
      <c r="J24" t="s">
        <v>349</v>
      </c>
      <c r="K24"/>
      <c r="L24" t="s">
        <v>350</v>
      </c>
      <c r="M24" t="s">
        <v>351</v>
      </c>
      <c r="N24" t="s">
        <v>24</v>
      </c>
      <c r="O24" t="s">
        <v>903</v>
      </c>
      <c r="P24" t="s">
        <v>904</v>
      </c>
      <c r="Q24">
        <v>2182495555</v>
      </c>
      <c r="R24">
        <v>2187332472</v>
      </c>
      <c r="S24" t="s">
        <v>352</v>
      </c>
      <c r="T24" t="s">
        <v>353</v>
      </c>
      <c r="U24" t="s">
        <v>354</v>
      </c>
      <c r="V24" t="s">
        <v>355</v>
      </c>
      <c r="W24" t="s">
        <v>356</v>
      </c>
      <c r="X24"/>
      <c r="Y24"/>
      <c r="Z24"/>
      <c r="AA24"/>
      <c r="AB24"/>
      <c r="AC24"/>
      <c r="AD24"/>
      <c r="AE24"/>
      <c r="AF24"/>
      <c r="AG24"/>
      <c r="AH24"/>
      <c r="AI24"/>
      <c r="AJ24"/>
      <c r="AK24"/>
      <c r="AL24"/>
      <c r="AM24" t="s">
        <v>357</v>
      </c>
      <c r="AN24" t="s">
        <v>358</v>
      </c>
      <c r="AO24" t="s">
        <v>359</v>
      </c>
      <c r="AP24" t="s">
        <v>313</v>
      </c>
      <c r="AQ24">
        <v>2182493003</v>
      </c>
      <c r="AR24"/>
      <c r="AS24"/>
      <c r="AT24" t="s">
        <v>360</v>
      </c>
      <c r="AU24" t="s">
        <v>349</v>
      </c>
      <c r="AV24"/>
      <c r="AW24" t="s">
        <v>350</v>
      </c>
      <c r="AX24" t="s">
        <v>351</v>
      </c>
      <c r="AY24" t="s">
        <v>24</v>
      </c>
      <c r="AZ24" t="s">
        <v>903</v>
      </c>
      <c r="BA24" t="s">
        <v>904</v>
      </c>
      <c r="BB24"/>
      <c r="BC24"/>
      <c r="BD24"/>
      <c r="BE24"/>
      <c r="BF24"/>
      <c r="BG24"/>
      <c r="BH24"/>
      <c r="BI24"/>
      <c r="BJ24"/>
      <c r="BK24"/>
      <c r="BL24"/>
      <c r="BM24"/>
      <c r="BN24"/>
      <c r="BO24"/>
      <c r="BP24"/>
      <c r="BQ24" t="s">
        <v>361</v>
      </c>
      <c r="BR24" t="s">
        <v>362</v>
      </c>
      <c r="BS24" t="s">
        <v>363</v>
      </c>
      <c r="BT24" t="s">
        <v>313</v>
      </c>
      <c r="BU24">
        <v>2182496922</v>
      </c>
      <c r="BV24"/>
      <c r="BW24">
        <v>2182492472</v>
      </c>
      <c r="BX24" t="s">
        <v>364</v>
      </c>
      <c r="BY24" t="s">
        <v>349</v>
      </c>
      <c r="BZ24"/>
      <c r="CA24" t="s">
        <v>350</v>
      </c>
      <c r="CB24" t="s">
        <v>351</v>
      </c>
      <c r="CC24" t="s">
        <v>24</v>
      </c>
      <c r="CD24" t="s">
        <v>903</v>
      </c>
      <c r="CE24" t="s">
        <v>904</v>
      </c>
      <c r="CF24" t="s">
        <v>365</v>
      </c>
      <c r="CG24" t="s">
        <v>313</v>
      </c>
      <c r="CH24"/>
      <c r="CI24"/>
      <c r="CJ24"/>
      <c r="CK24"/>
      <c r="CL24"/>
      <c r="CM24">
        <v>1801835970</v>
      </c>
      <c r="CN24">
        <v>2806</v>
      </c>
      <c r="CO24"/>
      <c r="CP24">
        <v>2808</v>
      </c>
      <c r="CQ24"/>
      <c r="CR24">
        <v>2807</v>
      </c>
      <c r="CS24" t="s">
        <v>912</v>
      </c>
      <c r="CT24">
        <v>12</v>
      </c>
      <c r="CU24">
        <v>36</v>
      </c>
      <c r="CV24"/>
      <c r="CW24"/>
      <c r="CX24"/>
      <c r="CY24"/>
      <c r="CZ24"/>
      <c r="DA24"/>
      <c r="DB24"/>
      <c r="DC24"/>
      <c r="DD24">
        <v>31</v>
      </c>
      <c r="EW24" s="486">
        <v>31</v>
      </c>
    </row>
    <row r="25" spans="1:153" s="486" customFormat="1" ht="15" x14ac:dyDescent="0.25">
      <c r="A25" s="489">
        <v>1515</v>
      </c>
      <c r="B25" t="s">
        <v>316</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t="s">
        <v>316</v>
      </c>
      <c r="CH25"/>
      <c r="CI25"/>
      <c r="CJ25"/>
      <c r="CK25"/>
      <c r="CL25"/>
      <c r="CM25"/>
      <c r="CN25"/>
      <c r="CO25"/>
      <c r="CP25"/>
      <c r="CQ25"/>
      <c r="CR25"/>
      <c r="CS25"/>
      <c r="CT25"/>
      <c r="CU25">
        <v>99</v>
      </c>
      <c r="CV25"/>
      <c r="CW25"/>
      <c r="CX25"/>
      <c r="CY25"/>
      <c r="CZ25"/>
      <c r="DA25"/>
      <c r="DB25"/>
      <c r="DC25"/>
      <c r="DD25">
        <v>52</v>
      </c>
      <c r="EW25" s="486">
        <v>52</v>
      </c>
    </row>
    <row r="26" spans="1:153" s="486" customFormat="1" ht="15" x14ac:dyDescent="0.25">
      <c r="A26" s="489">
        <v>1516</v>
      </c>
      <c r="B26" t="s">
        <v>322</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t="s">
        <v>957</v>
      </c>
      <c r="CH26"/>
      <c r="CI26"/>
      <c r="CJ26"/>
      <c r="CK26"/>
      <c r="CL26"/>
      <c r="CM26"/>
      <c r="CN26"/>
      <c r="CO26"/>
      <c r="CP26"/>
      <c r="CQ26"/>
      <c r="CR26"/>
      <c r="CS26"/>
      <c r="CT26"/>
      <c r="CU26">
        <v>142</v>
      </c>
      <c r="CV26"/>
      <c r="CW26"/>
      <c r="CX26"/>
      <c r="CY26"/>
      <c r="CZ26"/>
      <c r="DA26"/>
      <c r="DB26"/>
      <c r="DC26"/>
      <c r="DD26">
        <v>187</v>
      </c>
      <c r="EW26" s="486">
        <v>56</v>
      </c>
    </row>
    <row r="27" spans="1:153" s="486" customFormat="1" ht="15" x14ac:dyDescent="0.25">
      <c r="A27" s="489">
        <v>1519</v>
      </c>
      <c r="B27" t="s">
        <v>377</v>
      </c>
      <c r="C27" t="s">
        <v>378</v>
      </c>
      <c r="D27"/>
      <c r="E27"/>
      <c r="F27"/>
      <c r="G27"/>
      <c r="H27"/>
      <c r="I27"/>
      <c r="J27" t="s">
        <v>418</v>
      </c>
      <c r="K27" t="s">
        <v>419</v>
      </c>
      <c r="L27" t="s">
        <v>420</v>
      </c>
      <c r="M27" t="s">
        <v>344</v>
      </c>
      <c r="N27" t="s">
        <v>24</v>
      </c>
      <c r="O27" t="s">
        <v>899</v>
      </c>
      <c r="P27"/>
      <c r="Q27"/>
      <c r="R27"/>
      <c r="S27" t="s">
        <v>379</v>
      </c>
      <c r="T27" t="s">
        <v>380</v>
      </c>
      <c r="U27" t="s">
        <v>421</v>
      </c>
      <c r="V27" t="s">
        <v>422</v>
      </c>
      <c r="W27" t="s">
        <v>423</v>
      </c>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t="s">
        <v>379</v>
      </c>
      <c r="BR27" t="s">
        <v>380</v>
      </c>
      <c r="BS27" t="s">
        <v>421</v>
      </c>
      <c r="BT27" t="s">
        <v>377</v>
      </c>
      <c r="BU27">
        <v>9525125639</v>
      </c>
      <c r="BV27"/>
      <c r="BW27">
        <v>9525125650</v>
      </c>
      <c r="BX27" t="s">
        <v>422</v>
      </c>
      <c r="BY27" t="s">
        <v>424</v>
      </c>
      <c r="BZ27"/>
      <c r="CA27"/>
      <c r="CB27"/>
      <c r="CC27"/>
      <c r="CD27"/>
      <c r="CE27"/>
      <c r="CF27" t="s">
        <v>425</v>
      </c>
      <c r="CG27" t="s">
        <v>377</v>
      </c>
      <c r="CH27" t="s">
        <v>53</v>
      </c>
      <c r="CI27"/>
      <c r="CJ27"/>
      <c r="CK27"/>
      <c r="CL27"/>
      <c r="CM27">
        <v>1164474250</v>
      </c>
      <c r="CN27">
        <v>130</v>
      </c>
      <c r="CO27"/>
      <c r="CP27"/>
      <c r="CQ27"/>
      <c r="CR27">
        <v>109</v>
      </c>
      <c r="CS27" t="s">
        <v>912</v>
      </c>
      <c r="CT27">
        <v>12</v>
      </c>
      <c r="CU27">
        <v>107</v>
      </c>
      <c r="CV27"/>
      <c r="CW27"/>
      <c r="CX27"/>
      <c r="CY27"/>
      <c r="CZ27"/>
      <c r="DA27"/>
      <c r="DB27"/>
      <c r="DC27"/>
      <c r="DD27">
        <v>89</v>
      </c>
      <c r="EW27" s="486">
        <v>89</v>
      </c>
    </row>
    <row r="28" spans="1:153" s="486" customFormat="1" ht="15" x14ac:dyDescent="0.25">
      <c r="G28" s="485"/>
      <c r="CM28" s="487"/>
      <c r="CN28" s="487"/>
    </row>
    <row r="29" spans="1:153" s="486" customFormat="1" ht="15" x14ac:dyDescent="0.25"/>
    <row r="31" spans="1:153" x14ac:dyDescent="0.2">
      <c r="CQ31" s="396"/>
    </row>
  </sheetData>
  <sheetProtection algorithmName="SHA-512" hashValue="o/wuGZaXONZ4IyxwZ4PdVEtH2BPSyc9BR3n2J4sSQRhM1IQe4YsKiRM+I2OCHclWTq4+2UUgwh2u3e81HLFRlQ==" saltValue="UHhrBFmcJd78BuOuUNOKtg==" spinCount="100000" sheet="1" objects="1" scenarios="1"/>
  <mergeCells count="1">
    <mergeCell ref="A1:C1"/>
  </mergeCells>
  <phoneticPr fontId="0" type="noConversion"/>
  <hyperlinks>
    <hyperlink ref="A3:A27" location="start" display="start" xr:uid="{C7A91DA5-B758-466B-942B-1BC4A5BF247D}"/>
  </hyperlinks>
  <printOptions horizontalCentered="1"/>
  <pageMargins left="0.75" right="0.75" top="1" bottom="1" header="0.5" footer="0.5"/>
  <pageSetup scale="63"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3"/>
  <sheetViews>
    <sheetView zoomScale="80" zoomScaleNormal="80" workbookViewId="0">
      <selection activeCell="H20" sqref="H20"/>
    </sheetView>
  </sheetViews>
  <sheetFormatPr defaultColWidth="8.85546875" defaultRowHeight="12.75" x14ac:dyDescent="0.2"/>
  <cols>
    <col min="1" max="1" width="8.85546875" style="52"/>
    <col min="2" max="2" width="41" style="52" customWidth="1"/>
    <col min="3" max="3" width="8.85546875" style="400"/>
    <col min="4" max="4" width="8.85546875" style="52"/>
    <col min="5" max="5" width="22.7109375" style="52" customWidth="1"/>
    <col min="6" max="6" width="8.85546875" style="400"/>
    <col min="7" max="7" width="36.42578125" style="48" customWidth="1"/>
    <col min="8" max="8" width="8.85546875" style="400"/>
    <col min="9" max="9" width="39.7109375" style="52" customWidth="1"/>
    <col min="10" max="10" width="8.85546875" style="400"/>
    <col min="11" max="12" width="8.85546875" style="52"/>
    <col min="13" max="13" width="27.7109375" style="401" customWidth="1"/>
    <col min="14" max="14" width="8.85546875" style="401"/>
    <col min="15" max="15" width="32.28515625" style="401" customWidth="1"/>
    <col min="16" max="16" width="8.85546875" style="401"/>
    <col min="17" max="16384" width="8.85546875" style="52"/>
  </cols>
  <sheetData>
    <row r="1" spans="2:19" x14ac:dyDescent="0.2">
      <c r="B1" s="399"/>
      <c r="D1" s="401"/>
      <c r="E1" s="402" t="s">
        <v>270</v>
      </c>
      <c r="S1" s="401"/>
    </row>
    <row r="2" spans="2:19" x14ac:dyDescent="0.2">
      <c r="D2" s="401"/>
      <c r="S2" s="401"/>
    </row>
    <row r="3" spans="2:19" x14ac:dyDescent="0.2">
      <c r="D3" s="401"/>
      <c r="S3" s="401"/>
    </row>
    <row r="4" spans="2:19" x14ac:dyDescent="0.2">
      <c r="B4" s="403"/>
      <c r="C4" s="404"/>
      <c r="D4" s="401"/>
      <c r="E4" s="405" t="s">
        <v>451</v>
      </c>
      <c r="F4" s="406"/>
      <c r="G4" s="407" t="s">
        <v>453</v>
      </c>
      <c r="H4" s="408"/>
      <c r="I4" s="409" t="s">
        <v>480</v>
      </c>
      <c r="J4" s="410"/>
      <c r="M4" s="411"/>
      <c r="N4" s="411"/>
      <c r="O4" s="411"/>
      <c r="P4" s="49"/>
      <c r="Q4" s="48"/>
      <c r="S4" s="401"/>
    </row>
    <row r="5" spans="2:19" x14ac:dyDescent="0.2">
      <c r="B5" s="412"/>
      <c r="C5" s="413"/>
      <c r="D5" s="401"/>
      <c r="E5" s="414" t="s">
        <v>84</v>
      </c>
      <c r="F5" s="415">
        <v>54</v>
      </c>
      <c r="G5" s="414" t="s">
        <v>455</v>
      </c>
      <c r="H5" s="416">
        <v>166</v>
      </c>
      <c r="I5" s="417" t="s">
        <v>466</v>
      </c>
      <c r="J5" s="416">
        <v>183</v>
      </c>
      <c r="K5" s="418"/>
      <c r="L5" s="418"/>
      <c r="M5" s="49"/>
      <c r="N5" s="58"/>
      <c r="O5" s="49"/>
      <c r="P5" s="49"/>
      <c r="Q5" s="48"/>
      <c r="S5" s="401"/>
    </row>
    <row r="6" spans="2:19" x14ac:dyDescent="0.2">
      <c r="B6" s="412"/>
      <c r="C6" s="413"/>
      <c r="D6" s="401"/>
      <c r="E6" s="414" t="s">
        <v>83</v>
      </c>
      <c r="F6" s="415">
        <v>58</v>
      </c>
      <c r="G6" s="414" t="s">
        <v>454</v>
      </c>
      <c r="H6" s="416">
        <v>167</v>
      </c>
      <c r="I6" s="419" t="s">
        <v>467</v>
      </c>
      <c r="J6" s="416">
        <v>184</v>
      </c>
      <c r="K6" s="418"/>
      <c r="L6" s="418"/>
      <c r="M6" s="49"/>
      <c r="N6" s="58"/>
      <c r="O6" s="49"/>
      <c r="P6" s="49"/>
      <c r="Q6" s="48"/>
      <c r="S6" s="401"/>
    </row>
    <row r="7" spans="2:19" x14ac:dyDescent="0.2">
      <c r="D7" s="401"/>
      <c r="E7" s="420" t="s">
        <v>495</v>
      </c>
      <c r="F7" s="415">
        <v>164</v>
      </c>
      <c r="G7" s="414" t="s">
        <v>502</v>
      </c>
      <c r="H7" s="416">
        <v>168</v>
      </c>
      <c r="I7" s="418" t="s">
        <v>509</v>
      </c>
      <c r="J7" s="416">
        <v>185</v>
      </c>
      <c r="K7" s="418"/>
      <c r="L7" s="418"/>
      <c r="M7" s="49"/>
      <c r="N7" s="58"/>
      <c r="O7" s="950"/>
      <c r="P7" s="58"/>
      <c r="Q7" s="48"/>
      <c r="S7" s="401"/>
    </row>
    <row r="8" spans="2:19" x14ac:dyDescent="0.2">
      <c r="D8" s="401"/>
      <c r="E8" s="414" t="s">
        <v>452</v>
      </c>
      <c r="F8" s="415">
        <v>165</v>
      </c>
      <c r="G8" s="414" t="s">
        <v>507</v>
      </c>
      <c r="H8" s="416">
        <v>169</v>
      </c>
      <c r="I8" s="419" t="s">
        <v>530</v>
      </c>
      <c r="J8" s="416">
        <v>63</v>
      </c>
      <c r="K8" s="417"/>
      <c r="L8" s="417"/>
      <c r="M8" s="49"/>
      <c r="N8" s="58"/>
      <c r="O8" s="950"/>
      <c r="P8" s="49"/>
      <c r="Q8" s="48"/>
      <c r="S8" s="401"/>
    </row>
    <row r="9" spans="2:19" x14ac:dyDescent="0.2">
      <c r="D9" s="401"/>
      <c r="E9" s="414" t="s">
        <v>429</v>
      </c>
      <c r="F9" s="415">
        <v>120</v>
      </c>
      <c r="G9" s="421" t="s">
        <v>456</v>
      </c>
      <c r="H9" s="422">
        <v>123</v>
      </c>
      <c r="I9" s="419" t="s">
        <v>522</v>
      </c>
      <c r="J9" s="416">
        <v>64</v>
      </c>
      <c r="K9" s="417"/>
      <c r="L9" s="417"/>
      <c r="M9" s="49"/>
      <c r="N9" s="58"/>
      <c r="O9" s="49"/>
      <c r="P9" s="49"/>
      <c r="Q9" s="48"/>
      <c r="S9" s="401"/>
    </row>
    <row r="10" spans="2:19" x14ac:dyDescent="0.2">
      <c r="B10" s="405" t="s">
        <v>547</v>
      </c>
      <c r="C10" s="408"/>
      <c r="D10" s="401"/>
      <c r="G10" s="421" t="s">
        <v>503</v>
      </c>
      <c r="H10" s="422">
        <v>170</v>
      </c>
      <c r="I10" s="423" t="s">
        <v>469</v>
      </c>
      <c r="J10" s="416">
        <v>53</v>
      </c>
      <c r="K10" s="417"/>
      <c r="L10" s="417"/>
      <c r="M10" s="49"/>
      <c r="N10" s="49"/>
      <c r="O10" s="49"/>
      <c r="P10" s="49"/>
      <c r="Q10" s="48"/>
      <c r="S10" s="401"/>
    </row>
    <row r="11" spans="2:19" x14ac:dyDescent="0.2">
      <c r="B11" s="52" t="s">
        <v>548</v>
      </c>
      <c r="C11" s="400">
        <v>200</v>
      </c>
      <c r="D11" s="401"/>
      <c r="G11" s="421"/>
      <c r="H11" s="422"/>
      <c r="I11" s="418" t="s">
        <v>470</v>
      </c>
      <c r="J11" s="416">
        <v>186</v>
      </c>
      <c r="M11" s="49"/>
      <c r="N11" s="49"/>
      <c r="O11" s="49"/>
      <c r="P11" s="49"/>
      <c r="Q11" s="48"/>
      <c r="S11" s="401"/>
    </row>
    <row r="12" spans="2:19" x14ac:dyDescent="0.2">
      <c r="B12" s="52" t="s">
        <v>549</v>
      </c>
      <c r="C12" s="400">
        <v>201</v>
      </c>
      <c r="D12" s="401"/>
      <c r="G12" s="424"/>
      <c r="H12" s="425"/>
      <c r="I12" s="423" t="s">
        <v>109</v>
      </c>
      <c r="J12" s="416">
        <v>57</v>
      </c>
      <c r="K12" s="417"/>
      <c r="L12" s="417"/>
      <c r="M12" s="411"/>
      <c r="N12" s="411"/>
      <c r="O12" s="411"/>
      <c r="P12" s="411"/>
      <c r="Q12" s="48"/>
      <c r="S12" s="401"/>
    </row>
    <row r="13" spans="2:19" x14ac:dyDescent="0.2">
      <c r="D13" s="401"/>
      <c r="G13" s="426"/>
      <c r="H13" s="427"/>
      <c r="I13" s="417" t="s">
        <v>499</v>
      </c>
      <c r="J13" s="416">
        <v>187</v>
      </c>
      <c r="K13" s="417"/>
      <c r="L13" s="417"/>
      <c r="M13" s="428"/>
      <c r="N13" s="49"/>
      <c r="O13" s="49"/>
      <c r="P13" s="49"/>
      <c r="Q13" s="48"/>
      <c r="S13" s="401"/>
    </row>
    <row r="14" spans="2:19" x14ac:dyDescent="0.2">
      <c r="B14" s="429" t="s">
        <v>550</v>
      </c>
      <c r="C14" s="408"/>
      <c r="D14" s="401"/>
      <c r="G14" s="430" t="s">
        <v>457</v>
      </c>
      <c r="H14" s="425"/>
      <c r="I14" s="418" t="s">
        <v>473</v>
      </c>
      <c r="J14" s="416">
        <v>188</v>
      </c>
      <c r="M14" s="428"/>
      <c r="N14" s="49"/>
      <c r="O14" s="49"/>
      <c r="P14" s="49"/>
      <c r="Q14" s="48"/>
      <c r="S14" s="401"/>
    </row>
    <row r="15" spans="2:19" x14ac:dyDescent="0.2">
      <c r="B15" s="401" t="s">
        <v>538</v>
      </c>
      <c r="C15" s="400">
        <v>55</v>
      </c>
      <c r="D15" s="401"/>
      <c r="G15" s="431" t="s">
        <v>511</v>
      </c>
      <c r="H15" s="425">
        <v>171</v>
      </c>
      <c r="I15" s="418" t="s">
        <v>472</v>
      </c>
      <c r="J15" s="416">
        <v>189</v>
      </c>
      <c r="M15" s="428"/>
      <c r="N15" s="49"/>
      <c r="O15" s="428"/>
      <c r="P15" s="58"/>
      <c r="Q15" s="48"/>
      <c r="S15" s="401"/>
    </row>
    <row r="16" spans="2:19" x14ac:dyDescent="0.2">
      <c r="B16" s="401" t="s">
        <v>536</v>
      </c>
      <c r="C16" s="400">
        <v>203</v>
      </c>
      <c r="D16" s="401"/>
      <c r="G16" s="414" t="s">
        <v>88</v>
      </c>
      <c r="H16" s="416">
        <v>92</v>
      </c>
      <c r="I16" s="419" t="s">
        <v>531</v>
      </c>
      <c r="J16" s="416">
        <v>59</v>
      </c>
      <c r="M16" s="49"/>
      <c r="N16" s="49"/>
      <c r="O16" s="49"/>
      <c r="P16" s="49"/>
      <c r="Q16" s="48"/>
      <c r="S16" s="401"/>
    </row>
    <row r="17" spans="1:19" x14ac:dyDescent="0.2">
      <c r="B17" s="401"/>
      <c r="D17" s="401"/>
      <c r="G17" s="432" t="s">
        <v>468</v>
      </c>
      <c r="H17" s="416">
        <v>93</v>
      </c>
      <c r="I17" s="419" t="s">
        <v>523</v>
      </c>
      <c r="J17" s="416">
        <v>60</v>
      </c>
      <c r="K17" s="418"/>
      <c r="L17" s="418"/>
      <c r="M17" s="49"/>
      <c r="N17" s="49"/>
      <c r="O17" s="49"/>
      <c r="P17" s="49"/>
      <c r="Q17" s="48"/>
      <c r="S17" s="401"/>
    </row>
    <row r="18" spans="1:19" x14ac:dyDescent="0.2">
      <c r="B18" s="433" t="s">
        <v>492</v>
      </c>
      <c r="C18" s="434"/>
      <c r="D18" s="401"/>
      <c r="G18" s="432" t="s">
        <v>497</v>
      </c>
      <c r="H18" s="416">
        <v>95</v>
      </c>
      <c r="I18" s="418" t="s">
        <v>475</v>
      </c>
      <c r="J18" s="416">
        <v>190</v>
      </c>
      <c r="K18" s="418"/>
      <c r="L18" s="418"/>
      <c r="M18" s="49"/>
      <c r="N18" s="49"/>
      <c r="O18" s="49"/>
      <c r="P18" s="49"/>
      <c r="Q18" s="48"/>
      <c r="S18" s="401"/>
    </row>
    <row r="19" spans="1:19" x14ac:dyDescent="0.2">
      <c r="B19" s="435" t="s">
        <v>485</v>
      </c>
      <c r="C19" s="413">
        <v>204</v>
      </c>
      <c r="D19" s="401"/>
      <c r="G19" s="432" t="s">
        <v>458</v>
      </c>
      <c r="H19" s="416">
        <v>94</v>
      </c>
      <c r="I19" s="52" t="s">
        <v>500</v>
      </c>
      <c r="J19" s="416">
        <v>191</v>
      </c>
      <c r="K19" s="418"/>
      <c r="L19" s="418"/>
      <c r="M19" s="49"/>
      <c r="N19" s="49"/>
      <c r="O19" s="49"/>
      <c r="P19" s="49"/>
      <c r="Q19" s="48"/>
      <c r="S19" s="401"/>
    </row>
    <row r="20" spans="1:19" x14ac:dyDescent="0.2">
      <c r="B20" s="435" t="s">
        <v>486</v>
      </c>
      <c r="C20" s="413">
        <v>205</v>
      </c>
      <c r="D20" s="401"/>
      <c r="G20" s="414" t="s">
        <v>471</v>
      </c>
      <c r="H20" s="416">
        <v>172</v>
      </c>
      <c r="I20" s="419" t="s">
        <v>105</v>
      </c>
      <c r="J20" s="416">
        <v>89</v>
      </c>
      <c r="K20" s="418"/>
      <c r="L20" s="418"/>
      <c r="M20" s="49"/>
      <c r="N20" s="49"/>
      <c r="O20" s="49"/>
      <c r="P20" s="49"/>
      <c r="Q20" s="48"/>
      <c r="S20" s="401"/>
    </row>
    <row r="21" spans="1:19" x14ac:dyDescent="0.2">
      <c r="B21" s="435" t="s">
        <v>487</v>
      </c>
      <c r="C21" s="413">
        <v>206</v>
      </c>
      <c r="D21" s="401"/>
      <c r="G21" s="414" t="s">
        <v>427</v>
      </c>
      <c r="H21" s="416">
        <v>56</v>
      </c>
      <c r="I21" s="419" t="s">
        <v>510</v>
      </c>
      <c r="J21" s="422">
        <v>192</v>
      </c>
      <c r="K21" s="418"/>
      <c r="L21" s="418"/>
      <c r="M21" s="49"/>
      <c r="N21" s="49"/>
      <c r="O21" s="49"/>
      <c r="P21" s="49"/>
      <c r="Q21" s="48"/>
      <c r="S21" s="401"/>
    </row>
    <row r="22" spans="1:19" x14ac:dyDescent="0.2">
      <c r="B22" s="435" t="s">
        <v>488</v>
      </c>
      <c r="C22" s="413">
        <v>207</v>
      </c>
      <c r="D22" s="401"/>
      <c r="G22" s="436" t="s">
        <v>428</v>
      </c>
      <c r="H22" s="416">
        <v>108</v>
      </c>
      <c r="I22" s="419" t="s">
        <v>524</v>
      </c>
      <c r="J22" s="416">
        <v>67</v>
      </c>
      <c r="K22" s="418"/>
      <c r="L22" s="418"/>
      <c r="O22" s="49"/>
      <c r="P22" s="49"/>
      <c r="Q22" s="48"/>
      <c r="S22" s="401"/>
    </row>
    <row r="23" spans="1:19" x14ac:dyDescent="0.2">
      <c r="B23" s="412"/>
      <c r="C23" s="413"/>
      <c r="D23" s="401"/>
      <c r="G23" s="432" t="s">
        <v>90</v>
      </c>
      <c r="H23" s="416">
        <v>97</v>
      </c>
      <c r="I23" s="419" t="s">
        <v>525</v>
      </c>
      <c r="J23" s="416">
        <v>68</v>
      </c>
      <c r="K23" s="418"/>
      <c r="L23" s="418"/>
      <c r="S23" s="401"/>
    </row>
    <row r="24" spans="1:19" x14ac:dyDescent="0.2">
      <c r="B24" s="412"/>
      <c r="C24" s="413"/>
      <c r="E24" s="399"/>
      <c r="F24" s="437"/>
      <c r="G24" s="432" t="s">
        <v>508</v>
      </c>
      <c r="H24" s="416">
        <v>173</v>
      </c>
      <c r="I24" s="418" t="s">
        <v>532</v>
      </c>
      <c r="J24" s="416">
        <v>61</v>
      </c>
      <c r="K24" s="418"/>
      <c r="L24" s="418"/>
    </row>
    <row r="25" spans="1:19" s="399" customFormat="1" x14ac:dyDescent="0.2">
      <c r="A25" s="403"/>
      <c r="B25" s="412"/>
      <c r="C25" s="413"/>
      <c r="E25" s="52"/>
      <c r="F25" s="400"/>
      <c r="G25" s="414" t="s">
        <v>91</v>
      </c>
      <c r="H25" s="416">
        <v>98</v>
      </c>
      <c r="I25" s="418" t="s">
        <v>526</v>
      </c>
      <c r="J25" s="416">
        <v>62</v>
      </c>
      <c r="K25" s="417"/>
      <c r="L25" s="417"/>
      <c r="M25" s="401"/>
      <c r="N25" s="401"/>
      <c r="O25" s="401"/>
      <c r="P25" s="401"/>
      <c r="Q25" s="52"/>
      <c r="R25" s="52"/>
    </row>
    <row r="26" spans="1:19" ht="13.15" customHeight="1" x14ac:dyDescent="0.2">
      <c r="A26" s="401"/>
      <c r="B26" s="438" t="s">
        <v>541</v>
      </c>
      <c r="C26" s="439"/>
      <c r="G26" s="414" t="s">
        <v>474</v>
      </c>
      <c r="H26" s="416">
        <v>174</v>
      </c>
      <c r="I26" s="418" t="s">
        <v>98</v>
      </c>
      <c r="J26" s="416">
        <v>102</v>
      </c>
      <c r="K26" s="401"/>
      <c r="L26" s="401"/>
    </row>
    <row r="27" spans="1:19" ht="27" customHeight="1" x14ac:dyDescent="0.2">
      <c r="A27" s="401"/>
      <c r="B27" s="440" t="s">
        <v>551</v>
      </c>
      <c r="C27" s="441">
        <v>208</v>
      </c>
      <c r="G27" s="414" t="s">
        <v>92</v>
      </c>
      <c r="H27" s="416">
        <v>100</v>
      </c>
      <c r="I27" s="418" t="s">
        <v>477</v>
      </c>
      <c r="J27" s="416">
        <v>193</v>
      </c>
      <c r="K27" s="401"/>
      <c r="L27" s="401"/>
    </row>
    <row r="28" spans="1:19" ht="27" customHeight="1" x14ac:dyDescent="0.2">
      <c r="A28" s="401"/>
      <c r="B28" s="440" t="s">
        <v>552</v>
      </c>
      <c r="C28" s="441">
        <v>209</v>
      </c>
      <c r="G28" s="432" t="s">
        <v>459</v>
      </c>
      <c r="H28" s="416">
        <v>175</v>
      </c>
      <c r="I28" s="418" t="s">
        <v>533</v>
      </c>
      <c r="J28" s="416">
        <v>65</v>
      </c>
      <c r="K28" s="401"/>
      <c r="L28" s="401"/>
    </row>
    <row r="29" spans="1:19" ht="13.15" customHeight="1" x14ac:dyDescent="0.2">
      <c r="A29" s="401"/>
      <c r="B29" s="440"/>
      <c r="C29" s="441"/>
      <c r="G29" s="432" t="s">
        <v>93</v>
      </c>
      <c r="H29" s="416">
        <v>101</v>
      </c>
      <c r="I29" s="418" t="s">
        <v>527</v>
      </c>
      <c r="J29" s="416">
        <v>66</v>
      </c>
      <c r="K29" s="401"/>
      <c r="L29" s="401"/>
    </row>
    <row r="30" spans="1:19" ht="13.15" customHeight="1" x14ac:dyDescent="0.2">
      <c r="A30" s="401"/>
      <c r="B30" s="438" t="s">
        <v>543</v>
      </c>
      <c r="C30" s="442"/>
      <c r="G30" s="432" t="s">
        <v>501</v>
      </c>
      <c r="H30" s="416">
        <v>176</v>
      </c>
      <c r="I30" s="419" t="s">
        <v>534</v>
      </c>
      <c r="J30" s="416">
        <v>69</v>
      </c>
      <c r="K30" s="428"/>
      <c r="L30" s="49"/>
      <c r="M30" s="428"/>
      <c r="N30" s="49"/>
    </row>
    <row r="31" spans="1:19" ht="30.6" customHeight="1" x14ac:dyDescent="0.2">
      <c r="A31" s="401"/>
      <c r="B31" s="443" t="s">
        <v>505</v>
      </c>
      <c r="C31" s="441">
        <v>210</v>
      </c>
      <c r="G31" s="432" t="s">
        <v>460</v>
      </c>
      <c r="H31" s="422">
        <v>105</v>
      </c>
      <c r="I31" s="419" t="s">
        <v>528</v>
      </c>
      <c r="J31" s="416">
        <v>70</v>
      </c>
      <c r="K31" s="428"/>
      <c r="L31" s="49"/>
      <c r="M31" s="428"/>
      <c r="N31" s="49"/>
    </row>
    <row r="32" spans="1:19" ht="30.6" customHeight="1" x14ac:dyDescent="0.2">
      <c r="A32" s="401"/>
      <c r="B32" s="443" t="s">
        <v>506</v>
      </c>
      <c r="C32" s="441">
        <v>211</v>
      </c>
      <c r="G32" s="432" t="s">
        <v>498</v>
      </c>
      <c r="H32" s="416">
        <v>177</v>
      </c>
      <c r="I32" s="418"/>
      <c r="J32" s="416"/>
      <c r="K32" s="428"/>
      <c r="L32" s="49"/>
      <c r="M32" s="428"/>
      <c r="N32" s="49"/>
    </row>
    <row r="33" spans="1:14" ht="13.15" customHeight="1" x14ac:dyDescent="0.2">
      <c r="A33" s="401"/>
      <c r="B33" s="412"/>
      <c r="C33" s="413"/>
      <c r="G33" s="432" t="s">
        <v>496</v>
      </c>
      <c r="H33" s="416">
        <v>178</v>
      </c>
      <c r="I33" s="418"/>
      <c r="J33" s="416"/>
      <c r="K33" s="428"/>
      <c r="L33" s="49"/>
      <c r="M33" s="428"/>
      <c r="N33" s="49"/>
    </row>
    <row r="34" spans="1:14" ht="13.15" customHeight="1" x14ac:dyDescent="0.2">
      <c r="A34" s="401"/>
      <c r="B34" s="444"/>
      <c r="C34" s="445"/>
      <c r="D34" s="401"/>
      <c r="G34" s="414" t="s">
        <v>476</v>
      </c>
      <c r="H34" s="416">
        <v>179</v>
      </c>
      <c r="I34" s="418"/>
      <c r="J34" s="416"/>
      <c r="K34" s="428"/>
      <c r="L34" s="49"/>
      <c r="M34" s="428"/>
      <c r="N34" s="49"/>
    </row>
    <row r="35" spans="1:14" ht="13.15" customHeight="1" x14ac:dyDescent="0.2">
      <c r="A35" s="401"/>
      <c r="B35" s="446"/>
      <c r="C35" s="447"/>
      <c r="D35" s="401"/>
      <c r="G35" s="432" t="s">
        <v>461</v>
      </c>
      <c r="H35" s="416">
        <v>180</v>
      </c>
      <c r="I35" s="418"/>
      <c r="J35" s="416"/>
      <c r="K35" s="428"/>
      <c r="L35" s="49"/>
      <c r="M35" s="428"/>
      <c r="N35" s="49"/>
    </row>
    <row r="36" spans="1:14" ht="13.15" customHeight="1" x14ac:dyDescent="0.2">
      <c r="A36" s="401"/>
      <c r="B36" s="446"/>
      <c r="C36" s="447"/>
      <c r="D36" s="401"/>
      <c r="G36" s="432" t="s">
        <v>462</v>
      </c>
      <c r="H36" s="416">
        <v>181</v>
      </c>
      <c r="I36" s="418"/>
      <c r="J36" s="416"/>
      <c r="K36" s="49"/>
      <c r="L36" s="49"/>
      <c r="M36" s="428"/>
      <c r="N36" s="49"/>
    </row>
    <row r="37" spans="1:14" x14ac:dyDescent="0.2">
      <c r="A37" s="401"/>
      <c r="B37" s="412"/>
      <c r="C37" s="413"/>
      <c r="G37" s="432" t="s">
        <v>463</v>
      </c>
      <c r="H37" s="416">
        <v>122</v>
      </c>
      <c r="I37" s="418"/>
      <c r="J37" s="416"/>
      <c r="K37" s="428"/>
      <c r="L37" s="49"/>
    </row>
    <row r="38" spans="1:14" ht="13.15" customHeight="1" x14ac:dyDescent="0.2">
      <c r="A38" s="401"/>
      <c r="B38" s="412"/>
      <c r="C38" s="413"/>
      <c r="G38" s="432" t="s">
        <v>430</v>
      </c>
      <c r="H38" s="416">
        <v>110</v>
      </c>
      <c r="I38" s="418"/>
      <c r="J38" s="416"/>
      <c r="K38" s="401"/>
      <c r="L38" s="401"/>
    </row>
    <row r="39" spans="1:14" ht="13.15" customHeight="1" x14ac:dyDescent="0.2">
      <c r="A39" s="401"/>
      <c r="B39" s="412"/>
      <c r="C39" s="413"/>
      <c r="G39" s="432" t="s">
        <v>99</v>
      </c>
      <c r="H39" s="416">
        <v>103</v>
      </c>
      <c r="I39" s="418"/>
      <c r="J39" s="416"/>
      <c r="K39" s="401"/>
      <c r="L39" s="401"/>
    </row>
    <row r="40" spans="1:14" ht="13.15" customHeight="1" x14ac:dyDescent="0.2">
      <c r="A40" s="401"/>
      <c r="B40" s="412"/>
      <c r="C40" s="413"/>
      <c r="G40" s="424" t="s">
        <v>100</v>
      </c>
      <c r="H40" s="425">
        <v>104</v>
      </c>
      <c r="I40" s="418"/>
      <c r="J40" s="416"/>
      <c r="K40" s="401"/>
      <c r="L40" s="401"/>
    </row>
    <row r="41" spans="1:14" ht="13.15" customHeight="1" x14ac:dyDescent="0.2">
      <c r="A41" s="401"/>
      <c r="B41" s="412"/>
      <c r="C41" s="413"/>
      <c r="G41" s="432" t="s">
        <v>464</v>
      </c>
      <c r="H41" s="416">
        <v>182</v>
      </c>
      <c r="I41" s="418"/>
      <c r="J41" s="416"/>
      <c r="K41" s="401"/>
      <c r="L41" s="401"/>
    </row>
    <row r="42" spans="1:14" x14ac:dyDescent="0.2">
      <c r="A42" s="401"/>
      <c r="B42" s="412"/>
      <c r="C42" s="413"/>
      <c r="G42" s="424"/>
      <c r="H42" s="425"/>
      <c r="J42" s="425"/>
      <c r="K42" s="428"/>
      <c r="L42" s="49"/>
    </row>
    <row r="43" spans="1:14" x14ac:dyDescent="0.2">
      <c r="A43" s="401"/>
      <c r="B43" s="412"/>
      <c r="C43" s="413"/>
      <c r="G43" s="424"/>
      <c r="H43" s="425"/>
      <c r="J43" s="425"/>
      <c r="K43" s="49"/>
      <c r="L43" s="49"/>
    </row>
    <row r="44" spans="1:14" x14ac:dyDescent="0.2">
      <c r="A44" s="401"/>
      <c r="B44" s="412"/>
      <c r="C44" s="413"/>
      <c r="G44" s="420"/>
      <c r="H44" s="425"/>
      <c r="I44" s="448"/>
      <c r="J44" s="449"/>
      <c r="K44" s="428"/>
      <c r="L44" s="401"/>
    </row>
    <row r="45" spans="1:14" ht="41.25" customHeight="1" x14ac:dyDescent="0.2">
      <c r="A45" s="401"/>
      <c r="B45" s="428"/>
      <c r="C45" s="450"/>
      <c r="G45" s="420"/>
      <c r="H45" s="425"/>
      <c r="I45" s="418"/>
      <c r="J45" s="416"/>
      <c r="K45" s="401"/>
      <c r="L45" s="401"/>
    </row>
    <row r="46" spans="1:14" x14ac:dyDescent="0.2">
      <c r="A46" s="401"/>
      <c r="B46" s="401"/>
      <c r="C46" s="450"/>
      <c r="G46" s="52"/>
      <c r="I46" s="418"/>
      <c r="J46" s="415"/>
      <c r="K46" s="401"/>
      <c r="L46" s="401"/>
    </row>
    <row r="47" spans="1:14" x14ac:dyDescent="0.2">
      <c r="A47" s="401"/>
      <c r="G47" s="52"/>
      <c r="I47" s="418"/>
      <c r="J47" s="415"/>
      <c r="K47" s="401"/>
      <c r="L47" s="401"/>
    </row>
    <row r="48" spans="1:14" x14ac:dyDescent="0.2">
      <c r="A48" s="401"/>
      <c r="G48" s="52"/>
      <c r="I48" s="418"/>
      <c r="J48" s="415"/>
      <c r="K48" s="401"/>
      <c r="L48" s="401"/>
    </row>
    <row r="49" spans="1:12" x14ac:dyDescent="0.2">
      <c r="A49" s="401"/>
      <c r="G49" s="52"/>
      <c r="I49" s="418"/>
      <c r="J49" s="415"/>
      <c r="K49" s="401"/>
      <c r="L49" s="401"/>
    </row>
    <row r="50" spans="1:12" x14ac:dyDescent="0.2">
      <c r="A50" s="401"/>
      <c r="G50" s="52"/>
      <c r="I50" s="418"/>
      <c r="J50" s="415"/>
      <c r="K50" s="401"/>
      <c r="L50" s="401"/>
    </row>
    <row r="51" spans="1:12" x14ac:dyDescent="0.2">
      <c r="A51" s="401"/>
      <c r="G51" s="52"/>
      <c r="I51" s="418"/>
      <c r="J51" s="415"/>
      <c r="K51" s="418"/>
      <c r="L51" s="418"/>
    </row>
    <row r="52" spans="1:12" ht="13.15" customHeight="1" x14ac:dyDescent="0.2">
      <c r="A52" s="401"/>
      <c r="G52" s="52"/>
      <c r="I52" s="418"/>
      <c r="J52" s="415"/>
      <c r="K52" s="418"/>
      <c r="L52" s="418"/>
    </row>
    <row r="53" spans="1:12" ht="13.15" customHeight="1" x14ac:dyDescent="0.2">
      <c r="A53" s="401"/>
      <c r="G53" s="52"/>
      <c r="I53" s="418"/>
      <c r="J53" s="415"/>
      <c r="K53" s="418"/>
      <c r="L53" s="418"/>
    </row>
    <row r="54" spans="1:12" ht="13.15" customHeight="1" x14ac:dyDescent="0.2">
      <c r="A54" s="401"/>
      <c r="G54" s="52"/>
      <c r="I54" s="418"/>
      <c r="J54" s="415"/>
      <c r="K54" s="418"/>
      <c r="L54" s="418"/>
    </row>
    <row r="55" spans="1:12" ht="14.45" customHeight="1" x14ac:dyDescent="0.2">
      <c r="A55" s="401"/>
      <c r="G55" s="52"/>
      <c r="I55" s="418"/>
      <c r="J55" s="415"/>
      <c r="K55" s="418"/>
      <c r="L55" s="418"/>
    </row>
    <row r="56" spans="1:12" x14ac:dyDescent="0.2">
      <c r="A56" s="401"/>
      <c r="G56" s="52"/>
      <c r="I56" s="418"/>
      <c r="J56" s="415"/>
      <c r="K56" s="418"/>
      <c r="L56" s="418"/>
    </row>
    <row r="57" spans="1:12" x14ac:dyDescent="0.2">
      <c r="G57" s="52"/>
      <c r="I57" s="418"/>
      <c r="J57" s="415"/>
      <c r="K57" s="418"/>
      <c r="L57" s="418"/>
    </row>
    <row r="58" spans="1:12" x14ac:dyDescent="0.2">
      <c r="G58" s="52"/>
      <c r="I58" s="418"/>
      <c r="J58" s="415"/>
      <c r="K58" s="418"/>
      <c r="L58" s="418"/>
    </row>
    <row r="59" spans="1:12" x14ac:dyDescent="0.2">
      <c r="G59" s="52"/>
      <c r="I59" s="418"/>
      <c r="J59" s="415"/>
      <c r="K59" s="418"/>
      <c r="L59" s="418"/>
    </row>
    <row r="60" spans="1:12" x14ac:dyDescent="0.2">
      <c r="G60" s="52"/>
      <c r="I60" s="418"/>
      <c r="J60" s="415"/>
      <c r="K60" s="417"/>
      <c r="L60" s="417"/>
    </row>
    <row r="61" spans="1:12" x14ac:dyDescent="0.2">
      <c r="G61" s="52"/>
      <c r="I61" s="418"/>
      <c r="J61" s="415"/>
      <c r="K61" s="418"/>
      <c r="L61" s="418"/>
    </row>
    <row r="62" spans="1:12" x14ac:dyDescent="0.2">
      <c r="G62" s="52"/>
      <c r="I62" s="418"/>
      <c r="J62" s="415"/>
      <c r="K62" s="418"/>
      <c r="L62" s="418"/>
    </row>
    <row r="63" spans="1:12" x14ac:dyDescent="0.2">
      <c r="G63" s="52"/>
      <c r="I63" s="418"/>
      <c r="J63" s="415"/>
      <c r="K63" s="418"/>
      <c r="L63" s="418"/>
    </row>
    <row r="64" spans="1:12" x14ac:dyDescent="0.2">
      <c r="G64" s="52"/>
      <c r="I64" s="418"/>
      <c r="J64" s="415"/>
      <c r="K64" s="418"/>
      <c r="L64" s="418"/>
    </row>
    <row r="65" spans="7:12" x14ac:dyDescent="0.2">
      <c r="G65" s="52"/>
      <c r="I65" s="417"/>
      <c r="J65" s="451"/>
      <c r="K65" s="418"/>
      <c r="L65" s="418"/>
    </row>
    <row r="66" spans="7:12" x14ac:dyDescent="0.2">
      <c r="G66" s="52"/>
      <c r="I66" s="418"/>
      <c r="J66" s="415"/>
      <c r="K66" s="418"/>
      <c r="L66" s="418"/>
    </row>
    <row r="67" spans="7:12" x14ac:dyDescent="0.2">
      <c r="G67" s="52"/>
      <c r="I67" s="418"/>
      <c r="J67" s="415"/>
      <c r="K67" s="418"/>
      <c r="L67" s="418"/>
    </row>
    <row r="68" spans="7:12" x14ac:dyDescent="0.2">
      <c r="G68" s="52"/>
      <c r="I68" s="418"/>
      <c r="J68" s="415"/>
      <c r="K68" s="418"/>
      <c r="L68" s="418"/>
    </row>
    <row r="69" spans="7:12" x14ac:dyDescent="0.2">
      <c r="G69" s="52"/>
      <c r="I69" s="418"/>
      <c r="J69" s="415"/>
    </row>
    <row r="70" spans="7:12" x14ac:dyDescent="0.2">
      <c r="I70" s="418"/>
      <c r="J70" s="415"/>
    </row>
    <row r="71" spans="7:12" x14ac:dyDescent="0.2">
      <c r="I71" s="418"/>
      <c r="J71" s="415"/>
    </row>
    <row r="72" spans="7:12" x14ac:dyDescent="0.2">
      <c r="I72" s="418"/>
      <c r="J72" s="415"/>
    </row>
    <row r="73" spans="7:12" x14ac:dyDescent="0.2">
      <c r="I73" s="418"/>
      <c r="J73" s="415"/>
    </row>
  </sheetData>
  <sheetProtection sheet="1"/>
  <mergeCells count="1">
    <mergeCell ref="O7:O8"/>
  </mergeCells>
  <dataValidations xWindow="465" yWindow="781" count="1">
    <dataValidation allowBlank="1" showInputMessage="1" showErrorMessage="1" promptTitle="Description" prompt="Please enter a brief Description of the Project" sqref="C44" xr:uid="{00000000-0002-0000-0A00-000000000000}"/>
  </dataValidations>
  <pageMargins left="0.75" right="0.75" top="1" bottom="1" header="0.5" footer="0.5"/>
  <pageSetup scale="67" orientation="landscape"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174"/>
  <sheetViews>
    <sheetView workbookViewId="0">
      <selection activeCell="A2" sqref="A2:F96"/>
    </sheetView>
  </sheetViews>
  <sheetFormatPr defaultRowHeight="12.75" x14ac:dyDescent="0.2"/>
  <cols>
    <col min="1" max="16384" width="9.140625" style="84"/>
  </cols>
  <sheetData>
    <row r="1" spans="1:9" s="453" customFormat="1" ht="33.75" customHeight="1" x14ac:dyDescent="0.2">
      <c r="A1" s="452" t="s">
        <v>66</v>
      </c>
      <c r="B1" s="452" t="s">
        <v>67</v>
      </c>
      <c r="C1" s="452" t="s">
        <v>68</v>
      </c>
      <c r="D1" s="452" t="s">
        <v>69</v>
      </c>
      <c r="E1" s="452" t="s">
        <v>70</v>
      </c>
      <c r="F1" s="452" t="s">
        <v>42</v>
      </c>
      <c r="I1" s="454" t="s">
        <v>270</v>
      </c>
    </row>
    <row r="2" spans="1:9" x14ac:dyDescent="0.2">
      <c r="A2" s="84">
        <f t="shared" ref="A2:A96" si="0">start</f>
        <v>0</v>
      </c>
      <c r="B2" s="84">
        <v>2022</v>
      </c>
      <c r="C2" s="84">
        <f>'Capital Expend Detail'!R68</f>
        <v>7594</v>
      </c>
      <c r="D2" s="85" t="str">
        <f>'Capital Expend Detail'!S68</f>
        <v>1</v>
      </c>
      <c r="E2" s="86">
        <v>71</v>
      </c>
      <c r="F2" s="84">
        <f>A2</f>
        <v>0</v>
      </c>
      <c r="G2" s="86" t="s">
        <v>113</v>
      </c>
    </row>
    <row r="3" spans="1:9" x14ac:dyDescent="0.2">
      <c r="A3" s="84">
        <f t="shared" si="0"/>
        <v>0</v>
      </c>
      <c r="B3" s="84">
        <v>2022</v>
      </c>
      <c r="C3" s="84">
        <f>'Capital Expend Detail'!R69</f>
        <v>7595</v>
      </c>
      <c r="D3" s="85" t="str">
        <f>'Capital Expend Detail'!S69</f>
        <v/>
      </c>
      <c r="E3" s="86">
        <v>71</v>
      </c>
      <c r="F3" s="84">
        <f>A3</f>
        <v>0</v>
      </c>
      <c r="G3" s="86" t="s">
        <v>113</v>
      </c>
    </row>
    <row r="4" spans="1:9" x14ac:dyDescent="0.2">
      <c r="A4" s="84">
        <f t="shared" si="0"/>
        <v>0</v>
      </c>
      <c r="B4" s="84">
        <v>2022</v>
      </c>
      <c r="C4" s="84">
        <f>'Capital Expend Detail'!R70</f>
        <v>7596</v>
      </c>
      <c r="D4" s="85" t="str">
        <f>'Capital Expend Detail'!S70</f>
        <v/>
      </c>
      <c r="E4" s="86">
        <v>71</v>
      </c>
      <c r="F4" s="84">
        <f t="shared" ref="F4:F70" si="1">A4</f>
        <v>0</v>
      </c>
      <c r="G4" s="86" t="s">
        <v>113</v>
      </c>
    </row>
    <row r="5" spans="1:9" x14ac:dyDescent="0.2">
      <c r="A5" s="84">
        <f t="shared" si="0"/>
        <v>0</v>
      </c>
      <c r="B5" s="84">
        <v>2022</v>
      </c>
      <c r="C5" s="86">
        <f>'Capital Expend Detail'!D$77</f>
        <v>7597</v>
      </c>
      <c r="D5" s="87" t="str">
        <f>IF(OR('Capital Expend Detail'!E$77=0,ISBLANK('Capital Expend Detail'!E$77)),"",'Capital Expend Detail'!E$77)</f>
        <v/>
      </c>
      <c r="E5" s="86">
        <v>71</v>
      </c>
      <c r="F5" s="84">
        <f t="shared" si="1"/>
        <v>0</v>
      </c>
      <c r="G5" s="86" t="s">
        <v>113</v>
      </c>
    </row>
    <row r="6" spans="1:9" x14ac:dyDescent="0.2">
      <c r="A6" s="84">
        <f t="shared" si="0"/>
        <v>0</v>
      </c>
      <c r="B6" s="84">
        <v>2022</v>
      </c>
      <c r="C6" s="86">
        <f>'Capital Expend Detail'!D$78</f>
        <v>7598</v>
      </c>
      <c r="D6" s="87" t="str">
        <f>IF(ISBLANK('Capital Expend Detail'!E$78),"",'Capital Expend Detail'!E$78)</f>
        <v/>
      </c>
      <c r="E6" s="86">
        <v>71</v>
      </c>
      <c r="F6" s="84">
        <f t="shared" si="1"/>
        <v>0</v>
      </c>
      <c r="G6" s="86" t="s">
        <v>113</v>
      </c>
    </row>
    <row r="7" spans="1:9" x14ac:dyDescent="0.2">
      <c r="A7" s="84">
        <f t="shared" si="0"/>
        <v>0</v>
      </c>
      <c r="B7" s="84">
        <v>2022</v>
      </c>
      <c r="C7" s="86">
        <f>'Capital Expend Detail'!D$79</f>
        <v>7599</v>
      </c>
      <c r="D7" s="87" t="str">
        <f>IF(ISBLANK('Capital Expend Detail'!E$79),"",'Capital Expend Detail'!E$79)</f>
        <v/>
      </c>
      <c r="E7" s="86">
        <v>71</v>
      </c>
      <c r="F7" s="84">
        <f t="shared" si="1"/>
        <v>0</v>
      </c>
      <c r="G7" s="86" t="s">
        <v>113</v>
      </c>
    </row>
    <row r="8" spans="1:9" x14ac:dyDescent="0.2">
      <c r="A8" s="84">
        <f t="shared" si="0"/>
        <v>0</v>
      </c>
      <c r="B8" s="84">
        <v>2022</v>
      </c>
      <c r="C8" s="86">
        <f>'Capital Expend Detail'!D$80</f>
        <v>7600</v>
      </c>
      <c r="D8" s="87" t="str">
        <f>IF(ISBLANK('Capital Expend Detail'!E$80),"",'Capital Expend Detail'!E$80)</f>
        <v/>
      </c>
      <c r="E8" s="86">
        <v>71</v>
      </c>
      <c r="F8" s="84">
        <f t="shared" si="1"/>
        <v>0</v>
      </c>
      <c r="G8" s="86" t="s">
        <v>113</v>
      </c>
    </row>
    <row r="9" spans="1:9" x14ac:dyDescent="0.2">
      <c r="A9" s="84">
        <f t="shared" si="0"/>
        <v>0</v>
      </c>
      <c r="B9" s="84">
        <v>2022</v>
      </c>
      <c r="C9" s="86">
        <v>7601</v>
      </c>
      <c r="D9" s="87" t="str">
        <f>IF(ISBLANK('Capital Expend Detail'!E$81),"",'Capital Expend Detail'!E$81)</f>
        <v/>
      </c>
      <c r="E9" s="86">
        <v>71</v>
      </c>
      <c r="F9" s="84">
        <f t="shared" si="1"/>
        <v>0</v>
      </c>
      <c r="G9" s="86" t="s">
        <v>113</v>
      </c>
    </row>
    <row r="10" spans="1:9" x14ac:dyDescent="0.2">
      <c r="A10" s="84">
        <f t="shared" si="0"/>
        <v>0</v>
      </c>
      <c r="B10" s="84">
        <v>2022</v>
      </c>
      <c r="C10" s="86">
        <f>'Capital Expend Detail'!D$82</f>
        <v>7602</v>
      </c>
      <c r="D10" s="87" t="str">
        <f>IF(ISBLANK('Capital Expend Detail'!E$82),"",'Capital Expend Detail'!E$82)</f>
        <v/>
      </c>
      <c r="E10" s="86">
        <v>71</v>
      </c>
      <c r="F10" s="84">
        <f t="shared" si="1"/>
        <v>0</v>
      </c>
      <c r="G10" s="86" t="s">
        <v>113</v>
      </c>
    </row>
    <row r="11" spans="1:9" x14ac:dyDescent="0.2">
      <c r="A11" s="84">
        <f t="shared" si="0"/>
        <v>0</v>
      </c>
      <c r="B11" s="84">
        <v>2022</v>
      </c>
      <c r="C11" s="86">
        <f>'Capital Expend Detail'!D$83</f>
        <v>7603</v>
      </c>
      <c r="D11" s="87" t="str">
        <f>IF(ISBLANK('Capital Expend Detail'!E$83),"",'Capital Expend Detail'!E$83)</f>
        <v/>
      </c>
      <c r="E11" s="86">
        <v>71</v>
      </c>
      <c r="F11" s="84">
        <f t="shared" si="1"/>
        <v>0</v>
      </c>
      <c r="G11" s="86" t="s">
        <v>113</v>
      </c>
    </row>
    <row r="12" spans="1:9" x14ac:dyDescent="0.2">
      <c r="A12" s="84">
        <f t="shared" si="0"/>
        <v>0</v>
      </c>
      <c r="B12" s="84">
        <v>2022</v>
      </c>
      <c r="C12" s="86">
        <f>'Capital Expend Detail'!D$84</f>
        <v>7604</v>
      </c>
      <c r="D12" s="87" t="str">
        <f>IF(ISBLANK('Capital Expend Detail'!E$84),"",'Capital Expend Detail'!E$84)</f>
        <v/>
      </c>
      <c r="E12" s="86">
        <v>71</v>
      </c>
      <c r="F12" s="84">
        <f t="shared" si="1"/>
        <v>0</v>
      </c>
      <c r="G12" s="86" t="s">
        <v>113</v>
      </c>
    </row>
    <row r="13" spans="1:9" x14ac:dyDescent="0.2">
      <c r="A13" s="84">
        <f t="shared" si="0"/>
        <v>0</v>
      </c>
      <c r="B13" s="84">
        <v>2022</v>
      </c>
      <c r="C13" s="86">
        <f>'Capital Expend Detail'!D$85</f>
        <v>7605</v>
      </c>
      <c r="D13" s="87" t="str">
        <f>IF(ISBLANK('Capital Expend Detail'!E$85),"",'Capital Expend Detail'!E$85)</f>
        <v/>
      </c>
      <c r="E13" s="86">
        <v>71</v>
      </c>
      <c r="F13" s="84">
        <f t="shared" si="1"/>
        <v>0</v>
      </c>
      <c r="G13" s="86" t="s">
        <v>113</v>
      </c>
    </row>
    <row r="14" spans="1:9" x14ac:dyDescent="0.2">
      <c r="A14" s="84">
        <f t="shared" si="0"/>
        <v>0</v>
      </c>
      <c r="B14" s="84">
        <v>2022</v>
      </c>
      <c r="C14" s="86">
        <f>'Capital Expend Detail'!D$86</f>
        <v>7606</v>
      </c>
      <c r="D14" s="87" t="str">
        <f>IF(ISBLANK('Capital Expend Detail'!E$86),"",'Capital Expend Detail'!E$86)</f>
        <v/>
      </c>
      <c r="E14" s="86">
        <v>71</v>
      </c>
      <c r="F14" s="84">
        <f t="shared" si="1"/>
        <v>0</v>
      </c>
      <c r="G14" s="86" t="s">
        <v>113</v>
      </c>
    </row>
    <row r="15" spans="1:9" x14ac:dyDescent="0.2">
      <c r="A15" s="84">
        <f t="shared" si="0"/>
        <v>0</v>
      </c>
      <c r="B15" s="84">
        <v>2022</v>
      </c>
      <c r="C15" s="86">
        <f>'Capital Expend Detail'!D$87</f>
        <v>7607</v>
      </c>
      <c r="D15" s="87" t="str">
        <f>IF(ISBLANK('Capital Expend Detail'!E$87),"",'Capital Expend Detail'!E$87)</f>
        <v/>
      </c>
      <c r="E15" s="86">
        <v>71</v>
      </c>
      <c r="F15" s="84">
        <f t="shared" si="1"/>
        <v>0</v>
      </c>
      <c r="G15" s="86" t="s">
        <v>113</v>
      </c>
    </row>
    <row r="16" spans="1:9" x14ac:dyDescent="0.2">
      <c r="A16" s="84">
        <f t="shared" si="0"/>
        <v>0</v>
      </c>
      <c r="B16" s="84">
        <v>2022</v>
      </c>
      <c r="C16" s="86">
        <f>'Capital Expend Detail'!D$88</f>
        <v>7608</v>
      </c>
      <c r="D16" s="87" t="str">
        <f>IF(ISBLANK('Capital Expend Detail'!E$88),"",'Capital Expend Detail'!E$88)</f>
        <v/>
      </c>
      <c r="E16" s="86">
        <v>71</v>
      </c>
      <c r="F16" s="84">
        <f t="shared" si="1"/>
        <v>0</v>
      </c>
      <c r="G16" s="86" t="s">
        <v>113</v>
      </c>
    </row>
    <row r="17" spans="1:7" x14ac:dyDescent="0.2">
      <c r="A17" s="84">
        <f t="shared" si="0"/>
        <v>0</v>
      </c>
      <c r="B17" s="84">
        <v>2022</v>
      </c>
      <c r="C17" s="86">
        <f>'Capital Expend Detail'!D$89</f>
        <v>7609</v>
      </c>
      <c r="D17" s="87" t="str">
        <f>IF(ISBLANK('Capital Expend Detail'!E$89),"",'Capital Expend Detail'!E$89)</f>
        <v/>
      </c>
      <c r="E17" s="86">
        <v>71</v>
      </c>
      <c r="F17" s="84">
        <f t="shared" si="1"/>
        <v>0</v>
      </c>
      <c r="G17" s="86" t="s">
        <v>113</v>
      </c>
    </row>
    <row r="18" spans="1:7" x14ac:dyDescent="0.2">
      <c r="A18" s="84">
        <f t="shared" si="0"/>
        <v>0</v>
      </c>
      <c r="B18" s="84">
        <v>2022</v>
      </c>
      <c r="C18" s="86">
        <f>'Capital Expend Detail'!D$90</f>
        <v>7610</v>
      </c>
      <c r="D18" s="87" t="str">
        <f>IF(OR('Capital Expend Detail'!E$90=0,ISBLANK('Capital Expend Detail'!E$90)),"",'Capital Expend Detail'!E$90)</f>
        <v/>
      </c>
      <c r="E18" s="86">
        <v>71</v>
      </c>
      <c r="F18" s="84">
        <f t="shared" si="1"/>
        <v>0</v>
      </c>
      <c r="G18" s="86" t="s">
        <v>113</v>
      </c>
    </row>
    <row r="19" spans="1:7" x14ac:dyDescent="0.2">
      <c r="A19" s="84">
        <f t="shared" si="0"/>
        <v>0</v>
      </c>
      <c r="B19" s="84">
        <v>2022</v>
      </c>
      <c r="C19" s="86">
        <f>'Capital Expend Detail'!D$91</f>
        <v>7611</v>
      </c>
      <c r="D19" s="87" t="str">
        <f>IF(ISBLANK('Capital Expend Detail'!E$91),"",'Capital Expend Detail'!E$91)</f>
        <v/>
      </c>
      <c r="E19" s="86">
        <v>71</v>
      </c>
      <c r="F19" s="84">
        <f t="shared" si="1"/>
        <v>0</v>
      </c>
      <c r="G19" s="86" t="s">
        <v>113</v>
      </c>
    </row>
    <row r="20" spans="1:7" x14ac:dyDescent="0.2">
      <c r="A20" s="84">
        <f t="shared" si="0"/>
        <v>0</v>
      </c>
      <c r="B20" s="84">
        <v>2022</v>
      </c>
      <c r="C20" s="86">
        <f>'Capital Expend Detail'!D$92</f>
        <v>7612</v>
      </c>
      <c r="D20" s="87" t="str">
        <f>IF(ISBLANK('Capital Expend Detail'!E$92),"",'Capital Expend Detail'!E$92)</f>
        <v/>
      </c>
      <c r="E20" s="86">
        <v>71</v>
      </c>
      <c r="F20" s="84">
        <f t="shared" si="1"/>
        <v>0</v>
      </c>
      <c r="G20" s="86" t="s">
        <v>113</v>
      </c>
    </row>
    <row r="21" spans="1:7" x14ac:dyDescent="0.2">
      <c r="A21" s="84">
        <f t="shared" si="0"/>
        <v>0</v>
      </c>
      <c r="B21" s="84">
        <v>2022</v>
      </c>
      <c r="C21" s="86">
        <f>'Capital Expend Detail'!D$93</f>
        <v>7613</v>
      </c>
      <c r="D21" s="87" t="str">
        <f>IF(ISBLANK('Capital Expend Detail'!E$93),"",'Capital Expend Detail'!E$93)</f>
        <v/>
      </c>
      <c r="E21" s="86">
        <v>71</v>
      </c>
      <c r="F21" s="84">
        <f t="shared" si="1"/>
        <v>0</v>
      </c>
      <c r="G21" s="86" t="s">
        <v>113</v>
      </c>
    </row>
    <row r="22" spans="1:7" x14ac:dyDescent="0.2">
      <c r="A22" s="84">
        <f t="shared" si="0"/>
        <v>0</v>
      </c>
      <c r="B22" s="84">
        <v>2022</v>
      </c>
      <c r="C22" s="86">
        <f>'Capital Expend Detail'!D$94</f>
        <v>7614</v>
      </c>
      <c r="D22" s="87" t="str">
        <f>IF(ISBLANK('Capital Expend Detail'!E$94),"",'Capital Expend Detail'!E$94)</f>
        <v/>
      </c>
      <c r="E22" s="86">
        <v>71</v>
      </c>
      <c r="F22" s="84">
        <f t="shared" si="1"/>
        <v>0</v>
      </c>
      <c r="G22" s="86" t="s">
        <v>113</v>
      </c>
    </row>
    <row r="23" spans="1:7" x14ac:dyDescent="0.2">
      <c r="A23" s="84">
        <f t="shared" si="0"/>
        <v>0</v>
      </c>
      <c r="B23" s="84">
        <v>2022</v>
      </c>
      <c r="C23" s="86">
        <f>'Capital Expend Detail'!D$95</f>
        <v>7615</v>
      </c>
      <c r="D23" s="87" t="str">
        <f>IF(OR('Capital Expend Detail'!E$95=0,ISBLANK('Capital Expend Detail'!E$95)),"",'Capital Expend Detail'!E$95)</f>
        <v/>
      </c>
      <c r="E23" s="86">
        <v>71</v>
      </c>
      <c r="F23" s="84">
        <f t="shared" si="1"/>
        <v>0</v>
      </c>
      <c r="G23" s="86" t="s">
        <v>113</v>
      </c>
    </row>
    <row r="24" spans="1:7" x14ac:dyDescent="0.2">
      <c r="A24" s="84">
        <f t="shared" si="0"/>
        <v>0</v>
      </c>
      <c r="B24" s="84">
        <v>2022</v>
      </c>
      <c r="C24" s="86">
        <f>'Capital Expend Detail'!D$96</f>
        <v>7616</v>
      </c>
      <c r="D24" s="87" t="str">
        <f>IF(ISBLANK('Capital Expend Detail'!E$96),"",'Capital Expend Detail'!E$96)</f>
        <v/>
      </c>
      <c r="E24" s="86">
        <v>71</v>
      </c>
      <c r="F24" s="84">
        <f t="shared" si="1"/>
        <v>0</v>
      </c>
      <c r="G24" s="86" t="s">
        <v>113</v>
      </c>
    </row>
    <row r="25" spans="1:7" x14ac:dyDescent="0.2">
      <c r="A25" s="84">
        <f t="shared" si="0"/>
        <v>0</v>
      </c>
      <c r="B25" s="84">
        <v>2022</v>
      </c>
      <c r="C25" s="86">
        <f>'Capital Expend Detail'!D$97</f>
        <v>7617</v>
      </c>
      <c r="D25" s="87" t="str">
        <f>IF(ISBLANK('Capital Expend Detail'!E$97),"",'Capital Expend Detail'!E$97)</f>
        <v/>
      </c>
      <c r="E25" s="86">
        <v>71</v>
      </c>
      <c r="F25" s="84">
        <f t="shared" si="1"/>
        <v>0</v>
      </c>
      <c r="G25" s="86" t="s">
        <v>113</v>
      </c>
    </row>
    <row r="26" spans="1:7" x14ac:dyDescent="0.2">
      <c r="A26" s="84">
        <f t="shared" si="0"/>
        <v>0</v>
      </c>
      <c r="B26" s="84">
        <v>2022</v>
      </c>
      <c r="C26" s="86">
        <f>'Capital Expend Detail'!D$98</f>
        <v>7618</v>
      </c>
      <c r="D26" s="87" t="str">
        <f>IF(ISBLANK('Capital Expend Detail'!E$98),"",'Capital Expend Detail'!E$98)</f>
        <v/>
      </c>
      <c r="E26" s="86">
        <v>71</v>
      </c>
      <c r="F26" s="84">
        <f t="shared" si="1"/>
        <v>0</v>
      </c>
      <c r="G26" s="86" t="s">
        <v>113</v>
      </c>
    </row>
    <row r="27" spans="1:7" x14ac:dyDescent="0.2">
      <c r="A27" s="84">
        <f t="shared" si="0"/>
        <v>0</v>
      </c>
      <c r="B27" s="84">
        <v>2022</v>
      </c>
      <c r="C27" s="86">
        <f>'Capital Expend Detail'!D$99</f>
        <v>7619</v>
      </c>
      <c r="D27" s="87" t="str">
        <f>IF(OR('Capital Expend Detail'!E$99=0,ISBLANK('Capital Expend Detail'!E$99)),"",'Capital Expend Detail'!E$99)</f>
        <v/>
      </c>
      <c r="E27" s="86">
        <v>71</v>
      </c>
      <c r="F27" s="84">
        <f t="shared" si="1"/>
        <v>0</v>
      </c>
      <c r="G27" s="86" t="s">
        <v>113</v>
      </c>
    </row>
    <row r="28" spans="1:7" x14ac:dyDescent="0.2">
      <c r="A28" s="84">
        <f t="shared" si="0"/>
        <v>0</v>
      </c>
      <c r="B28" s="84">
        <v>2022</v>
      </c>
      <c r="C28" s="86">
        <f>'Capital Expend Detail'!G77</f>
        <v>7620</v>
      </c>
      <c r="D28" s="87" t="str">
        <f>IF(OR('Capital Expend Detail'!H$77=0,ISBLANK('Capital Expend Detail'!H$77)),"",'Capital Expend Detail'!H$77)</f>
        <v/>
      </c>
      <c r="E28" s="86">
        <v>71</v>
      </c>
      <c r="F28" s="84">
        <f t="shared" si="1"/>
        <v>0</v>
      </c>
      <c r="G28" s="86" t="s">
        <v>113</v>
      </c>
    </row>
    <row r="29" spans="1:7" x14ac:dyDescent="0.2">
      <c r="A29" s="84">
        <f t="shared" si="0"/>
        <v>0</v>
      </c>
      <c r="B29" s="84">
        <v>2022</v>
      </c>
      <c r="C29" s="86">
        <f>'Capital Expend Detail'!G78</f>
        <v>7621</v>
      </c>
      <c r="D29" s="87" t="str">
        <f>IF(ISBLANK('Capital Expend Detail'!H$78),"",'Capital Expend Detail'!H$78)</f>
        <v/>
      </c>
      <c r="E29" s="86">
        <v>71</v>
      </c>
      <c r="F29" s="84">
        <f t="shared" si="1"/>
        <v>0</v>
      </c>
      <c r="G29" s="86" t="s">
        <v>113</v>
      </c>
    </row>
    <row r="30" spans="1:7" x14ac:dyDescent="0.2">
      <c r="A30" s="84">
        <f t="shared" si="0"/>
        <v>0</v>
      </c>
      <c r="B30" s="84">
        <v>2022</v>
      </c>
      <c r="C30" s="86">
        <f>'Capital Expend Detail'!G79</f>
        <v>7622</v>
      </c>
      <c r="D30" s="87" t="str">
        <f>IF(ISBLANK('Capital Expend Detail'!H$79),"",'Capital Expend Detail'!H$79)</f>
        <v/>
      </c>
      <c r="E30" s="86">
        <v>71</v>
      </c>
      <c r="F30" s="84">
        <f t="shared" si="1"/>
        <v>0</v>
      </c>
      <c r="G30" s="86" t="s">
        <v>113</v>
      </c>
    </row>
    <row r="31" spans="1:7" x14ac:dyDescent="0.2">
      <c r="A31" s="84">
        <f t="shared" si="0"/>
        <v>0</v>
      </c>
      <c r="B31" s="84">
        <v>2022</v>
      </c>
      <c r="C31" s="86">
        <f>'Capital Expend Detail'!G80</f>
        <v>7623</v>
      </c>
      <c r="D31" s="87" t="str">
        <f>IF(ISBLANK('Capital Expend Detail'!H$80),"",'Capital Expend Detail'!H$80)</f>
        <v/>
      </c>
      <c r="E31" s="86">
        <v>71</v>
      </c>
      <c r="F31" s="84">
        <f t="shared" si="1"/>
        <v>0</v>
      </c>
      <c r="G31" s="86" t="s">
        <v>113</v>
      </c>
    </row>
    <row r="32" spans="1:7" x14ac:dyDescent="0.2">
      <c r="A32" s="84">
        <f t="shared" si="0"/>
        <v>0</v>
      </c>
      <c r="B32" s="84">
        <v>2022</v>
      </c>
      <c r="C32" s="86">
        <v>7624</v>
      </c>
      <c r="D32" s="87" t="str">
        <f>IF(ISBLANK('Capital Expend Detail'!H$81),"",'Capital Expend Detail'!H$81)</f>
        <v/>
      </c>
      <c r="E32" s="86">
        <v>71</v>
      </c>
      <c r="F32" s="84">
        <f t="shared" si="1"/>
        <v>0</v>
      </c>
      <c r="G32" s="86" t="s">
        <v>113</v>
      </c>
    </row>
    <row r="33" spans="1:7" x14ac:dyDescent="0.2">
      <c r="A33" s="84">
        <f t="shared" si="0"/>
        <v>0</v>
      </c>
      <c r="B33" s="84">
        <v>2022</v>
      </c>
      <c r="C33" s="86">
        <f>'Capital Expend Detail'!G82</f>
        <v>7625</v>
      </c>
      <c r="D33" s="87" t="str">
        <f>IF(ISBLANK('Capital Expend Detail'!H$82),"",'Capital Expend Detail'!H$82)</f>
        <v/>
      </c>
      <c r="E33" s="86">
        <v>71</v>
      </c>
      <c r="F33" s="84">
        <f t="shared" si="1"/>
        <v>0</v>
      </c>
      <c r="G33" s="86" t="s">
        <v>113</v>
      </c>
    </row>
    <row r="34" spans="1:7" x14ac:dyDescent="0.2">
      <c r="A34" s="84">
        <f t="shared" si="0"/>
        <v>0</v>
      </c>
      <c r="B34" s="84">
        <v>2022</v>
      </c>
      <c r="C34" s="86">
        <f>'Capital Expend Detail'!G83</f>
        <v>7626</v>
      </c>
      <c r="D34" s="87" t="str">
        <f>IF(ISBLANK('Capital Expend Detail'!H$83),"",'Capital Expend Detail'!H$83)</f>
        <v/>
      </c>
      <c r="E34" s="86">
        <v>71</v>
      </c>
      <c r="F34" s="84">
        <f t="shared" si="1"/>
        <v>0</v>
      </c>
      <c r="G34" s="86" t="s">
        <v>113</v>
      </c>
    </row>
    <row r="35" spans="1:7" x14ac:dyDescent="0.2">
      <c r="A35" s="84">
        <f t="shared" si="0"/>
        <v>0</v>
      </c>
      <c r="B35" s="84">
        <v>2022</v>
      </c>
      <c r="C35" s="86">
        <f>'Capital Expend Detail'!G84</f>
        <v>7627</v>
      </c>
      <c r="D35" s="87" t="str">
        <f>IF(ISBLANK('Capital Expend Detail'!H$84),"",'Capital Expend Detail'!H$84)</f>
        <v/>
      </c>
      <c r="E35" s="86">
        <v>71</v>
      </c>
      <c r="F35" s="84">
        <f t="shared" si="1"/>
        <v>0</v>
      </c>
      <c r="G35" s="86" t="s">
        <v>113</v>
      </c>
    </row>
    <row r="36" spans="1:7" x14ac:dyDescent="0.2">
      <c r="A36" s="84">
        <f t="shared" si="0"/>
        <v>0</v>
      </c>
      <c r="B36" s="84">
        <v>2022</v>
      </c>
      <c r="C36" s="86">
        <f>'Capital Expend Detail'!G85</f>
        <v>7628</v>
      </c>
      <c r="D36" s="87" t="str">
        <f>IF(ISBLANK('Capital Expend Detail'!H$85),"",'Capital Expend Detail'!H$85)</f>
        <v/>
      </c>
      <c r="E36" s="86">
        <v>71</v>
      </c>
      <c r="F36" s="84">
        <f t="shared" si="1"/>
        <v>0</v>
      </c>
      <c r="G36" s="86" t="s">
        <v>113</v>
      </c>
    </row>
    <row r="37" spans="1:7" x14ac:dyDescent="0.2">
      <c r="A37" s="84">
        <f t="shared" si="0"/>
        <v>0</v>
      </c>
      <c r="B37" s="84">
        <v>2022</v>
      </c>
      <c r="C37" s="86">
        <f>'Capital Expend Detail'!G86</f>
        <v>7629</v>
      </c>
      <c r="D37" s="87" t="str">
        <f>IF(ISBLANK('Capital Expend Detail'!H$86),"",'Capital Expend Detail'!H$86)</f>
        <v/>
      </c>
      <c r="E37" s="86">
        <v>71</v>
      </c>
      <c r="F37" s="84">
        <f t="shared" si="1"/>
        <v>0</v>
      </c>
      <c r="G37" s="86" t="s">
        <v>113</v>
      </c>
    </row>
    <row r="38" spans="1:7" x14ac:dyDescent="0.2">
      <c r="A38" s="84">
        <f t="shared" si="0"/>
        <v>0</v>
      </c>
      <c r="B38" s="84">
        <v>2022</v>
      </c>
      <c r="C38" s="86">
        <f>'Capital Expend Detail'!G87</f>
        <v>7630</v>
      </c>
      <c r="D38" s="87" t="str">
        <f>IF(ISBLANK('Capital Expend Detail'!H$87),"",'Capital Expend Detail'!H$87)</f>
        <v/>
      </c>
      <c r="E38" s="86">
        <v>71</v>
      </c>
      <c r="F38" s="84">
        <f t="shared" si="1"/>
        <v>0</v>
      </c>
      <c r="G38" s="86" t="s">
        <v>113</v>
      </c>
    </row>
    <row r="39" spans="1:7" x14ac:dyDescent="0.2">
      <c r="A39" s="84">
        <f t="shared" si="0"/>
        <v>0</v>
      </c>
      <c r="B39" s="84">
        <v>2022</v>
      </c>
      <c r="C39" s="86">
        <f>'Capital Expend Detail'!G88</f>
        <v>7631</v>
      </c>
      <c r="D39" s="87" t="str">
        <f>IF(ISBLANK('Capital Expend Detail'!H$88),"",'Capital Expend Detail'!H$88)</f>
        <v/>
      </c>
      <c r="E39" s="86">
        <v>71</v>
      </c>
      <c r="F39" s="84">
        <f t="shared" si="1"/>
        <v>0</v>
      </c>
      <c r="G39" s="86" t="s">
        <v>113</v>
      </c>
    </row>
    <row r="40" spans="1:7" x14ac:dyDescent="0.2">
      <c r="A40" s="84">
        <f t="shared" si="0"/>
        <v>0</v>
      </c>
      <c r="B40" s="84">
        <v>2022</v>
      </c>
      <c r="C40" s="86">
        <f>'Capital Expend Detail'!G89</f>
        <v>7632</v>
      </c>
      <c r="D40" s="87" t="str">
        <f>IF(ISBLANK('Capital Expend Detail'!H$89),"",'Capital Expend Detail'!H$89)</f>
        <v/>
      </c>
      <c r="E40" s="86">
        <v>71</v>
      </c>
      <c r="F40" s="84">
        <f t="shared" si="1"/>
        <v>0</v>
      </c>
      <c r="G40" s="86" t="s">
        <v>113</v>
      </c>
    </row>
    <row r="41" spans="1:7" x14ac:dyDescent="0.2">
      <c r="A41" s="84">
        <f t="shared" si="0"/>
        <v>0</v>
      </c>
      <c r="B41" s="84">
        <v>2022</v>
      </c>
      <c r="C41" s="86">
        <f>'Capital Expend Detail'!G90</f>
        <v>7633</v>
      </c>
      <c r="D41" s="87" t="str">
        <f>IF(OR('Capital Expend Detail'!H$90=0,ISBLANK('Capital Expend Detail'!H$90)),"",'Capital Expend Detail'!H$90)</f>
        <v/>
      </c>
      <c r="E41" s="86">
        <v>71</v>
      </c>
      <c r="F41" s="84">
        <f t="shared" si="1"/>
        <v>0</v>
      </c>
      <c r="G41" s="86" t="s">
        <v>113</v>
      </c>
    </row>
    <row r="42" spans="1:7" x14ac:dyDescent="0.2">
      <c r="A42" s="84">
        <f t="shared" si="0"/>
        <v>0</v>
      </c>
      <c r="B42" s="84">
        <v>2022</v>
      </c>
      <c r="C42" s="86">
        <f>'Capital Expend Detail'!G91</f>
        <v>7634</v>
      </c>
      <c r="D42" s="87" t="str">
        <f>IF(ISBLANK('Capital Expend Detail'!H$91),"",'Capital Expend Detail'!H$91)</f>
        <v/>
      </c>
      <c r="E42" s="86">
        <v>71</v>
      </c>
      <c r="F42" s="84">
        <f t="shared" si="1"/>
        <v>0</v>
      </c>
      <c r="G42" s="86" t="s">
        <v>113</v>
      </c>
    </row>
    <row r="43" spans="1:7" x14ac:dyDescent="0.2">
      <c r="A43" s="84">
        <f t="shared" si="0"/>
        <v>0</v>
      </c>
      <c r="B43" s="84">
        <v>2022</v>
      </c>
      <c r="C43" s="86">
        <f>'Capital Expend Detail'!G92</f>
        <v>7635</v>
      </c>
      <c r="D43" s="87" t="str">
        <f>IF(ISBLANK('Capital Expend Detail'!H$92),"",'Capital Expend Detail'!H$92)</f>
        <v/>
      </c>
      <c r="E43" s="86">
        <v>71</v>
      </c>
      <c r="F43" s="84">
        <f t="shared" si="1"/>
        <v>0</v>
      </c>
      <c r="G43" s="86" t="s">
        <v>113</v>
      </c>
    </row>
    <row r="44" spans="1:7" x14ac:dyDescent="0.2">
      <c r="A44" s="84">
        <f t="shared" si="0"/>
        <v>0</v>
      </c>
      <c r="B44" s="84">
        <v>2022</v>
      </c>
      <c r="C44" s="86">
        <f>'Capital Expend Detail'!G93</f>
        <v>7636</v>
      </c>
      <c r="D44" s="87" t="str">
        <f>IF(ISBLANK('Capital Expend Detail'!H$93),"",'Capital Expend Detail'!H$93)</f>
        <v/>
      </c>
      <c r="E44" s="86">
        <v>71</v>
      </c>
      <c r="F44" s="84">
        <f t="shared" si="1"/>
        <v>0</v>
      </c>
      <c r="G44" s="86" t="s">
        <v>113</v>
      </c>
    </row>
    <row r="45" spans="1:7" x14ac:dyDescent="0.2">
      <c r="A45" s="84">
        <f t="shared" si="0"/>
        <v>0</v>
      </c>
      <c r="B45" s="84">
        <v>2022</v>
      </c>
      <c r="C45" s="86">
        <f>'Capital Expend Detail'!G94</f>
        <v>7637</v>
      </c>
      <c r="D45" s="87" t="str">
        <f>IF(ISBLANK('Capital Expend Detail'!H$94),"",'Capital Expend Detail'!H$94)</f>
        <v/>
      </c>
      <c r="E45" s="86">
        <v>71</v>
      </c>
      <c r="F45" s="84">
        <f t="shared" si="1"/>
        <v>0</v>
      </c>
      <c r="G45" s="86" t="s">
        <v>113</v>
      </c>
    </row>
    <row r="46" spans="1:7" x14ac:dyDescent="0.2">
      <c r="A46" s="84">
        <f t="shared" si="0"/>
        <v>0</v>
      </c>
      <c r="B46" s="84">
        <v>2022</v>
      </c>
      <c r="C46" s="86">
        <f>'Capital Expend Detail'!G95</f>
        <v>7638</v>
      </c>
      <c r="D46" s="87" t="str">
        <f>IF(OR('Capital Expend Detail'!H$95=0,ISBLANK('Capital Expend Detail'!H$95)),"",'Capital Expend Detail'!H$95)</f>
        <v/>
      </c>
      <c r="E46" s="86">
        <v>71</v>
      </c>
      <c r="F46" s="84">
        <f t="shared" si="1"/>
        <v>0</v>
      </c>
      <c r="G46" s="86" t="s">
        <v>113</v>
      </c>
    </row>
    <row r="47" spans="1:7" x14ac:dyDescent="0.2">
      <c r="A47" s="84">
        <f t="shared" si="0"/>
        <v>0</v>
      </c>
      <c r="B47" s="84">
        <v>2022</v>
      </c>
      <c r="C47" s="86">
        <f>'Capital Expend Detail'!G96</f>
        <v>7639</v>
      </c>
      <c r="D47" s="87" t="str">
        <f>IF(ISBLANK('Capital Expend Detail'!H$96),"",'Capital Expend Detail'!H$96)</f>
        <v/>
      </c>
      <c r="E47" s="86">
        <v>71</v>
      </c>
      <c r="F47" s="84">
        <f t="shared" si="1"/>
        <v>0</v>
      </c>
      <c r="G47" s="86" t="s">
        <v>113</v>
      </c>
    </row>
    <row r="48" spans="1:7" x14ac:dyDescent="0.2">
      <c r="A48" s="84">
        <f t="shared" si="0"/>
        <v>0</v>
      </c>
      <c r="B48" s="84">
        <v>2022</v>
      </c>
      <c r="C48" s="86">
        <f>'Capital Expend Detail'!G97</f>
        <v>7640</v>
      </c>
      <c r="D48" s="87" t="str">
        <f>IF(ISBLANK('Capital Expend Detail'!H$97),"",'Capital Expend Detail'!H$97)</f>
        <v/>
      </c>
      <c r="E48" s="86">
        <v>71</v>
      </c>
      <c r="F48" s="84">
        <f t="shared" si="1"/>
        <v>0</v>
      </c>
      <c r="G48" s="86" t="s">
        <v>113</v>
      </c>
    </row>
    <row r="49" spans="1:7" x14ac:dyDescent="0.2">
      <c r="A49" s="84">
        <f t="shared" si="0"/>
        <v>0</v>
      </c>
      <c r="B49" s="84">
        <v>2022</v>
      </c>
      <c r="C49" s="86">
        <f>'Capital Expend Detail'!G98</f>
        <v>7641</v>
      </c>
      <c r="D49" s="87" t="str">
        <f>IF(ISBLANK('Capital Expend Detail'!H$98),"",'Capital Expend Detail'!H$98)</f>
        <v/>
      </c>
      <c r="E49" s="86">
        <v>71</v>
      </c>
      <c r="F49" s="84">
        <f t="shared" si="1"/>
        <v>0</v>
      </c>
      <c r="G49" s="86" t="s">
        <v>113</v>
      </c>
    </row>
    <row r="50" spans="1:7" x14ac:dyDescent="0.2">
      <c r="A50" s="84">
        <f t="shared" si="0"/>
        <v>0</v>
      </c>
      <c r="B50" s="84">
        <v>2022</v>
      </c>
      <c r="C50" s="86">
        <f>'Capital Expend Detail'!G99</f>
        <v>7642</v>
      </c>
      <c r="D50" s="87" t="str">
        <f>IF(OR('Capital Expend Detail'!H$99=0,ISBLANK('Capital Expend Detail'!H$99)),"",'Capital Expend Detail'!H$99)</f>
        <v/>
      </c>
      <c r="E50" s="86">
        <v>71</v>
      </c>
      <c r="F50" s="84">
        <f t="shared" si="1"/>
        <v>0</v>
      </c>
      <c r="G50" s="86" t="s">
        <v>113</v>
      </c>
    </row>
    <row r="51" spans="1:7" x14ac:dyDescent="0.2">
      <c r="A51" s="84">
        <f t="shared" si="0"/>
        <v>0</v>
      </c>
      <c r="B51" s="84">
        <v>2022</v>
      </c>
      <c r="C51" s="86">
        <f>'Capital Expend Detail'!J$77</f>
        <v>7643</v>
      </c>
      <c r="D51" s="85" t="str">
        <f>IF(OR('Capital Expend Detail'!K$77=0,ISBLANK('Capital Expend Detail'!K$77)),"",'Capital Expend Detail'!K$77)</f>
        <v/>
      </c>
      <c r="E51" s="86">
        <v>71</v>
      </c>
      <c r="F51" s="84">
        <f t="shared" si="1"/>
        <v>0</v>
      </c>
      <c r="G51" s="86" t="s">
        <v>113</v>
      </c>
    </row>
    <row r="52" spans="1:7" x14ac:dyDescent="0.2">
      <c r="A52" s="84">
        <f t="shared" si="0"/>
        <v>0</v>
      </c>
      <c r="B52" s="84">
        <v>2022</v>
      </c>
      <c r="C52" s="86">
        <f>'Capital Expend Detail'!J$78</f>
        <v>7644</v>
      </c>
      <c r="D52" s="85" t="str">
        <f>IF(ISBLANK('Capital Expend Detail'!K$78),"",'Capital Expend Detail'!K$78)</f>
        <v/>
      </c>
      <c r="E52" s="86">
        <v>71</v>
      </c>
      <c r="F52" s="84">
        <f t="shared" si="1"/>
        <v>0</v>
      </c>
      <c r="G52" s="86" t="s">
        <v>113</v>
      </c>
    </row>
    <row r="53" spans="1:7" x14ac:dyDescent="0.2">
      <c r="A53" s="84">
        <f t="shared" si="0"/>
        <v>0</v>
      </c>
      <c r="B53" s="84">
        <v>2022</v>
      </c>
      <c r="C53" s="86">
        <f>'Capital Expend Detail'!J$79</f>
        <v>7645</v>
      </c>
      <c r="D53" s="85" t="str">
        <f>IF(ISBLANK('Capital Expend Detail'!K$79),"",'Capital Expend Detail'!K$79)</f>
        <v/>
      </c>
      <c r="E53" s="86">
        <v>71</v>
      </c>
      <c r="F53" s="84">
        <f t="shared" si="1"/>
        <v>0</v>
      </c>
      <c r="G53" s="86" t="s">
        <v>113</v>
      </c>
    </row>
    <row r="54" spans="1:7" x14ac:dyDescent="0.2">
      <c r="A54" s="84">
        <f t="shared" si="0"/>
        <v>0</v>
      </c>
      <c r="B54" s="84">
        <v>2022</v>
      </c>
      <c r="C54" s="86">
        <f>'Capital Expend Detail'!J$80</f>
        <v>7646</v>
      </c>
      <c r="D54" s="85" t="str">
        <f>IF(ISBLANK('Capital Expend Detail'!K$80),"",'Capital Expend Detail'!K$80)</f>
        <v/>
      </c>
      <c r="E54" s="86">
        <v>71</v>
      </c>
      <c r="F54" s="84">
        <f t="shared" si="1"/>
        <v>0</v>
      </c>
      <c r="G54" s="86" t="s">
        <v>113</v>
      </c>
    </row>
    <row r="55" spans="1:7" x14ac:dyDescent="0.2">
      <c r="A55" s="84">
        <f t="shared" si="0"/>
        <v>0</v>
      </c>
      <c r="B55" s="84">
        <v>2022</v>
      </c>
      <c r="C55" s="86">
        <v>7647</v>
      </c>
      <c r="D55" s="85" t="str">
        <f>IF(ISBLANK('Capital Expend Detail'!K$81),"",'Capital Expend Detail'!K$81)</f>
        <v/>
      </c>
      <c r="E55" s="86">
        <v>71</v>
      </c>
      <c r="F55" s="84">
        <f t="shared" si="1"/>
        <v>0</v>
      </c>
      <c r="G55" s="86" t="s">
        <v>113</v>
      </c>
    </row>
    <row r="56" spans="1:7" x14ac:dyDescent="0.2">
      <c r="A56" s="84">
        <f t="shared" si="0"/>
        <v>0</v>
      </c>
      <c r="B56" s="84">
        <v>2022</v>
      </c>
      <c r="C56" s="86">
        <f>'Capital Expend Detail'!J$82</f>
        <v>7648</v>
      </c>
      <c r="D56" s="85" t="str">
        <f>IF(ISBLANK('Capital Expend Detail'!K$82),"",'Capital Expend Detail'!K$82)</f>
        <v/>
      </c>
      <c r="E56" s="86">
        <v>71</v>
      </c>
      <c r="F56" s="84">
        <f t="shared" si="1"/>
        <v>0</v>
      </c>
      <c r="G56" s="86" t="s">
        <v>113</v>
      </c>
    </row>
    <row r="57" spans="1:7" x14ac:dyDescent="0.2">
      <c r="A57" s="84">
        <f t="shared" si="0"/>
        <v>0</v>
      </c>
      <c r="B57" s="84">
        <v>2022</v>
      </c>
      <c r="C57" s="86">
        <f>'Capital Expend Detail'!J$83</f>
        <v>7649</v>
      </c>
      <c r="D57" s="85" t="str">
        <f>IF(ISBLANK('Capital Expend Detail'!K$83),"",'Capital Expend Detail'!K$83)</f>
        <v/>
      </c>
      <c r="E57" s="86">
        <v>71</v>
      </c>
      <c r="F57" s="84">
        <f t="shared" si="1"/>
        <v>0</v>
      </c>
      <c r="G57" s="86" t="s">
        <v>113</v>
      </c>
    </row>
    <row r="58" spans="1:7" x14ac:dyDescent="0.2">
      <c r="A58" s="84">
        <f t="shared" si="0"/>
        <v>0</v>
      </c>
      <c r="B58" s="84">
        <v>2022</v>
      </c>
      <c r="C58" s="86">
        <f>'Capital Expend Detail'!J$84</f>
        <v>7650</v>
      </c>
      <c r="D58" s="85" t="str">
        <f>IF(ISBLANK('Capital Expend Detail'!K$84),"",'Capital Expend Detail'!K$84)</f>
        <v/>
      </c>
      <c r="E58" s="86">
        <v>71</v>
      </c>
      <c r="F58" s="84">
        <f t="shared" si="1"/>
        <v>0</v>
      </c>
      <c r="G58" s="86" t="s">
        <v>113</v>
      </c>
    </row>
    <row r="59" spans="1:7" x14ac:dyDescent="0.2">
      <c r="A59" s="84">
        <f t="shared" si="0"/>
        <v>0</v>
      </c>
      <c r="B59" s="84">
        <v>2022</v>
      </c>
      <c r="C59" s="86">
        <f>'Capital Expend Detail'!J$85</f>
        <v>7651</v>
      </c>
      <c r="D59" s="85" t="str">
        <f>IF(ISBLANK('Capital Expend Detail'!K$85),"",'Capital Expend Detail'!K$85)</f>
        <v/>
      </c>
      <c r="E59" s="86">
        <v>71</v>
      </c>
      <c r="F59" s="84">
        <f t="shared" si="1"/>
        <v>0</v>
      </c>
      <c r="G59" s="86" t="s">
        <v>113</v>
      </c>
    </row>
    <row r="60" spans="1:7" x14ac:dyDescent="0.2">
      <c r="A60" s="84">
        <f t="shared" si="0"/>
        <v>0</v>
      </c>
      <c r="B60" s="84">
        <v>2022</v>
      </c>
      <c r="C60" s="86">
        <f>'Capital Expend Detail'!J$86</f>
        <v>7652</v>
      </c>
      <c r="D60" s="85" t="str">
        <f>IF(ISBLANK('Capital Expend Detail'!K$86),"",'Capital Expend Detail'!K$86)</f>
        <v/>
      </c>
      <c r="E60" s="86">
        <v>71</v>
      </c>
      <c r="F60" s="84">
        <f t="shared" si="1"/>
        <v>0</v>
      </c>
      <c r="G60" s="86" t="s">
        <v>113</v>
      </c>
    </row>
    <row r="61" spans="1:7" x14ac:dyDescent="0.2">
      <c r="A61" s="84">
        <f t="shared" si="0"/>
        <v>0</v>
      </c>
      <c r="B61" s="84">
        <v>2022</v>
      </c>
      <c r="C61" s="86">
        <f>'Capital Expend Detail'!J$87</f>
        <v>7653</v>
      </c>
      <c r="D61" s="85" t="str">
        <f>IF(ISBLANK('Capital Expend Detail'!K$87),"",'Capital Expend Detail'!K$87)</f>
        <v/>
      </c>
      <c r="E61" s="86">
        <v>71</v>
      </c>
      <c r="F61" s="84">
        <f t="shared" si="1"/>
        <v>0</v>
      </c>
      <c r="G61" s="86" t="s">
        <v>113</v>
      </c>
    </row>
    <row r="62" spans="1:7" x14ac:dyDescent="0.2">
      <c r="A62" s="84">
        <f t="shared" si="0"/>
        <v>0</v>
      </c>
      <c r="B62" s="84">
        <v>2022</v>
      </c>
      <c r="C62" s="86">
        <f>'Capital Expend Detail'!J$88</f>
        <v>7654</v>
      </c>
      <c r="D62" s="85" t="str">
        <f>IF(ISBLANK('Capital Expend Detail'!K$88),"",'Capital Expend Detail'!K$88)</f>
        <v/>
      </c>
      <c r="E62" s="86">
        <v>71</v>
      </c>
      <c r="F62" s="84">
        <f t="shared" si="1"/>
        <v>0</v>
      </c>
      <c r="G62" s="86" t="s">
        <v>113</v>
      </c>
    </row>
    <row r="63" spans="1:7" x14ac:dyDescent="0.2">
      <c r="A63" s="84">
        <f t="shared" si="0"/>
        <v>0</v>
      </c>
      <c r="B63" s="84">
        <v>2022</v>
      </c>
      <c r="C63" s="86">
        <f>'Capital Expend Detail'!J$89</f>
        <v>7655</v>
      </c>
      <c r="D63" s="85" t="str">
        <f>IF(ISBLANK('Capital Expend Detail'!K$89),"",'Capital Expend Detail'!K$89)</f>
        <v/>
      </c>
      <c r="E63" s="86">
        <v>71</v>
      </c>
      <c r="F63" s="84">
        <f t="shared" si="1"/>
        <v>0</v>
      </c>
      <c r="G63" s="86" t="s">
        <v>113</v>
      </c>
    </row>
    <row r="64" spans="1:7" x14ac:dyDescent="0.2">
      <c r="A64" s="84">
        <f t="shared" si="0"/>
        <v>0</v>
      </c>
      <c r="B64" s="84">
        <v>2022</v>
      </c>
      <c r="C64" s="86">
        <f>'Capital Expend Detail'!J$90</f>
        <v>7656</v>
      </c>
      <c r="D64" s="85" t="str">
        <f>IF(OR('Capital Expend Detail'!K$90=0,ISBLANK('Capital Expend Detail'!K$90)),"",'Capital Expend Detail'!K$90)</f>
        <v/>
      </c>
      <c r="E64" s="86">
        <v>71</v>
      </c>
      <c r="F64" s="84">
        <f t="shared" si="1"/>
        <v>0</v>
      </c>
      <c r="G64" s="86" t="s">
        <v>113</v>
      </c>
    </row>
    <row r="65" spans="1:7" x14ac:dyDescent="0.2">
      <c r="A65" s="84">
        <f t="shared" si="0"/>
        <v>0</v>
      </c>
      <c r="B65" s="84">
        <v>2022</v>
      </c>
      <c r="C65" s="86">
        <f>'Capital Expend Detail'!J$91</f>
        <v>7657</v>
      </c>
      <c r="D65" s="85" t="str">
        <f>IF(ISBLANK('Capital Expend Detail'!K$91),"",'Capital Expend Detail'!K$91)</f>
        <v/>
      </c>
      <c r="E65" s="86">
        <v>71</v>
      </c>
      <c r="F65" s="84">
        <f t="shared" si="1"/>
        <v>0</v>
      </c>
      <c r="G65" s="86" t="s">
        <v>113</v>
      </c>
    </row>
    <row r="66" spans="1:7" x14ac:dyDescent="0.2">
      <c r="A66" s="84">
        <f t="shared" si="0"/>
        <v>0</v>
      </c>
      <c r="B66" s="84">
        <v>2022</v>
      </c>
      <c r="C66" s="86">
        <f>'Capital Expend Detail'!J$92</f>
        <v>7658</v>
      </c>
      <c r="D66" s="85" t="str">
        <f>IF(ISBLANK('Capital Expend Detail'!K$92),"",'Capital Expend Detail'!K$92)</f>
        <v/>
      </c>
      <c r="E66" s="86">
        <v>71</v>
      </c>
      <c r="F66" s="84">
        <f t="shared" si="1"/>
        <v>0</v>
      </c>
      <c r="G66" s="86" t="s">
        <v>113</v>
      </c>
    </row>
    <row r="67" spans="1:7" x14ac:dyDescent="0.2">
      <c r="A67" s="84">
        <f t="shared" si="0"/>
        <v>0</v>
      </c>
      <c r="B67" s="84">
        <v>2022</v>
      </c>
      <c r="C67" s="86">
        <f>'Capital Expend Detail'!J$93</f>
        <v>7659</v>
      </c>
      <c r="D67" s="85" t="str">
        <f>IF(ISBLANK('Capital Expend Detail'!K$93),"",'Capital Expend Detail'!K$93)</f>
        <v/>
      </c>
      <c r="E67" s="86">
        <v>71</v>
      </c>
      <c r="F67" s="84">
        <f t="shared" si="1"/>
        <v>0</v>
      </c>
      <c r="G67" s="86" t="s">
        <v>113</v>
      </c>
    </row>
    <row r="68" spans="1:7" x14ac:dyDescent="0.2">
      <c r="A68" s="84">
        <f t="shared" si="0"/>
        <v>0</v>
      </c>
      <c r="B68" s="84">
        <v>2022</v>
      </c>
      <c r="C68" s="86">
        <f>'Capital Expend Detail'!J$94</f>
        <v>7660</v>
      </c>
      <c r="D68" s="85" t="str">
        <f>IF(ISBLANK('Capital Expend Detail'!K$94),"",'Capital Expend Detail'!K$94)</f>
        <v/>
      </c>
      <c r="E68" s="86">
        <v>71</v>
      </c>
      <c r="F68" s="84">
        <f t="shared" si="1"/>
        <v>0</v>
      </c>
      <c r="G68" s="86" t="s">
        <v>113</v>
      </c>
    </row>
    <row r="69" spans="1:7" x14ac:dyDescent="0.2">
      <c r="A69" s="84">
        <f t="shared" si="0"/>
        <v>0</v>
      </c>
      <c r="B69" s="84">
        <v>2022</v>
      </c>
      <c r="C69" s="86">
        <f>'Capital Expend Detail'!J$95</f>
        <v>7661</v>
      </c>
      <c r="D69" s="85" t="str">
        <f>IF(OR('Capital Expend Detail'!K$95=0,ISBLANK('Capital Expend Detail'!K$95)),"",'Capital Expend Detail'!K$95)</f>
        <v/>
      </c>
      <c r="E69" s="86">
        <v>71</v>
      </c>
      <c r="F69" s="84">
        <f t="shared" si="1"/>
        <v>0</v>
      </c>
      <c r="G69" s="86" t="s">
        <v>113</v>
      </c>
    </row>
    <row r="70" spans="1:7" x14ac:dyDescent="0.2">
      <c r="A70" s="84">
        <f t="shared" si="0"/>
        <v>0</v>
      </c>
      <c r="B70" s="84">
        <v>2022</v>
      </c>
      <c r="C70" s="86">
        <f>'Capital Expend Detail'!J$96</f>
        <v>7662</v>
      </c>
      <c r="D70" s="85" t="str">
        <f>IF(ISBLANK('Capital Expend Detail'!K$96),"",'Capital Expend Detail'!K$96)</f>
        <v/>
      </c>
      <c r="E70" s="86">
        <v>71</v>
      </c>
      <c r="F70" s="84">
        <f t="shared" si="1"/>
        <v>0</v>
      </c>
      <c r="G70" s="86" t="s">
        <v>113</v>
      </c>
    </row>
    <row r="71" spans="1:7" x14ac:dyDescent="0.2">
      <c r="A71" s="84">
        <f t="shared" si="0"/>
        <v>0</v>
      </c>
      <c r="B71" s="84">
        <v>2022</v>
      </c>
      <c r="C71" s="86">
        <f>'Capital Expend Detail'!J$97</f>
        <v>7663</v>
      </c>
      <c r="D71" s="85" t="str">
        <f>IF(ISBLANK('Capital Expend Detail'!K$97),"",'Capital Expend Detail'!K$97)</f>
        <v/>
      </c>
      <c r="E71" s="86">
        <v>71</v>
      </c>
      <c r="F71" s="84">
        <f t="shared" ref="F71:F96" si="2">A71</f>
        <v>0</v>
      </c>
      <c r="G71" s="86" t="s">
        <v>113</v>
      </c>
    </row>
    <row r="72" spans="1:7" x14ac:dyDescent="0.2">
      <c r="A72" s="84">
        <f t="shared" si="0"/>
        <v>0</v>
      </c>
      <c r="B72" s="84">
        <v>2022</v>
      </c>
      <c r="C72" s="86">
        <f>'Capital Expend Detail'!J$98</f>
        <v>7664</v>
      </c>
      <c r="D72" s="85" t="str">
        <f>IF(ISBLANK('Capital Expend Detail'!K$98),"",'Capital Expend Detail'!K$98)</f>
        <v/>
      </c>
      <c r="E72" s="86">
        <v>71</v>
      </c>
      <c r="F72" s="84">
        <f t="shared" si="2"/>
        <v>0</v>
      </c>
      <c r="G72" s="86" t="s">
        <v>113</v>
      </c>
    </row>
    <row r="73" spans="1:7" x14ac:dyDescent="0.2">
      <c r="A73" s="84">
        <f t="shared" si="0"/>
        <v>0</v>
      </c>
      <c r="B73" s="84">
        <v>2022</v>
      </c>
      <c r="C73" s="86">
        <f>'Capital Expend Detail'!J$99</f>
        <v>7665</v>
      </c>
      <c r="D73" s="85" t="str">
        <f>IF(OR('Capital Expend Detail'!K$99=0,ISBLANK('Capital Expend Detail'!K$99)),"",'Capital Expend Detail'!K$99)</f>
        <v/>
      </c>
      <c r="E73" s="86">
        <v>71</v>
      </c>
      <c r="F73" s="84">
        <f t="shared" si="2"/>
        <v>0</v>
      </c>
      <c r="G73" s="86" t="s">
        <v>113</v>
      </c>
    </row>
    <row r="74" spans="1:7" x14ac:dyDescent="0.2">
      <c r="A74" s="84">
        <f t="shared" si="0"/>
        <v>0</v>
      </c>
      <c r="B74" s="84">
        <v>2022</v>
      </c>
      <c r="C74" s="86">
        <f>'Capital Expend Detail'!M$77</f>
        <v>7666</v>
      </c>
      <c r="D74" s="85" t="str">
        <f>IF(OR('Capital Expend Detail'!N77=0,ISBLANK('Capital Expend Detail'!N77)),"",'Capital Expend Detail'!N77)</f>
        <v/>
      </c>
      <c r="E74" s="86">
        <v>71</v>
      </c>
      <c r="F74" s="84">
        <f t="shared" si="2"/>
        <v>0</v>
      </c>
      <c r="G74" s="86" t="s">
        <v>113</v>
      </c>
    </row>
    <row r="75" spans="1:7" x14ac:dyDescent="0.2">
      <c r="A75" s="84">
        <f t="shared" si="0"/>
        <v>0</v>
      </c>
      <c r="B75" s="84">
        <v>2022</v>
      </c>
      <c r="C75" s="86">
        <f>'Capital Expend Detail'!M$78</f>
        <v>7667</v>
      </c>
      <c r="D75" s="85" t="str">
        <f>IF(OR('Capital Expend Detail'!N78=0,ISBLANK('Capital Expend Detail'!N78)),"",'Capital Expend Detail'!N78)</f>
        <v/>
      </c>
      <c r="E75" s="86">
        <v>71</v>
      </c>
      <c r="F75" s="84">
        <f t="shared" si="2"/>
        <v>0</v>
      </c>
      <c r="G75" s="86" t="s">
        <v>113</v>
      </c>
    </row>
    <row r="76" spans="1:7" x14ac:dyDescent="0.2">
      <c r="A76" s="84">
        <f t="shared" si="0"/>
        <v>0</v>
      </c>
      <c r="B76" s="84">
        <v>2022</v>
      </c>
      <c r="C76" s="86">
        <f>'Capital Expend Detail'!M$79</f>
        <v>7668</v>
      </c>
      <c r="D76" s="85" t="str">
        <f>IF(OR('Capital Expend Detail'!N79=0,ISBLANK('Capital Expend Detail'!N79)),"",'Capital Expend Detail'!N79)</f>
        <v/>
      </c>
      <c r="E76" s="86">
        <v>71</v>
      </c>
      <c r="F76" s="84">
        <f t="shared" si="2"/>
        <v>0</v>
      </c>
      <c r="G76" s="86" t="s">
        <v>113</v>
      </c>
    </row>
    <row r="77" spans="1:7" x14ac:dyDescent="0.2">
      <c r="A77" s="84">
        <f t="shared" si="0"/>
        <v>0</v>
      </c>
      <c r="B77" s="84">
        <v>2022</v>
      </c>
      <c r="C77" s="86">
        <f>'Capital Expend Detail'!M$80</f>
        <v>7669</v>
      </c>
      <c r="D77" s="85" t="str">
        <f>IF(OR('Capital Expend Detail'!N80=0,ISBLANK('Capital Expend Detail'!N80)),"",'Capital Expend Detail'!N80)</f>
        <v/>
      </c>
      <c r="E77" s="86">
        <v>71</v>
      </c>
      <c r="F77" s="84">
        <f t="shared" si="2"/>
        <v>0</v>
      </c>
      <c r="G77" s="86" t="s">
        <v>113</v>
      </c>
    </row>
    <row r="78" spans="1:7" x14ac:dyDescent="0.2">
      <c r="A78" s="84">
        <f t="shared" si="0"/>
        <v>0</v>
      </c>
      <c r="B78" s="84">
        <v>2022</v>
      </c>
      <c r="C78" s="86">
        <v>7670</v>
      </c>
      <c r="D78" s="85" t="str">
        <f>IF(OR('Capital Expend Detail'!N81=0,ISBLANK('Capital Expend Detail'!N81)),"",'Capital Expend Detail'!N81)</f>
        <v/>
      </c>
      <c r="E78" s="86">
        <v>71</v>
      </c>
      <c r="F78" s="84">
        <f t="shared" si="2"/>
        <v>0</v>
      </c>
      <c r="G78" s="86" t="s">
        <v>113</v>
      </c>
    </row>
    <row r="79" spans="1:7" x14ac:dyDescent="0.2">
      <c r="A79" s="84">
        <f t="shared" si="0"/>
        <v>0</v>
      </c>
      <c r="B79" s="84">
        <v>2022</v>
      </c>
      <c r="C79" s="86">
        <f>'Capital Expend Detail'!M$82</f>
        <v>7671</v>
      </c>
      <c r="D79" s="85" t="str">
        <f>IF(OR('Capital Expend Detail'!N82=0,ISBLANK('Capital Expend Detail'!N82)),"",'Capital Expend Detail'!N82)</f>
        <v/>
      </c>
      <c r="E79" s="86">
        <v>71</v>
      </c>
      <c r="F79" s="84">
        <f t="shared" si="2"/>
        <v>0</v>
      </c>
      <c r="G79" s="86" t="s">
        <v>113</v>
      </c>
    </row>
    <row r="80" spans="1:7" x14ac:dyDescent="0.2">
      <c r="A80" s="84">
        <f t="shared" si="0"/>
        <v>0</v>
      </c>
      <c r="B80" s="84">
        <v>2022</v>
      </c>
      <c r="C80" s="86">
        <f>'Capital Expend Detail'!M$83</f>
        <v>7672</v>
      </c>
      <c r="D80" s="85" t="str">
        <f>IF(OR('Capital Expend Detail'!N83=0,ISBLANK('Capital Expend Detail'!N83)),"",'Capital Expend Detail'!N83)</f>
        <v/>
      </c>
      <c r="E80" s="86">
        <v>71</v>
      </c>
      <c r="F80" s="84">
        <f t="shared" si="2"/>
        <v>0</v>
      </c>
      <c r="G80" s="86" t="s">
        <v>113</v>
      </c>
    </row>
    <row r="81" spans="1:7" x14ac:dyDescent="0.2">
      <c r="A81" s="84">
        <f t="shared" si="0"/>
        <v>0</v>
      </c>
      <c r="B81" s="84">
        <v>2022</v>
      </c>
      <c r="C81" s="86">
        <f>'Capital Expend Detail'!M$84</f>
        <v>7673</v>
      </c>
      <c r="D81" s="85" t="str">
        <f>IF(OR('Capital Expend Detail'!N84=0,ISBLANK('Capital Expend Detail'!N84)),"",'Capital Expend Detail'!N84)</f>
        <v/>
      </c>
      <c r="E81" s="86">
        <v>71</v>
      </c>
      <c r="F81" s="84">
        <f t="shared" si="2"/>
        <v>0</v>
      </c>
      <c r="G81" s="86" t="s">
        <v>113</v>
      </c>
    </row>
    <row r="82" spans="1:7" x14ac:dyDescent="0.2">
      <c r="A82" s="84">
        <f t="shared" si="0"/>
        <v>0</v>
      </c>
      <c r="B82" s="84">
        <v>2022</v>
      </c>
      <c r="C82" s="86">
        <f>'Capital Expend Detail'!M$85</f>
        <v>7674</v>
      </c>
      <c r="D82" s="85" t="str">
        <f>IF(OR('Capital Expend Detail'!N85=0,ISBLANK('Capital Expend Detail'!N85)),"",'Capital Expend Detail'!N85)</f>
        <v/>
      </c>
      <c r="E82" s="86">
        <v>71</v>
      </c>
      <c r="F82" s="84">
        <f t="shared" si="2"/>
        <v>0</v>
      </c>
      <c r="G82" s="86" t="s">
        <v>113</v>
      </c>
    </row>
    <row r="83" spans="1:7" x14ac:dyDescent="0.2">
      <c r="A83" s="84">
        <f t="shared" si="0"/>
        <v>0</v>
      </c>
      <c r="B83" s="84">
        <v>2022</v>
      </c>
      <c r="C83" s="86">
        <f>'Capital Expend Detail'!M$86</f>
        <v>7675</v>
      </c>
      <c r="D83" s="85" t="str">
        <f>IF(OR('Capital Expend Detail'!N86=0,ISBLANK('Capital Expend Detail'!N86)),"",'Capital Expend Detail'!N86)</f>
        <v/>
      </c>
      <c r="E83" s="86">
        <v>71</v>
      </c>
      <c r="F83" s="84">
        <f t="shared" si="2"/>
        <v>0</v>
      </c>
      <c r="G83" s="86" t="s">
        <v>113</v>
      </c>
    </row>
    <row r="84" spans="1:7" x14ac:dyDescent="0.2">
      <c r="A84" s="84">
        <f t="shared" si="0"/>
        <v>0</v>
      </c>
      <c r="B84" s="84">
        <v>2022</v>
      </c>
      <c r="C84" s="86">
        <f>'Capital Expend Detail'!M$87</f>
        <v>7676</v>
      </c>
      <c r="D84" s="85" t="str">
        <f>IF(OR('Capital Expend Detail'!N87=0,ISBLANK('Capital Expend Detail'!N87)),"",'Capital Expend Detail'!N87)</f>
        <v/>
      </c>
      <c r="E84" s="86">
        <v>71</v>
      </c>
      <c r="F84" s="84">
        <f t="shared" si="2"/>
        <v>0</v>
      </c>
      <c r="G84" s="86" t="s">
        <v>113</v>
      </c>
    </row>
    <row r="85" spans="1:7" x14ac:dyDescent="0.2">
      <c r="A85" s="84">
        <f t="shared" si="0"/>
        <v>0</v>
      </c>
      <c r="B85" s="84">
        <v>2022</v>
      </c>
      <c r="C85" s="86">
        <f>'Capital Expend Detail'!M$88</f>
        <v>7677</v>
      </c>
      <c r="D85" s="85" t="str">
        <f>IF(OR('Capital Expend Detail'!N88=0,ISBLANK('Capital Expend Detail'!N88)),"",'Capital Expend Detail'!N88)</f>
        <v/>
      </c>
      <c r="E85" s="86">
        <v>71</v>
      </c>
      <c r="F85" s="84">
        <f t="shared" si="2"/>
        <v>0</v>
      </c>
      <c r="G85" s="86" t="s">
        <v>113</v>
      </c>
    </row>
    <row r="86" spans="1:7" x14ac:dyDescent="0.2">
      <c r="A86" s="84">
        <f t="shared" si="0"/>
        <v>0</v>
      </c>
      <c r="B86" s="84">
        <v>2022</v>
      </c>
      <c r="C86" s="86">
        <f>'Capital Expend Detail'!M$89</f>
        <v>7678</v>
      </c>
      <c r="D86" s="85" t="str">
        <f>IF(OR('Capital Expend Detail'!N89=0,ISBLANK('Capital Expend Detail'!N89)),"",'Capital Expend Detail'!N89)</f>
        <v/>
      </c>
      <c r="E86" s="86">
        <v>71</v>
      </c>
      <c r="F86" s="84">
        <f t="shared" si="2"/>
        <v>0</v>
      </c>
      <c r="G86" s="86" t="s">
        <v>113</v>
      </c>
    </row>
    <row r="87" spans="1:7" x14ac:dyDescent="0.2">
      <c r="A87" s="84">
        <f t="shared" si="0"/>
        <v>0</v>
      </c>
      <c r="B87" s="84">
        <v>2022</v>
      </c>
      <c r="C87" s="86">
        <f>'Capital Expend Detail'!M$90</f>
        <v>7679</v>
      </c>
      <c r="D87" s="85" t="str">
        <f>IF(OR('Capital Expend Detail'!N90=0,ISBLANK('Capital Expend Detail'!N90)),"",'Capital Expend Detail'!N90)</f>
        <v/>
      </c>
      <c r="E87" s="86">
        <v>71</v>
      </c>
      <c r="F87" s="84">
        <f t="shared" si="2"/>
        <v>0</v>
      </c>
      <c r="G87" s="86" t="s">
        <v>113</v>
      </c>
    </row>
    <row r="88" spans="1:7" x14ac:dyDescent="0.2">
      <c r="A88" s="84">
        <f t="shared" si="0"/>
        <v>0</v>
      </c>
      <c r="B88" s="84">
        <v>2022</v>
      </c>
      <c r="C88" s="86">
        <f>'Capital Expend Detail'!M$91</f>
        <v>7680</v>
      </c>
      <c r="D88" s="85" t="str">
        <f>IF(OR('Capital Expend Detail'!N91=0,ISBLANK('Capital Expend Detail'!N91)),"",'Capital Expend Detail'!N91)</f>
        <v/>
      </c>
      <c r="E88" s="86">
        <v>71</v>
      </c>
      <c r="F88" s="84">
        <f t="shared" si="2"/>
        <v>0</v>
      </c>
      <c r="G88" s="86" t="s">
        <v>113</v>
      </c>
    </row>
    <row r="89" spans="1:7" x14ac:dyDescent="0.2">
      <c r="A89" s="84">
        <f t="shared" si="0"/>
        <v>0</v>
      </c>
      <c r="B89" s="84">
        <v>2022</v>
      </c>
      <c r="C89" s="86">
        <f>'Capital Expend Detail'!M$92</f>
        <v>7681</v>
      </c>
      <c r="D89" s="85" t="str">
        <f>IF(OR('Capital Expend Detail'!N92=0,ISBLANK('Capital Expend Detail'!N92)),"",'Capital Expend Detail'!N92)</f>
        <v/>
      </c>
      <c r="E89" s="86">
        <v>71</v>
      </c>
      <c r="F89" s="84">
        <f t="shared" si="2"/>
        <v>0</v>
      </c>
      <c r="G89" s="86" t="s">
        <v>113</v>
      </c>
    </row>
    <row r="90" spans="1:7" x14ac:dyDescent="0.2">
      <c r="A90" s="84">
        <f t="shared" si="0"/>
        <v>0</v>
      </c>
      <c r="B90" s="84">
        <v>2022</v>
      </c>
      <c r="C90" s="86">
        <f>'Capital Expend Detail'!M$93</f>
        <v>7682</v>
      </c>
      <c r="D90" s="85" t="str">
        <f>IF(OR('Capital Expend Detail'!N93=0,ISBLANK('Capital Expend Detail'!N93)),"",'Capital Expend Detail'!N93)</f>
        <v/>
      </c>
      <c r="E90" s="86">
        <v>71</v>
      </c>
      <c r="F90" s="84">
        <f t="shared" si="2"/>
        <v>0</v>
      </c>
      <c r="G90" s="86" t="s">
        <v>113</v>
      </c>
    </row>
    <row r="91" spans="1:7" x14ac:dyDescent="0.2">
      <c r="A91" s="84">
        <f t="shared" si="0"/>
        <v>0</v>
      </c>
      <c r="B91" s="84">
        <v>2022</v>
      </c>
      <c r="C91" s="86">
        <f>'Capital Expend Detail'!M$94</f>
        <v>7683</v>
      </c>
      <c r="D91" s="85" t="str">
        <f>IF(OR('Capital Expend Detail'!N94=0,ISBLANK('Capital Expend Detail'!N94)),"",'Capital Expend Detail'!N94)</f>
        <v/>
      </c>
      <c r="E91" s="86">
        <v>71</v>
      </c>
      <c r="F91" s="84">
        <f t="shared" si="2"/>
        <v>0</v>
      </c>
      <c r="G91" s="86" t="s">
        <v>113</v>
      </c>
    </row>
    <row r="92" spans="1:7" x14ac:dyDescent="0.2">
      <c r="A92" s="84">
        <f t="shared" si="0"/>
        <v>0</v>
      </c>
      <c r="B92" s="84">
        <v>2022</v>
      </c>
      <c r="C92" s="86">
        <f>'Capital Expend Detail'!M$95</f>
        <v>7684</v>
      </c>
      <c r="D92" s="85" t="str">
        <f>IF(OR('Capital Expend Detail'!N95=0,ISBLANK('Capital Expend Detail'!N95)),"",'Capital Expend Detail'!N95)</f>
        <v/>
      </c>
      <c r="E92" s="86">
        <v>71</v>
      </c>
      <c r="F92" s="84">
        <f t="shared" si="2"/>
        <v>0</v>
      </c>
      <c r="G92" s="86" t="s">
        <v>113</v>
      </c>
    </row>
    <row r="93" spans="1:7" x14ac:dyDescent="0.2">
      <c r="A93" s="84">
        <f t="shared" si="0"/>
        <v>0</v>
      </c>
      <c r="B93" s="84">
        <v>2022</v>
      </c>
      <c r="C93" s="86">
        <f>'Capital Expend Detail'!M$96</f>
        <v>7685</v>
      </c>
      <c r="D93" s="85" t="str">
        <f>IF(OR('Capital Expend Detail'!N96=0,ISBLANK('Capital Expend Detail'!N96)),"",'Capital Expend Detail'!N96)</f>
        <v/>
      </c>
      <c r="E93" s="86">
        <v>71</v>
      </c>
      <c r="F93" s="84">
        <f t="shared" si="2"/>
        <v>0</v>
      </c>
      <c r="G93" s="86" t="s">
        <v>113</v>
      </c>
    </row>
    <row r="94" spans="1:7" x14ac:dyDescent="0.2">
      <c r="A94" s="84">
        <f t="shared" si="0"/>
        <v>0</v>
      </c>
      <c r="B94" s="84">
        <v>2022</v>
      </c>
      <c r="C94" s="86">
        <f>'Capital Expend Detail'!M$97</f>
        <v>7686</v>
      </c>
      <c r="D94" s="85" t="str">
        <f>IF(OR('Capital Expend Detail'!N97=0,ISBLANK('Capital Expend Detail'!N97)),"",'Capital Expend Detail'!N97)</f>
        <v/>
      </c>
      <c r="E94" s="86">
        <v>71</v>
      </c>
      <c r="F94" s="84">
        <f t="shared" si="2"/>
        <v>0</v>
      </c>
      <c r="G94" s="86" t="s">
        <v>113</v>
      </c>
    </row>
    <row r="95" spans="1:7" x14ac:dyDescent="0.2">
      <c r="A95" s="84">
        <f t="shared" si="0"/>
        <v>0</v>
      </c>
      <c r="B95" s="84">
        <v>2022</v>
      </c>
      <c r="C95" s="86">
        <f>'Capital Expend Detail'!M$98</f>
        <v>7687</v>
      </c>
      <c r="D95" s="85" t="str">
        <f>IF(OR('Capital Expend Detail'!N98=0,ISBLANK('Capital Expend Detail'!N98)),"",'Capital Expend Detail'!N98)</f>
        <v/>
      </c>
      <c r="E95" s="86">
        <v>71</v>
      </c>
      <c r="F95" s="84">
        <f t="shared" si="2"/>
        <v>0</v>
      </c>
      <c r="G95" s="86" t="s">
        <v>113</v>
      </c>
    </row>
    <row r="96" spans="1:7" x14ac:dyDescent="0.2">
      <c r="A96" s="84">
        <f t="shared" si="0"/>
        <v>0</v>
      </c>
      <c r="B96" s="84">
        <v>2022</v>
      </c>
      <c r="C96" s="86">
        <f>'Capital Expend Detail'!M$99</f>
        <v>7688</v>
      </c>
      <c r="D96" s="85" t="str">
        <f>IF(OR('Capital Expend Detail'!N99=0,ISBLANK('Capital Expend Detail'!N99)),"",'Capital Expend Detail'!N99)</f>
        <v/>
      </c>
      <c r="E96" s="86">
        <v>71</v>
      </c>
      <c r="F96" s="84">
        <f t="shared" si="2"/>
        <v>0</v>
      </c>
      <c r="G96" s="86" t="s">
        <v>113</v>
      </c>
    </row>
    <row r="97" spans="1:13" x14ac:dyDescent="0.2">
      <c r="A97" s="86"/>
      <c r="B97" s="86"/>
      <c r="C97" s="86"/>
      <c r="D97" s="87"/>
      <c r="E97" s="86"/>
      <c r="F97" s="86"/>
      <c r="G97" s="86"/>
      <c r="H97" s="86"/>
      <c r="I97" s="86"/>
      <c r="J97" s="86"/>
      <c r="K97" s="86"/>
      <c r="L97" s="86"/>
      <c r="M97" s="86"/>
    </row>
    <row r="98" spans="1:13" x14ac:dyDescent="0.2">
      <c r="A98" s="86"/>
      <c r="B98" s="86"/>
      <c r="C98" s="86"/>
      <c r="D98" s="88"/>
      <c r="E98" s="86"/>
      <c r="F98" s="86"/>
      <c r="G98" s="86"/>
      <c r="H98" s="86"/>
      <c r="I98" s="86"/>
      <c r="J98" s="86"/>
      <c r="K98" s="86"/>
      <c r="L98" s="86"/>
      <c r="M98" s="86"/>
    </row>
    <row r="99" spans="1:13" x14ac:dyDescent="0.2">
      <c r="A99" s="86"/>
      <c r="B99" s="86"/>
      <c r="C99" s="86"/>
      <c r="D99" s="88"/>
      <c r="E99" s="86"/>
      <c r="F99" s="86"/>
      <c r="G99" s="86"/>
      <c r="H99" s="86"/>
      <c r="I99" s="86"/>
      <c r="J99" s="86"/>
      <c r="K99" s="86"/>
      <c r="L99" s="86"/>
      <c r="M99" s="86"/>
    </row>
    <row r="100" spans="1:13" x14ac:dyDescent="0.2">
      <c r="A100" s="86"/>
      <c r="B100" s="86"/>
      <c r="C100" s="86"/>
      <c r="D100" s="86"/>
      <c r="E100" s="86"/>
      <c r="F100" s="86"/>
      <c r="G100" s="86"/>
      <c r="H100" s="86"/>
      <c r="I100" s="86"/>
      <c r="J100" s="86"/>
      <c r="K100" s="86"/>
      <c r="L100" s="86"/>
      <c r="M100" s="86"/>
    </row>
    <row r="101" spans="1:13" x14ac:dyDescent="0.2">
      <c r="A101" s="86"/>
      <c r="B101" s="86"/>
      <c r="C101" s="86"/>
      <c r="D101" s="86"/>
      <c r="E101" s="86"/>
      <c r="F101" s="86"/>
      <c r="G101" s="86"/>
      <c r="H101" s="86"/>
      <c r="I101" s="86"/>
      <c r="J101" s="86"/>
      <c r="K101" s="86"/>
      <c r="L101" s="86"/>
      <c r="M101" s="86"/>
    </row>
    <row r="102" spans="1:13" x14ac:dyDescent="0.2">
      <c r="A102" s="86"/>
      <c r="B102" s="86"/>
      <c r="C102" s="86"/>
      <c r="D102" s="86"/>
      <c r="E102" s="86"/>
      <c r="F102" s="86"/>
      <c r="G102" s="86"/>
      <c r="H102" s="86"/>
      <c r="I102" s="86"/>
      <c r="J102" s="86"/>
      <c r="K102" s="86"/>
      <c r="L102" s="86"/>
      <c r="M102" s="86"/>
    </row>
    <row r="103" spans="1:13" x14ac:dyDescent="0.2">
      <c r="A103" s="86"/>
      <c r="B103" s="86"/>
      <c r="C103" s="86"/>
      <c r="D103" s="86"/>
      <c r="E103" s="86"/>
      <c r="F103" s="86"/>
      <c r="G103" s="86"/>
      <c r="H103" s="86"/>
      <c r="I103" s="86"/>
      <c r="J103" s="86"/>
      <c r="K103" s="86"/>
      <c r="L103" s="86"/>
      <c r="M103" s="86"/>
    </row>
    <row r="104" spans="1:13" x14ac:dyDescent="0.2">
      <c r="A104" s="86"/>
      <c r="B104" s="86"/>
      <c r="C104" s="86"/>
      <c r="D104" s="86"/>
      <c r="E104" s="86"/>
      <c r="F104" s="86"/>
      <c r="G104" s="86"/>
      <c r="H104" s="86"/>
      <c r="I104" s="86"/>
      <c r="J104" s="86"/>
      <c r="K104" s="86"/>
      <c r="L104" s="86"/>
      <c r="M104" s="86"/>
    </row>
    <row r="105" spans="1:13" x14ac:dyDescent="0.2">
      <c r="A105" s="86"/>
      <c r="B105" s="86"/>
      <c r="C105" s="86"/>
      <c r="D105" s="86"/>
      <c r="E105" s="86"/>
      <c r="F105" s="86"/>
      <c r="G105" s="86"/>
      <c r="H105" s="86"/>
      <c r="I105" s="86"/>
      <c r="J105" s="86"/>
      <c r="K105" s="86"/>
      <c r="L105" s="86"/>
      <c r="M105" s="86"/>
    </row>
    <row r="106" spans="1:13" x14ac:dyDescent="0.2">
      <c r="A106" s="86"/>
      <c r="B106" s="86"/>
      <c r="C106" s="86"/>
      <c r="D106" s="86"/>
      <c r="E106" s="86"/>
      <c r="F106" s="86"/>
      <c r="G106" s="86"/>
      <c r="H106" s="86"/>
      <c r="I106" s="86"/>
      <c r="J106" s="86"/>
      <c r="K106" s="86"/>
      <c r="L106" s="86"/>
      <c r="M106" s="86"/>
    </row>
    <row r="107" spans="1:13" x14ac:dyDescent="0.2">
      <c r="A107" s="86"/>
      <c r="B107" s="86"/>
      <c r="C107" s="86"/>
      <c r="D107" s="86"/>
      <c r="E107" s="86"/>
      <c r="F107" s="86"/>
      <c r="G107" s="86"/>
      <c r="H107" s="86"/>
      <c r="I107" s="86"/>
      <c r="J107" s="86"/>
      <c r="K107" s="86"/>
      <c r="L107" s="86"/>
      <c r="M107" s="86"/>
    </row>
    <row r="108" spans="1:13" x14ac:dyDescent="0.2">
      <c r="A108" s="86"/>
      <c r="B108" s="86"/>
      <c r="C108" s="86"/>
      <c r="D108" s="86"/>
      <c r="E108" s="86"/>
      <c r="F108" s="86"/>
      <c r="G108" s="86"/>
      <c r="H108" s="86"/>
      <c r="I108" s="86"/>
      <c r="J108" s="86"/>
      <c r="K108" s="86"/>
      <c r="L108" s="86"/>
      <c r="M108" s="86"/>
    </row>
    <row r="109" spans="1:13" x14ac:dyDescent="0.2">
      <c r="A109" s="86"/>
      <c r="B109" s="86"/>
      <c r="C109" s="86"/>
      <c r="D109" s="86"/>
      <c r="E109" s="86"/>
      <c r="F109" s="86"/>
      <c r="G109" s="86"/>
      <c r="H109" s="86"/>
      <c r="I109" s="86"/>
      <c r="J109" s="86"/>
      <c r="K109" s="86"/>
      <c r="L109" s="86"/>
      <c r="M109" s="86"/>
    </row>
    <row r="110" spans="1:13" x14ac:dyDescent="0.2">
      <c r="A110" s="86"/>
      <c r="B110" s="86"/>
      <c r="C110" s="86"/>
      <c r="D110" s="86"/>
      <c r="E110" s="86"/>
      <c r="F110" s="86"/>
      <c r="G110" s="86"/>
      <c r="H110" s="86"/>
      <c r="I110" s="86"/>
      <c r="J110" s="86"/>
      <c r="K110" s="86"/>
      <c r="L110" s="86"/>
      <c r="M110" s="86"/>
    </row>
    <row r="111" spans="1:13" x14ac:dyDescent="0.2">
      <c r="A111" s="86"/>
      <c r="B111" s="86"/>
      <c r="C111" s="86"/>
      <c r="D111" s="86"/>
      <c r="E111" s="86"/>
      <c r="F111" s="86"/>
      <c r="G111" s="86"/>
      <c r="H111" s="86"/>
      <c r="I111" s="86"/>
      <c r="J111" s="86"/>
      <c r="K111" s="86"/>
      <c r="L111" s="86"/>
      <c r="M111" s="86"/>
    </row>
    <row r="112" spans="1:13" x14ac:dyDescent="0.2">
      <c r="A112" s="86"/>
      <c r="B112" s="86"/>
      <c r="C112" s="86"/>
      <c r="D112" s="86"/>
      <c r="E112" s="86"/>
      <c r="F112" s="86"/>
      <c r="G112" s="86"/>
      <c r="H112" s="86"/>
      <c r="I112" s="86"/>
      <c r="J112" s="86"/>
      <c r="K112" s="86"/>
      <c r="L112" s="86"/>
      <c r="M112" s="86"/>
    </row>
    <row r="113" spans="1:13" x14ac:dyDescent="0.2">
      <c r="A113" s="86"/>
      <c r="B113" s="86"/>
      <c r="C113" s="86"/>
      <c r="D113" s="86"/>
      <c r="E113" s="86"/>
      <c r="F113" s="86"/>
      <c r="G113" s="86"/>
      <c r="H113" s="86"/>
      <c r="I113" s="86"/>
      <c r="J113" s="86"/>
      <c r="K113" s="86"/>
      <c r="L113" s="86"/>
      <c r="M113" s="86"/>
    </row>
    <row r="114" spans="1:13" x14ac:dyDescent="0.2">
      <c r="A114" s="86"/>
      <c r="B114" s="86"/>
      <c r="C114" s="86"/>
      <c r="D114" s="86"/>
      <c r="E114" s="86"/>
      <c r="F114" s="86"/>
      <c r="G114" s="86"/>
      <c r="H114" s="86"/>
      <c r="I114" s="86"/>
      <c r="J114" s="86"/>
      <c r="K114" s="86"/>
      <c r="L114" s="86"/>
      <c r="M114" s="86"/>
    </row>
    <row r="115" spans="1:13" x14ac:dyDescent="0.2">
      <c r="A115" s="86"/>
      <c r="B115" s="86"/>
      <c r="C115" s="86"/>
      <c r="D115" s="86"/>
      <c r="E115" s="86"/>
      <c r="F115" s="86"/>
      <c r="G115" s="86"/>
      <c r="H115" s="86"/>
      <c r="I115" s="86"/>
      <c r="J115" s="86"/>
      <c r="K115" s="86"/>
      <c r="L115" s="86"/>
      <c r="M115" s="86"/>
    </row>
    <row r="116" spans="1:13" x14ac:dyDescent="0.2">
      <c r="A116" s="86"/>
      <c r="B116" s="86"/>
      <c r="C116" s="86"/>
      <c r="D116" s="86"/>
      <c r="E116" s="86"/>
      <c r="F116" s="86"/>
      <c r="G116" s="86"/>
      <c r="H116" s="86"/>
      <c r="I116" s="86"/>
      <c r="J116" s="86"/>
      <c r="K116" s="86"/>
      <c r="L116" s="86"/>
      <c r="M116" s="86"/>
    </row>
    <row r="117" spans="1:13" x14ac:dyDescent="0.2">
      <c r="A117" s="86"/>
      <c r="B117" s="86"/>
      <c r="C117" s="86"/>
      <c r="D117" s="86"/>
      <c r="E117" s="86"/>
      <c r="F117" s="86"/>
      <c r="G117" s="86"/>
      <c r="H117" s="86"/>
      <c r="I117" s="86"/>
      <c r="J117" s="86"/>
      <c r="K117" s="86"/>
      <c r="L117" s="86"/>
      <c r="M117" s="86"/>
    </row>
    <row r="118" spans="1:13" x14ac:dyDescent="0.2">
      <c r="A118" s="86"/>
      <c r="B118" s="86"/>
      <c r="C118" s="86"/>
      <c r="D118" s="86"/>
      <c r="E118" s="86"/>
      <c r="F118" s="86"/>
      <c r="G118" s="86"/>
      <c r="H118" s="86"/>
      <c r="I118" s="86"/>
      <c r="J118" s="86"/>
      <c r="K118" s="86"/>
      <c r="L118" s="86"/>
      <c r="M118" s="86"/>
    </row>
    <row r="119" spans="1:13" x14ac:dyDescent="0.2">
      <c r="A119" s="86"/>
      <c r="B119" s="86"/>
      <c r="C119" s="86"/>
      <c r="D119" s="86"/>
      <c r="E119" s="86"/>
      <c r="F119" s="86"/>
      <c r="G119" s="86"/>
      <c r="H119" s="86"/>
      <c r="I119" s="86"/>
      <c r="J119" s="86"/>
      <c r="K119" s="86"/>
      <c r="L119" s="86"/>
      <c r="M119" s="86"/>
    </row>
    <row r="120" spans="1:13" x14ac:dyDescent="0.2">
      <c r="A120" s="86"/>
      <c r="B120" s="86"/>
      <c r="C120" s="86"/>
      <c r="D120" s="86"/>
      <c r="E120" s="86"/>
      <c r="F120" s="86"/>
      <c r="G120" s="86"/>
      <c r="H120" s="86"/>
      <c r="I120" s="86"/>
      <c r="J120" s="86"/>
      <c r="K120" s="86"/>
      <c r="L120" s="86"/>
      <c r="M120" s="86"/>
    </row>
    <row r="121" spans="1:13" x14ac:dyDescent="0.2">
      <c r="A121" s="86"/>
      <c r="B121" s="86"/>
      <c r="C121" s="86"/>
      <c r="D121" s="86"/>
      <c r="E121" s="86"/>
      <c r="F121" s="86"/>
      <c r="G121" s="86"/>
      <c r="H121" s="86"/>
      <c r="I121" s="86"/>
      <c r="J121" s="86"/>
      <c r="K121" s="86"/>
      <c r="L121" s="86"/>
      <c r="M121" s="86"/>
    </row>
    <row r="122" spans="1:13" x14ac:dyDescent="0.2">
      <c r="A122" s="86"/>
      <c r="B122" s="86"/>
      <c r="C122" s="86"/>
      <c r="D122" s="86"/>
      <c r="E122" s="86"/>
      <c r="F122" s="86"/>
      <c r="G122" s="86"/>
      <c r="H122" s="86"/>
      <c r="I122" s="86"/>
      <c r="J122" s="86"/>
      <c r="K122" s="86"/>
      <c r="L122" s="86"/>
      <c r="M122" s="86"/>
    </row>
    <row r="123" spans="1:13" x14ac:dyDescent="0.2">
      <c r="A123" s="86"/>
      <c r="B123" s="86"/>
      <c r="C123" s="86"/>
      <c r="D123" s="86"/>
      <c r="E123" s="86"/>
      <c r="F123" s="86"/>
      <c r="G123" s="86"/>
      <c r="H123" s="86"/>
      <c r="I123" s="86"/>
      <c r="J123" s="86"/>
      <c r="K123" s="86"/>
      <c r="L123" s="86"/>
      <c r="M123" s="86"/>
    </row>
    <row r="124" spans="1:13" x14ac:dyDescent="0.2">
      <c r="A124" s="86"/>
      <c r="B124" s="86"/>
      <c r="C124" s="86"/>
      <c r="D124" s="86"/>
      <c r="E124" s="86"/>
      <c r="F124" s="86"/>
      <c r="G124" s="86"/>
      <c r="H124" s="86"/>
      <c r="I124" s="86"/>
      <c r="J124" s="86"/>
      <c r="K124" s="86"/>
      <c r="L124" s="86"/>
      <c r="M124" s="86"/>
    </row>
    <row r="125" spans="1:13" x14ac:dyDescent="0.2">
      <c r="A125" s="86"/>
      <c r="B125" s="86"/>
      <c r="C125" s="86"/>
      <c r="D125" s="86"/>
      <c r="E125" s="86"/>
      <c r="F125" s="86"/>
      <c r="G125" s="86"/>
      <c r="H125" s="86"/>
      <c r="I125" s="86"/>
      <c r="J125" s="86"/>
      <c r="K125" s="86"/>
      <c r="L125" s="86"/>
      <c r="M125" s="86"/>
    </row>
    <row r="126" spans="1:13" x14ac:dyDescent="0.2">
      <c r="A126" s="86"/>
      <c r="B126" s="86"/>
      <c r="C126" s="86"/>
      <c r="D126" s="86"/>
      <c r="E126" s="86"/>
      <c r="F126" s="86"/>
      <c r="G126" s="86"/>
      <c r="H126" s="86"/>
      <c r="I126" s="86"/>
      <c r="J126" s="86"/>
      <c r="K126" s="86"/>
      <c r="L126" s="86"/>
      <c r="M126" s="86"/>
    </row>
    <row r="127" spans="1:13" x14ac:dyDescent="0.2">
      <c r="A127" s="86"/>
      <c r="B127" s="86"/>
      <c r="C127" s="86"/>
      <c r="D127" s="86"/>
      <c r="E127" s="86"/>
      <c r="F127" s="86"/>
      <c r="G127" s="86"/>
      <c r="H127" s="86"/>
      <c r="I127" s="86"/>
      <c r="J127" s="86"/>
      <c r="K127" s="86"/>
      <c r="L127" s="86"/>
      <c r="M127" s="86"/>
    </row>
    <row r="128" spans="1:13" x14ac:dyDescent="0.2">
      <c r="A128" s="86"/>
      <c r="B128" s="86"/>
      <c r="C128" s="86"/>
      <c r="D128" s="86"/>
      <c r="E128" s="86"/>
      <c r="F128" s="86"/>
      <c r="G128" s="86"/>
      <c r="H128" s="86"/>
      <c r="I128" s="86"/>
      <c r="J128" s="86"/>
      <c r="K128" s="86"/>
      <c r="L128" s="86"/>
      <c r="M128" s="86"/>
    </row>
    <row r="129" spans="1:13" x14ac:dyDescent="0.2">
      <c r="A129" s="86"/>
      <c r="B129" s="86"/>
      <c r="C129" s="86"/>
      <c r="D129" s="86"/>
      <c r="E129" s="86"/>
      <c r="F129" s="86"/>
      <c r="G129" s="86"/>
      <c r="H129" s="86"/>
      <c r="I129" s="86"/>
      <c r="J129" s="86"/>
      <c r="K129" s="86"/>
      <c r="L129" s="86"/>
      <c r="M129" s="86"/>
    </row>
    <row r="130" spans="1:13" x14ac:dyDescent="0.2">
      <c r="A130" s="86"/>
      <c r="B130" s="86"/>
      <c r="C130" s="86"/>
      <c r="D130" s="86"/>
      <c r="E130" s="86"/>
      <c r="F130" s="86"/>
      <c r="G130" s="86"/>
      <c r="H130" s="86"/>
      <c r="I130" s="86"/>
      <c r="J130" s="86"/>
      <c r="K130" s="86"/>
      <c r="L130" s="86"/>
      <c r="M130" s="86"/>
    </row>
    <row r="131" spans="1:13" x14ac:dyDescent="0.2">
      <c r="A131" s="86"/>
      <c r="B131" s="86"/>
      <c r="C131" s="86"/>
      <c r="D131" s="86"/>
      <c r="E131" s="86"/>
      <c r="F131" s="86"/>
      <c r="G131" s="86"/>
      <c r="H131" s="86"/>
      <c r="I131" s="86"/>
      <c r="J131" s="86"/>
      <c r="K131" s="86"/>
      <c r="L131" s="86"/>
      <c r="M131" s="86"/>
    </row>
    <row r="132" spans="1:13" x14ac:dyDescent="0.2">
      <c r="A132" s="86"/>
      <c r="B132" s="86"/>
      <c r="C132" s="86"/>
      <c r="D132" s="86"/>
      <c r="E132" s="86"/>
      <c r="F132" s="86"/>
      <c r="G132" s="86"/>
      <c r="H132" s="86"/>
      <c r="I132" s="86"/>
      <c r="J132" s="86"/>
      <c r="K132" s="86"/>
      <c r="L132" s="86"/>
      <c r="M132" s="86"/>
    </row>
    <row r="133" spans="1:13" x14ac:dyDescent="0.2">
      <c r="A133" s="86"/>
      <c r="B133" s="86"/>
      <c r="C133" s="86"/>
      <c r="D133" s="86"/>
      <c r="E133" s="86"/>
      <c r="F133" s="86"/>
      <c r="G133" s="86"/>
      <c r="H133" s="86"/>
      <c r="I133" s="86"/>
      <c r="J133" s="86"/>
      <c r="K133" s="86"/>
      <c r="L133" s="86"/>
      <c r="M133" s="86"/>
    </row>
    <row r="134" spans="1:13" x14ac:dyDescent="0.2">
      <c r="A134" s="86"/>
      <c r="B134" s="86"/>
      <c r="C134" s="86"/>
      <c r="D134" s="86"/>
      <c r="E134" s="86"/>
      <c r="F134" s="86"/>
      <c r="G134" s="86"/>
      <c r="H134" s="86"/>
      <c r="I134" s="86"/>
      <c r="J134" s="86"/>
      <c r="K134" s="86"/>
      <c r="L134" s="86"/>
      <c r="M134" s="86"/>
    </row>
    <row r="135" spans="1:13" x14ac:dyDescent="0.2">
      <c r="A135" s="86"/>
      <c r="B135" s="86"/>
      <c r="C135" s="86"/>
      <c r="D135" s="86"/>
      <c r="E135" s="86"/>
      <c r="F135" s="86"/>
      <c r="G135" s="86"/>
      <c r="H135" s="86"/>
      <c r="I135" s="86"/>
      <c r="J135" s="86"/>
      <c r="K135" s="86"/>
      <c r="L135" s="86"/>
      <c r="M135" s="86"/>
    </row>
    <row r="136" spans="1:13" x14ac:dyDescent="0.2">
      <c r="A136" s="86"/>
      <c r="B136" s="86"/>
      <c r="C136" s="86"/>
      <c r="D136" s="86"/>
      <c r="E136" s="86"/>
      <c r="F136" s="86"/>
      <c r="G136" s="86"/>
      <c r="H136" s="86"/>
      <c r="I136" s="86"/>
      <c r="J136" s="86"/>
      <c r="K136" s="86"/>
      <c r="L136" s="86"/>
      <c r="M136" s="86"/>
    </row>
    <row r="137" spans="1:13" x14ac:dyDescent="0.2">
      <c r="A137" s="86"/>
      <c r="B137" s="86"/>
      <c r="C137" s="86"/>
      <c r="D137" s="86"/>
      <c r="E137" s="86"/>
      <c r="F137" s="86"/>
      <c r="G137" s="86"/>
      <c r="H137" s="86"/>
      <c r="I137" s="86"/>
      <c r="J137" s="86"/>
      <c r="K137" s="86"/>
      <c r="L137" s="86"/>
      <c r="M137" s="86"/>
    </row>
    <row r="138" spans="1:13" x14ac:dyDescent="0.2">
      <c r="A138" s="86"/>
      <c r="B138" s="86"/>
      <c r="C138" s="86"/>
      <c r="D138" s="86"/>
      <c r="E138" s="86"/>
      <c r="F138" s="86"/>
      <c r="G138" s="86"/>
      <c r="H138" s="86"/>
      <c r="I138" s="86"/>
      <c r="J138" s="86"/>
      <c r="K138" s="86"/>
      <c r="L138" s="86"/>
      <c r="M138" s="86"/>
    </row>
    <row r="139" spans="1:13" x14ac:dyDescent="0.2">
      <c r="A139" s="86"/>
      <c r="B139" s="86"/>
      <c r="C139" s="86"/>
      <c r="D139" s="86"/>
      <c r="E139" s="86"/>
      <c r="F139" s="86"/>
      <c r="G139" s="86"/>
      <c r="H139" s="86"/>
      <c r="I139" s="86"/>
      <c r="J139" s="86"/>
      <c r="K139" s="86"/>
      <c r="L139" s="86"/>
      <c r="M139" s="86"/>
    </row>
    <row r="140" spans="1:13" x14ac:dyDescent="0.2">
      <c r="A140" s="86"/>
      <c r="B140" s="86"/>
      <c r="C140" s="86"/>
      <c r="D140" s="86"/>
      <c r="E140" s="86"/>
      <c r="F140" s="86"/>
      <c r="G140" s="86"/>
      <c r="H140" s="86"/>
      <c r="I140" s="86"/>
      <c r="J140" s="86"/>
      <c r="K140" s="86"/>
      <c r="L140" s="86"/>
      <c r="M140" s="86"/>
    </row>
    <row r="141" spans="1:13" x14ac:dyDescent="0.2">
      <c r="A141" s="86"/>
      <c r="B141" s="86"/>
      <c r="C141" s="86"/>
      <c r="D141" s="86"/>
      <c r="E141" s="86"/>
      <c r="F141" s="86"/>
      <c r="G141" s="86"/>
      <c r="H141" s="86"/>
      <c r="I141" s="86"/>
      <c r="J141" s="86"/>
      <c r="K141" s="86"/>
      <c r="L141" s="86"/>
      <c r="M141" s="86"/>
    </row>
    <row r="142" spans="1:13" x14ac:dyDescent="0.2">
      <c r="A142" s="86"/>
      <c r="B142" s="86"/>
      <c r="C142" s="86"/>
      <c r="D142" s="86"/>
      <c r="E142" s="86"/>
      <c r="F142" s="86"/>
      <c r="G142" s="86"/>
      <c r="H142" s="86"/>
      <c r="I142" s="86"/>
      <c r="J142" s="86"/>
      <c r="K142" s="86"/>
      <c r="L142" s="86"/>
      <c r="M142" s="86"/>
    </row>
    <row r="143" spans="1:13" x14ac:dyDescent="0.2">
      <c r="A143" s="86"/>
      <c r="B143" s="86"/>
      <c r="C143" s="86"/>
      <c r="D143" s="86"/>
      <c r="E143" s="86"/>
      <c r="F143" s="86"/>
      <c r="G143" s="86"/>
      <c r="H143" s="86"/>
      <c r="I143" s="86"/>
      <c r="J143" s="86"/>
      <c r="K143" s="86"/>
      <c r="L143" s="86"/>
      <c r="M143" s="86"/>
    </row>
    <row r="144" spans="1:13" x14ac:dyDescent="0.2">
      <c r="A144" s="86"/>
      <c r="B144" s="86"/>
      <c r="C144" s="86"/>
      <c r="D144" s="86"/>
      <c r="E144" s="86"/>
      <c r="F144" s="86"/>
      <c r="G144" s="86"/>
      <c r="H144" s="86"/>
      <c r="I144" s="86"/>
      <c r="J144" s="86"/>
      <c r="K144" s="86"/>
      <c r="L144" s="86"/>
      <c r="M144" s="86"/>
    </row>
    <row r="145" spans="1:13" x14ac:dyDescent="0.2">
      <c r="A145" s="86"/>
      <c r="B145" s="86"/>
      <c r="C145" s="86"/>
      <c r="D145" s="86"/>
      <c r="E145" s="86"/>
      <c r="F145" s="86"/>
      <c r="G145" s="86"/>
      <c r="H145" s="86"/>
      <c r="I145" s="86"/>
      <c r="J145" s="86"/>
      <c r="K145" s="86"/>
      <c r="L145" s="86"/>
      <c r="M145" s="86"/>
    </row>
    <row r="146" spans="1:13" x14ac:dyDescent="0.2">
      <c r="A146" s="86"/>
      <c r="B146" s="86"/>
      <c r="C146" s="86"/>
      <c r="D146" s="86"/>
      <c r="E146" s="86"/>
      <c r="F146" s="86"/>
      <c r="G146" s="86"/>
      <c r="H146" s="86"/>
      <c r="I146" s="86"/>
      <c r="J146" s="86"/>
      <c r="K146" s="86"/>
      <c r="L146" s="86"/>
      <c r="M146" s="86"/>
    </row>
    <row r="147" spans="1:13" x14ac:dyDescent="0.2">
      <c r="A147" s="86"/>
      <c r="B147" s="86"/>
      <c r="C147" s="86"/>
      <c r="D147" s="86"/>
      <c r="E147" s="86"/>
      <c r="F147" s="86"/>
      <c r="G147" s="86"/>
      <c r="H147" s="86"/>
      <c r="I147" s="86"/>
      <c r="J147" s="86"/>
      <c r="K147" s="86"/>
      <c r="L147" s="86"/>
      <c r="M147" s="86"/>
    </row>
    <row r="148" spans="1:13" x14ac:dyDescent="0.2">
      <c r="A148" s="86"/>
      <c r="B148" s="86"/>
      <c r="C148" s="86"/>
      <c r="D148" s="86"/>
      <c r="E148" s="86"/>
      <c r="F148" s="86"/>
      <c r="G148" s="86"/>
      <c r="H148" s="86"/>
      <c r="I148" s="86"/>
      <c r="J148" s="86"/>
      <c r="K148" s="86"/>
      <c r="L148" s="86"/>
      <c r="M148" s="86"/>
    </row>
    <row r="149" spans="1:13" x14ac:dyDescent="0.2">
      <c r="A149" s="86"/>
      <c r="B149" s="86"/>
      <c r="C149" s="86"/>
      <c r="D149" s="86"/>
      <c r="E149" s="86"/>
      <c r="F149" s="86"/>
      <c r="G149" s="86"/>
      <c r="H149" s="89"/>
      <c r="I149" s="86"/>
      <c r="J149" s="86"/>
      <c r="K149" s="86"/>
      <c r="L149" s="86"/>
      <c r="M149" s="86"/>
    </row>
    <row r="150" spans="1:13" x14ac:dyDescent="0.2">
      <c r="A150" s="86"/>
      <c r="B150" s="86"/>
      <c r="C150" s="86"/>
      <c r="D150" s="86"/>
      <c r="E150" s="86"/>
      <c r="F150" s="86"/>
      <c r="G150" s="86"/>
      <c r="H150" s="89"/>
      <c r="I150" s="86"/>
      <c r="J150" s="86"/>
      <c r="K150" s="86"/>
      <c r="L150" s="86"/>
      <c r="M150" s="86"/>
    </row>
    <row r="151" spans="1:13" x14ac:dyDescent="0.2">
      <c r="A151" s="86"/>
      <c r="B151" s="86"/>
      <c r="C151" s="86"/>
      <c r="D151" s="86"/>
      <c r="E151" s="86"/>
      <c r="F151" s="86"/>
      <c r="G151" s="86"/>
      <c r="H151" s="89"/>
      <c r="I151" s="86"/>
      <c r="J151" s="86"/>
      <c r="K151" s="86"/>
      <c r="L151" s="86"/>
      <c r="M151" s="86"/>
    </row>
    <row r="152" spans="1:13" x14ac:dyDescent="0.2">
      <c r="A152" s="86"/>
      <c r="B152" s="86"/>
      <c r="C152" s="86"/>
      <c r="D152" s="86"/>
      <c r="E152" s="86"/>
      <c r="F152" s="86"/>
      <c r="G152" s="86"/>
      <c r="H152" s="89"/>
      <c r="I152" s="86"/>
      <c r="J152" s="86"/>
      <c r="K152" s="86"/>
      <c r="L152" s="86"/>
      <c r="M152" s="86"/>
    </row>
    <row r="153" spans="1:13" x14ac:dyDescent="0.2">
      <c r="A153" s="86"/>
      <c r="B153" s="86"/>
      <c r="C153" s="86"/>
      <c r="D153" s="86"/>
      <c r="E153" s="86"/>
      <c r="F153" s="86"/>
      <c r="G153" s="86"/>
      <c r="H153" s="89"/>
      <c r="I153" s="86"/>
      <c r="J153" s="86"/>
      <c r="K153" s="86"/>
      <c r="L153" s="86"/>
      <c r="M153" s="86"/>
    </row>
    <row r="154" spans="1:13" x14ac:dyDescent="0.2">
      <c r="A154" s="86"/>
      <c r="B154" s="86"/>
      <c r="C154" s="86"/>
      <c r="D154" s="86"/>
      <c r="E154" s="86"/>
      <c r="F154" s="86"/>
      <c r="G154" s="86"/>
      <c r="H154" s="89"/>
      <c r="I154" s="86"/>
      <c r="J154" s="86"/>
      <c r="K154" s="86"/>
      <c r="L154" s="86"/>
      <c r="M154" s="86"/>
    </row>
    <row r="155" spans="1:13" x14ac:dyDescent="0.2">
      <c r="A155" s="86"/>
      <c r="B155" s="86"/>
      <c r="C155" s="86"/>
      <c r="D155" s="86"/>
      <c r="E155" s="86"/>
      <c r="F155" s="86"/>
      <c r="G155" s="86"/>
      <c r="H155" s="89"/>
      <c r="I155" s="86"/>
      <c r="J155" s="86"/>
      <c r="K155" s="86"/>
      <c r="L155" s="86"/>
      <c r="M155" s="86"/>
    </row>
    <row r="156" spans="1:13" x14ac:dyDescent="0.2">
      <c r="A156" s="86"/>
      <c r="B156" s="86"/>
      <c r="C156" s="86"/>
      <c r="D156" s="86"/>
      <c r="E156" s="86"/>
      <c r="F156" s="86"/>
      <c r="G156" s="86"/>
      <c r="H156" s="89"/>
      <c r="I156" s="86"/>
      <c r="J156" s="86"/>
      <c r="K156" s="86"/>
      <c r="L156" s="86"/>
      <c r="M156" s="86"/>
    </row>
    <row r="157" spans="1:13" x14ac:dyDescent="0.2">
      <c r="A157" s="86"/>
      <c r="B157" s="86"/>
      <c r="C157" s="86"/>
      <c r="D157" s="86"/>
      <c r="E157" s="86"/>
      <c r="F157" s="86"/>
      <c r="G157" s="86"/>
      <c r="H157" s="89"/>
      <c r="I157" s="86"/>
      <c r="J157" s="86"/>
      <c r="K157" s="86"/>
      <c r="L157" s="86"/>
      <c r="M157" s="86"/>
    </row>
    <row r="158" spans="1:13" x14ac:dyDescent="0.2">
      <c r="A158" s="86"/>
      <c r="B158" s="86"/>
      <c r="C158" s="86"/>
      <c r="D158" s="86"/>
      <c r="E158" s="86"/>
      <c r="F158" s="86"/>
      <c r="G158" s="86"/>
      <c r="H158" s="89"/>
      <c r="I158" s="86"/>
      <c r="J158" s="86"/>
      <c r="K158" s="86"/>
      <c r="L158" s="86"/>
      <c r="M158" s="86"/>
    </row>
    <row r="159" spans="1:13" x14ac:dyDescent="0.2">
      <c r="A159" s="86"/>
      <c r="B159" s="86"/>
      <c r="C159" s="86"/>
      <c r="D159" s="86"/>
      <c r="E159" s="86"/>
      <c r="F159" s="86"/>
      <c r="G159" s="86"/>
      <c r="H159" s="89"/>
      <c r="I159" s="86"/>
      <c r="J159" s="86"/>
      <c r="K159" s="86"/>
      <c r="L159" s="86"/>
      <c r="M159" s="86"/>
    </row>
    <row r="160" spans="1:13" x14ac:dyDescent="0.2">
      <c r="A160" s="86"/>
      <c r="B160" s="86"/>
      <c r="C160" s="86"/>
      <c r="D160" s="86"/>
      <c r="E160" s="86"/>
      <c r="F160" s="86"/>
      <c r="G160" s="86"/>
      <c r="H160" s="89"/>
      <c r="I160" s="86"/>
      <c r="J160" s="86"/>
      <c r="K160" s="86"/>
      <c r="L160" s="86"/>
      <c r="M160" s="86"/>
    </row>
    <row r="161" spans="1:13" x14ac:dyDescent="0.2">
      <c r="A161" s="86"/>
      <c r="B161" s="86"/>
      <c r="C161" s="86"/>
      <c r="D161" s="86"/>
      <c r="E161" s="86"/>
      <c r="F161" s="86"/>
      <c r="G161" s="86"/>
      <c r="H161" s="86"/>
      <c r="I161" s="86"/>
      <c r="J161" s="86"/>
      <c r="K161" s="86"/>
      <c r="L161" s="86"/>
      <c r="M161" s="86"/>
    </row>
    <row r="162" spans="1:13" x14ac:dyDescent="0.2">
      <c r="A162" s="86"/>
      <c r="B162" s="86"/>
      <c r="C162" s="86"/>
      <c r="D162" s="86"/>
      <c r="E162" s="86"/>
      <c r="F162" s="86"/>
      <c r="G162" s="86"/>
      <c r="H162" s="86"/>
      <c r="I162" s="86"/>
      <c r="J162" s="86"/>
      <c r="K162" s="86"/>
      <c r="L162" s="86"/>
      <c r="M162" s="86"/>
    </row>
    <row r="163" spans="1:13" x14ac:dyDescent="0.2">
      <c r="A163" s="86"/>
      <c r="B163" s="86"/>
      <c r="C163" s="86"/>
      <c r="D163" s="86"/>
      <c r="E163" s="86"/>
      <c r="F163" s="86"/>
      <c r="G163" s="86"/>
      <c r="H163" s="86"/>
      <c r="I163" s="86"/>
      <c r="J163" s="86"/>
      <c r="K163" s="86"/>
      <c r="L163" s="86"/>
      <c r="M163" s="86"/>
    </row>
    <row r="164" spans="1:13" x14ac:dyDescent="0.2">
      <c r="A164" s="86"/>
      <c r="B164" s="86"/>
      <c r="C164" s="86"/>
      <c r="D164" s="86"/>
      <c r="E164" s="86"/>
      <c r="F164" s="86"/>
      <c r="G164" s="86"/>
      <c r="H164" s="86"/>
      <c r="I164" s="86"/>
      <c r="J164" s="86"/>
      <c r="K164" s="86"/>
      <c r="L164" s="86"/>
      <c r="M164" s="86"/>
    </row>
    <row r="165" spans="1:13" x14ac:dyDescent="0.2">
      <c r="A165" s="86"/>
      <c r="B165" s="86"/>
      <c r="C165" s="86"/>
      <c r="D165" s="86"/>
      <c r="E165" s="86"/>
      <c r="F165" s="86"/>
      <c r="G165" s="86"/>
      <c r="H165" s="86"/>
      <c r="I165" s="89"/>
      <c r="J165" s="86"/>
      <c r="K165" s="86"/>
      <c r="L165" s="86"/>
      <c r="M165" s="86"/>
    </row>
    <row r="166" spans="1:13" x14ac:dyDescent="0.2">
      <c r="A166" s="86"/>
      <c r="B166" s="86"/>
      <c r="C166" s="86"/>
      <c r="D166" s="86"/>
      <c r="E166" s="86"/>
      <c r="F166" s="86"/>
      <c r="G166" s="86"/>
      <c r="H166" s="86"/>
      <c r="I166" s="89"/>
      <c r="J166" s="86"/>
      <c r="K166" s="86"/>
      <c r="L166" s="86"/>
      <c r="M166" s="86"/>
    </row>
    <row r="167" spans="1:13" x14ac:dyDescent="0.2">
      <c r="A167" s="86"/>
      <c r="B167" s="86"/>
      <c r="C167" s="86"/>
      <c r="D167" s="86"/>
      <c r="E167" s="86"/>
      <c r="F167" s="86"/>
      <c r="G167" s="86"/>
      <c r="H167" s="86"/>
      <c r="I167" s="89"/>
      <c r="J167" s="86"/>
      <c r="K167" s="86"/>
      <c r="L167" s="86"/>
      <c r="M167" s="86"/>
    </row>
    <row r="168" spans="1:13" x14ac:dyDescent="0.2">
      <c r="A168" s="86"/>
      <c r="B168" s="86"/>
      <c r="C168" s="86"/>
      <c r="D168" s="86"/>
      <c r="E168" s="86"/>
      <c r="F168" s="86"/>
      <c r="G168" s="86"/>
      <c r="H168" s="86"/>
      <c r="I168" s="89"/>
      <c r="J168" s="86"/>
      <c r="K168" s="86"/>
      <c r="L168" s="86"/>
      <c r="M168" s="86"/>
    </row>
    <row r="169" spans="1:13" x14ac:dyDescent="0.2">
      <c r="A169" s="86"/>
      <c r="B169" s="86"/>
      <c r="C169" s="86"/>
      <c r="D169" s="86"/>
      <c r="E169" s="86"/>
      <c r="F169" s="86"/>
      <c r="G169" s="86"/>
      <c r="H169" s="86"/>
      <c r="I169" s="89"/>
      <c r="J169" s="86"/>
      <c r="K169" s="86"/>
      <c r="L169" s="86"/>
      <c r="M169" s="86"/>
    </row>
    <row r="170" spans="1:13" x14ac:dyDescent="0.2">
      <c r="A170" s="86"/>
      <c r="B170" s="86"/>
      <c r="C170" s="86"/>
      <c r="D170" s="86"/>
      <c r="E170" s="86"/>
      <c r="F170" s="86"/>
      <c r="G170" s="86"/>
      <c r="H170" s="86"/>
      <c r="I170" s="89"/>
      <c r="J170" s="86"/>
      <c r="K170" s="86"/>
      <c r="L170" s="86"/>
      <c r="M170" s="86"/>
    </row>
    <row r="171" spans="1:13" x14ac:dyDescent="0.2">
      <c r="A171" s="86"/>
      <c r="B171" s="86"/>
      <c r="C171" s="86"/>
      <c r="D171" s="86"/>
      <c r="E171" s="86"/>
      <c r="F171" s="86"/>
      <c r="G171" s="86"/>
      <c r="H171" s="86"/>
      <c r="I171" s="89"/>
      <c r="J171" s="86"/>
      <c r="K171" s="86"/>
      <c r="L171" s="86"/>
      <c r="M171" s="86"/>
    </row>
    <row r="172" spans="1:13" x14ac:dyDescent="0.2">
      <c r="A172" s="86"/>
      <c r="B172" s="86"/>
      <c r="C172" s="86"/>
      <c r="D172" s="86"/>
      <c r="E172" s="86"/>
      <c r="F172" s="86"/>
      <c r="G172" s="86"/>
      <c r="H172" s="86"/>
      <c r="I172" s="89"/>
      <c r="J172" s="86"/>
      <c r="K172" s="86"/>
      <c r="L172" s="86"/>
      <c r="M172" s="86"/>
    </row>
    <row r="173" spans="1:13" x14ac:dyDescent="0.2">
      <c r="A173" s="86"/>
      <c r="B173" s="86"/>
      <c r="C173" s="86"/>
      <c r="D173" s="86"/>
      <c r="E173" s="86"/>
      <c r="F173" s="86"/>
      <c r="G173" s="86"/>
      <c r="H173" s="86"/>
      <c r="I173" s="89"/>
      <c r="J173" s="86"/>
      <c r="K173" s="86"/>
      <c r="L173" s="86"/>
      <c r="M173" s="86"/>
    </row>
    <row r="174" spans="1:13" x14ac:dyDescent="0.2">
      <c r="A174" s="86"/>
      <c r="B174" s="86"/>
      <c r="C174" s="86"/>
      <c r="D174" s="86"/>
      <c r="E174" s="86"/>
      <c r="F174" s="86"/>
      <c r="G174" s="86"/>
      <c r="H174" s="86"/>
      <c r="I174" s="89"/>
      <c r="J174" s="86"/>
      <c r="K174" s="86"/>
      <c r="L174" s="86"/>
      <c r="M174" s="86"/>
    </row>
  </sheetData>
  <sheetProtection sheet="1" objects="1" scenarios="1"/>
  <phoneticPr fontId="0" type="noConversion"/>
  <pageMargins left="0.75" right="0.75" top="1" bottom="1" header="0.5" footer="0.5"/>
  <pageSetup scale="83" fitToHeight="2" orientation="portrait" r:id="rId1"/>
  <headerFooter alignWithMargins="0">
    <oddFooter>&amp;L&amp;"Calibri,Regular"Fiscal Year 2021
Capital Expenditure Reporting for a Health Care System&amp;C&amp;"Calibri,Regular"&amp;P of &amp;N&amp;R&amp;"Calibri,Regular"Minnesota Department of Health
phone 651-238-1968/fax 651-201-5179
health.hccis@state.mn.us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26"/>
    <pageSetUpPr fitToPage="1"/>
  </sheetPr>
  <dimension ref="A1:N33"/>
  <sheetViews>
    <sheetView tabSelected="1" zoomScaleNormal="100" workbookViewId="0">
      <selection sqref="A1:H1"/>
    </sheetView>
  </sheetViews>
  <sheetFormatPr defaultRowHeight="15.75" x14ac:dyDescent="0.2"/>
  <cols>
    <col min="1" max="1" width="9.140625" style="101"/>
    <col min="2" max="16384" width="9.140625" style="91"/>
  </cols>
  <sheetData>
    <row r="1" spans="1:11" ht="56.25" customHeight="1" x14ac:dyDescent="0.35">
      <c r="A1" s="531" t="s">
        <v>295</v>
      </c>
      <c r="B1" s="532"/>
      <c r="C1" s="532"/>
      <c r="D1" s="532"/>
      <c r="E1" s="532"/>
      <c r="F1" s="532"/>
      <c r="G1" s="532"/>
      <c r="H1" s="532"/>
      <c r="I1" s="90"/>
      <c r="J1" s="90"/>
      <c r="K1" s="90"/>
    </row>
    <row r="2" spans="1:11" ht="21" x14ac:dyDescent="0.35">
      <c r="A2" s="533" t="str">
        <f>CONCATENATE('Capital Expend Detail'!N1," - Instructions")</f>
        <v>2022 - Instructions</v>
      </c>
      <c r="B2" s="532"/>
      <c r="C2" s="532"/>
      <c r="D2" s="532"/>
      <c r="E2" s="532"/>
      <c r="F2" s="532"/>
      <c r="G2" s="532"/>
      <c r="H2" s="532"/>
      <c r="I2" s="92"/>
      <c r="J2" s="92"/>
      <c r="K2" s="92"/>
    </row>
    <row r="3" spans="1:11" ht="9" customHeight="1" x14ac:dyDescent="0.35">
      <c r="A3" s="93"/>
      <c r="B3" s="92"/>
      <c r="C3" s="92"/>
      <c r="D3" s="92"/>
      <c r="E3" s="92"/>
      <c r="F3" s="92"/>
      <c r="G3" s="92"/>
      <c r="H3" s="92"/>
      <c r="I3" s="92"/>
      <c r="J3" s="92"/>
      <c r="K3" s="92"/>
    </row>
    <row r="4" spans="1:11" ht="26.25" customHeight="1" x14ac:dyDescent="0.2">
      <c r="A4" s="94">
        <v>1</v>
      </c>
      <c r="B4" s="534" t="s">
        <v>289</v>
      </c>
      <c r="C4" s="534"/>
      <c r="D4" s="534"/>
      <c r="E4" s="534"/>
      <c r="F4" s="534"/>
      <c r="G4" s="534"/>
      <c r="H4" s="534"/>
      <c r="I4" s="534"/>
      <c r="J4" s="534"/>
      <c r="K4" s="534"/>
    </row>
    <row r="5" spans="1:11" ht="15" customHeight="1" x14ac:dyDescent="0.35">
      <c r="A5" s="93"/>
      <c r="B5" s="537" t="s">
        <v>290</v>
      </c>
      <c r="C5" s="537"/>
      <c r="D5" s="537"/>
      <c r="E5" s="537"/>
      <c r="F5" s="92"/>
      <c r="G5" s="92"/>
      <c r="H5" s="92"/>
      <c r="I5" s="92"/>
      <c r="J5" s="92"/>
      <c r="K5" s="92"/>
    </row>
    <row r="6" spans="1:11" ht="9" customHeight="1" x14ac:dyDescent="0.35">
      <c r="A6" s="93"/>
      <c r="B6" s="95"/>
      <c r="C6" s="95"/>
      <c r="D6" s="95"/>
      <c r="E6" s="95"/>
      <c r="F6" s="92"/>
      <c r="G6" s="92"/>
      <c r="H6" s="92"/>
      <c r="I6" s="92"/>
      <c r="J6" s="92"/>
      <c r="K6" s="92"/>
    </row>
    <row r="7" spans="1:11" ht="27.75" customHeight="1" x14ac:dyDescent="0.2">
      <c r="A7" s="94">
        <v>2</v>
      </c>
      <c r="B7" s="538" t="s">
        <v>291</v>
      </c>
      <c r="C7" s="539"/>
      <c r="D7" s="539"/>
      <c r="E7" s="539"/>
      <c r="F7" s="539"/>
      <c r="G7" s="539"/>
      <c r="H7" s="539"/>
      <c r="I7" s="539"/>
      <c r="J7" s="539"/>
      <c r="K7" s="539"/>
    </row>
    <row r="8" spans="1:11" ht="9" customHeight="1" x14ac:dyDescent="0.35">
      <c r="A8" s="93"/>
      <c r="B8" s="95"/>
      <c r="C8" s="95"/>
      <c r="D8" s="95"/>
      <c r="E8" s="95"/>
      <c r="F8" s="92"/>
      <c r="G8" s="92"/>
      <c r="H8" s="92"/>
      <c r="I8" s="92"/>
      <c r="J8" s="92"/>
      <c r="K8" s="92"/>
    </row>
    <row r="9" spans="1:11" ht="41.25" customHeight="1" x14ac:dyDescent="0.2">
      <c r="A9" s="94">
        <v>3</v>
      </c>
      <c r="B9" s="538" t="s">
        <v>292</v>
      </c>
      <c r="C9" s="539"/>
      <c r="D9" s="539"/>
      <c r="E9" s="539"/>
      <c r="F9" s="539"/>
      <c r="G9" s="539"/>
      <c r="H9" s="539"/>
      <c r="I9" s="539"/>
      <c r="J9" s="539"/>
      <c r="K9" s="539"/>
    </row>
    <row r="10" spans="1:11" ht="9" customHeight="1" x14ac:dyDescent="0.35">
      <c r="A10" s="94"/>
      <c r="B10" s="92"/>
      <c r="C10" s="92"/>
      <c r="D10" s="92"/>
      <c r="E10" s="92"/>
      <c r="F10" s="92"/>
      <c r="G10" s="92"/>
      <c r="H10" s="92"/>
      <c r="I10" s="92"/>
      <c r="J10" s="92"/>
      <c r="K10" s="92"/>
    </row>
    <row r="11" spans="1:11" ht="40.5" customHeight="1" x14ac:dyDescent="0.2">
      <c r="A11" s="94">
        <v>4</v>
      </c>
      <c r="B11" s="539" t="s">
        <v>293</v>
      </c>
      <c r="C11" s="539"/>
      <c r="D11" s="539"/>
      <c r="E11" s="539"/>
      <c r="F11" s="539"/>
      <c r="G11" s="539"/>
      <c r="H11" s="539"/>
      <c r="I11" s="539"/>
      <c r="J11" s="539"/>
      <c r="K11" s="539"/>
    </row>
    <row r="12" spans="1:11" ht="9" customHeight="1" x14ac:dyDescent="0.35">
      <c r="A12" s="94"/>
      <c r="B12" s="92"/>
      <c r="C12" s="92"/>
      <c r="D12" s="92"/>
      <c r="E12" s="92"/>
      <c r="F12" s="92"/>
      <c r="G12" s="92"/>
      <c r="H12" s="92"/>
      <c r="I12" s="92"/>
      <c r="J12" s="92"/>
      <c r="K12" s="92"/>
    </row>
    <row r="13" spans="1:11" ht="39.75" customHeight="1" x14ac:dyDescent="0.2">
      <c r="A13" s="94">
        <v>5</v>
      </c>
      <c r="B13" s="539" t="s">
        <v>294</v>
      </c>
      <c r="C13" s="539"/>
      <c r="D13" s="539"/>
      <c r="E13" s="539"/>
      <c r="F13" s="539"/>
      <c r="G13" s="539"/>
      <c r="H13" s="539"/>
      <c r="I13" s="539"/>
      <c r="J13" s="539"/>
      <c r="K13" s="539"/>
    </row>
    <row r="14" spans="1:11" ht="9" customHeight="1" x14ac:dyDescent="0.35">
      <c r="A14" s="94"/>
      <c r="B14" s="92"/>
      <c r="C14" s="92"/>
      <c r="D14" s="92"/>
      <c r="E14" s="92"/>
      <c r="F14" s="92"/>
      <c r="G14" s="92"/>
      <c r="H14" s="92"/>
      <c r="I14" s="92"/>
      <c r="J14" s="92"/>
      <c r="K14" s="92"/>
    </row>
    <row r="15" spans="1:11" ht="13.5" customHeight="1" x14ac:dyDescent="0.2">
      <c r="A15" s="94">
        <v>6</v>
      </c>
      <c r="B15" s="536" t="s">
        <v>638</v>
      </c>
      <c r="C15" s="536"/>
      <c r="D15" s="536"/>
      <c r="E15" s="536"/>
      <c r="F15" s="536"/>
      <c r="G15" s="536"/>
      <c r="H15" s="536"/>
      <c r="I15" s="536"/>
      <c r="J15" s="536"/>
      <c r="K15" s="536"/>
    </row>
    <row r="16" spans="1:11" ht="9" customHeight="1" x14ac:dyDescent="0.2">
      <c r="A16" s="94"/>
      <c r="B16" s="96"/>
      <c r="C16" s="96"/>
      <c r="D16" s="96"/>
      <c r="E16" s="96"/>
      <c r="F16" s="96"/>
      <c r="G16" s="96"/>
      <c r="H16" s="96"/>
      <c r="I16" s="96"/>
      <c r="J16" s="96"/>
      <c r="K16" s="96"/>
    </row>
    <row r="17" spans="1:14" ht="28.5" customHeight="1" x14ac:dyDescent="0.2">
      <c r="A17" s="94">
        <v>7</v>
      </c>
      <c r="B17" s="536" t="s">
        <v>12</v>
      </c>
      <c r="C17" s="536"/>
      <c r="D17" s="536"/>
      <c r="E17" s="536"/>
      <c r="F17" s="536"/>
      <c r="G17" s="536"/>
      <c r="H17" s="536"/>
      <c r="I17" s="536"/>
      <c r="J17" s="536"/>
      <c r="K17" s="536"/>
    </row>
    <row r="18" spans="1:14" ht="9" customHeight="1" x14ac:dyDescent="0.2">
      <c r="A18" s="94"/>
      <c r="B18" s="96"/>
      <c r="C18" s="96"/>
      <c r="D18" s="96"/>
      <c r="E18" s="96"/>
      <c r="F18" s="96"/>
      <c r="G18" s="96"/>
      <c r="H18" s="96"/>
      <c r="I18" s="96"/>
      <c r="J18" s="96"/>
      <c r="K18" s="96"/>
    </row>
    <row r="19" spans="1:14" ht="26.25" customHeight="1" x14ac:dyDescent="0.2">
      <c r="A19" s="94">
        <v>8</v>
      </c>
      <c r="B19" s="544" t="s">
        <v>114</v>
      </c>
      <c r="C19" s="536"/>
      <c r="D19" s="536"/>
      <c r="E19" s="536"/>
      <c r="F19" s="536"/>
      <c r="G19" s="536"/>
      <c r="H19" s="536"/>
      <c r="I19" s="536"/>
      <c r="J19" s="536"/>
      <c r="K19" s="536"/>
    </row>
    <row r="20" spans="1:14" ht="9" customHeight="1" x14ac:dyDescent="0.2">
      <c r="A20" s="94"/>
      <c r="B20" s="97"/>
      <c r="C20" s="96"/>
      <c r="D20" s="96"/>
      <c r="E20" s="96"/>
      <c r="F20" s="96"/>
      <c r="G20" s="96"/>
      <c r="H20" s="96"/>
      <c r="I20" s="96"/>
      <c r="J20" s="96"/>
      <c r="K20" s="96"/>
    </row>
    <row r="21" spans="1:14" ht="15" customHeight="1" x14ac:dyDescent="0.2">
      <c r="A21" s="94">
        <v>9</v>
      </c>
      <c r="B21" s="534" t="s">
        <v>73</v>
      </c>
      <c r="C21" s="534"/>
      <c r="D21" s="534"/>
      <c r="E21" s="534"/>
      <c r="F21" s="534"/>
      <c r="G21" s="534"/>
      <c r="H21" s="534"/>
      <c r="I21" s="534"/>
      <c r="J21" s="534"/>
      <c r="K21" s="534"/>
    </row>
    <row r="22" spans="1:14" ht="14.25" customHeight="1" x14ac:dyDescent="0.2">
      <c r="A22" s="94"/>
      <c r="B22" s="98" t="s">
        <v>74</v>
      </c>
      <c r="C22" s="534" t="s">
        <v>639</v>
      </c>
      <c r="D22" s="534"/>
      <c r="E22" s="534"/>
      <c r="F22" s="534"/>
      <c r="G22" s="534"/>
      <c r="H22" s="534"/>
      <c r="I22" s="534"/>
      <c r="J22" s="534"/>
      <c r="K22" s="534"/>
    </row>
    <row r="23" spans="1:14" ht="15" customHeight="1" x14ac:dyDescent="0.2">
      <c r="A23" s="94"/>
      <c r="B23" s="98" t="s">
        <v>75</v>
      </c>
      <c r="C23" s="535" t="s">
        <v>640</v>
      </c>
      <c r="D23" s="535"/>
      <c r="E23" s="535"/>
      <c r="F23" s="535"/>
      <c r="G23" s="535"/>
      <c r="H23" s="535"/>
      <c r="I23" s="535"/>
      <c r="J23" s="535"/>
      <c r="K23" s="535"/>
    </row>
    <row r="24" spans="1:14" ht="15" customHeight="1" x14ac:dyDescent="0.2">
      <c r="A24" s="94"/>
      <c r="B24" s="98" t="s">
        <v>76</v>
      </c>
      <c r="C24" s="534" t="s">
        <v>641</v>
      </c>
      <c r="D24" s="534"/>
      <c r="E24" s="534"/>
      <c r="F24" s="534"/>
      <c r="G24" s="534"/>
      <c r="H24" s="534"/>
      <c r="I24" s="534"/>
      <c r="J24" s="534"/>
      <c r="K24" s="99"/>
    </row>
    <row r="25" spans="1:14" ht="15" customHeight="1" x14ac:dyDescent="0.2">
      <c r="A25" s="94"/>
      <c r="B25" s="98" t="s">
        <v>77</v>
      </c>
      <c r="C25" s="534" t="s">
        <v>78</v>
      </c>
      <c r="D25" s="543"/>
      <c r="E25" s="543"/>
      <c r="F25" s="543"/>
      <c r="G25" s="543"/>
      <c r="H25" s="543"/>
      <c r="I25" s="543"/>
      <c r="J25" s="543"/>
      <c r="K25" s="543"/>
    </row>
    <row r="26" spans="1:14" ht="9" customHeight="1" x14ac:dyDescent="0.2">
      <c r="A26" s="94"/>
      <c r="B26" s="98"/>
      <c r="C26" s="99"/>
      <c r="D26" s="99"/>
      <c r="E26" s="99"/>
      <c r="F26" s="99"/>
      <c r="G26" s="99"/>
      <c r="H26" s="99"/>
      <c r="I26" s="99"/>
      <c r="J26" s="99"/>
      <c r="K26" s="99"/>
    </row>
    <row r="27" spans="1:14" ht="54" customHeight="1" x14ac:dyDescent="0.2">
      <c r="A27" s="94">
        <v>10</v>
      </c>
      <c r="B27" s="540" t="s">
        <v>911</v>
      </c>
      <c r="C27" s="539"/>
      <c r="D27" s="539"/>
      <c r="E27" s="539"/>
      <c r="F27" s="539"/>
      <c r="G27" s="539"/>
      <c r="H27" s="539"/>
      <c r="I27" s="539"/>
      <c r="J27" s="539"/>
      <c r="K27" s="539"/>
    </row>
    <row r="28" spans="1:14" ht="15" customHeight="1" x14ac:dyDescent="0.2">
      <c r="A28" s="94"/>
      <c r="B28" s="541" t="s">
        <v>636</v>
      </c>
      <c r="C28" s="542"/>
      <c r="D28" s="542"/>
      <c r="E28" s="542"/>
      <c r="F28" s="99"/>
      <c r="G28" s="99"/>
      <c r="H28" s="99"/>
      <c r="I28" s="99"/>
      <c r="J28" s="99"/>
      <c r="K28" s="99"/>
    </row>
    <row r="29" spans="1:14" ht="9" customHeight="1" x14ac:dyDescent="0.2">
      <c r="A29" s="94"/>
    </row>
    <row r="30" spans="1:14" ht="39.75" customHeight="1" x14ac:dyDescent="0.2">
      <c r="A30" s="94">
        <v>11</v>
      </c>
      <c r="B30" s="549" t="s">
        <v>655</v>
      </c>
      <c r="C30" s="549"/>
      <c r="D30" s="549"/>
      <c r="E30" s="549"/>
      <c r="F30" s="549"/>
      <c r="G30" s="549"/>
      <c r="H30" s="549"/>
      <c r="I30" s="549"/>
      <c r="J30" s="549"/>
      <c r="K30" s="549"/>
      <c r="L30" s="545"/>
      <c r="M30" s="545"/>
      <c r="N30" s="545"/>
    </row>
    <row r="31" spans="1:14" ht="15.75" customHeight="1" x14ac:dyDescent="0.2">
      <c r="A31" s="94"/>
      <c r="B31" s="548" t="s">
        <v>288</v>
      </c>
      <c r="C31" s="548"/>
      <c r="D31" s="548"/>
      <c r="E31" s="100"/>
      <c r="F31" s="100"/>
      <c r="G31" s="100"/>
      <c r="H31" s="100"/>
      <c r="I31" s="100"/>
      <c r="J31" s="100"/>
      <c r="K31" s="100"/>
    </row>
    <row r="32" spans="1:14" ht="12.75" x14ac:dyDescent="0.2">
      <c r="A32" s="94"/>
      <c r="B32" s="544"/>
      <c r="C32" s="539"/>
      <c r="D32" s="539"/>
      <c r="E32" s="539"/>
      <c r="F32" s="539"/>
      <c r="G32" s="539"/>
      <c r="H32" s="539"/>
      <c r="I32" s="539"/>
      <c r="J32" s="539"/>
      <c r="K32" s="539"/>
    </row>
    <row r="33" spans="1:6" ht="21.75" customHeight="1" x14ac:dyDescent="0.2">
      <c r="A33" s="94"/>
      <c r="E33" s="546" t="s">
        <v>132</v>
      </c>
      <c r="F33" s="547"/>
    </row>
  </sheetData>
  <sheetProtection sheet="1" objects="1" scenarios="1"/>
  <mergeCells count="23">
    <mergeCell ref="L30:N30"/>
    <mergeCell ref="E33:F33"/>
    <mergeCell ref="B32:K32"/>
    <mergeCell ref="B31:D31"/>
    <mergeCell ref="B30:K30"/>
    <mergeCell ref="B27:K27"/>
    <mergeCell ref="B28:E28"/>
    <mergeCell ref="B9:K9"/>
    <mergeCell ref="B11:K11"/>
    <mergeCell ref="B13:K13"/>
    <mergeCell ref="C24:J24"/>
    <mergeCell ref="C25:K25"/>
    <mergeCell ref="B15:K15"/>
    <mergeCell ref="B19:K19"/>
    <mergeCell ref="B21:K21"/>
    <mergeCell ref="A1:H1"/>
    <mergeCell ref="A2:H2"/>
    <mergeCell ref="C22:K22"/>
    <mergeCell ref="C23:K23"/>
    <mergeCell ref="B17:K17"/>
    <mergeCell ref="B4:K4"/>
    <mergeCell ref="B5:E5"/>
    <mergeCell ref="B7:K7"/>
  </mergeCells>
  <phoneticPr fontId="0" type="noConversion"/>
  <hyperlinks>
    <hyperlink ref="E33" location="start" display="start" xr:uid="{00000000-0004-0000-0200-000000000000}"/>
    <hyperlink ref="B5:E5" r:id="rId1" display="Minnesota Statutes, Section 62J.17" xr:uid="{00000000-0004-0000-0200-000001000000}"/>
    <hyperlink ref="B31:D31" r:id="rId2" display="health.hccis@state.mn.us" xr:uid="{00000000-0004-0000-0200-000002000000}"/>
    <hyperlink ref="B31" r:id="rId3" display="amy.camp@state.mn.us" xr:uid="{00000000-0004-0000-0200-000003000000}"/>
    <hyperlink ref="B28" r:id="rId4" xr:uid="{00000000-0004-0000-0200-000004000000}"/>
    <hyperlink ref="B28:E28" r:id="rId5" display="tracy.l.johnson@state.mn.us" xr:uid="{00000000-0004-0000-0200-000005000000}"/>
  </hyperlinks>
  <printOptions horizontalCentered="1"/>
  <pageMargins left="0.75" right="0.75" top="1" bottom="1" header="0.5" footer="0.5"/>
  <pageSetup scale="89" orientation="portrait" r:id="rId6"/>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226"/>
  <sheetViews>
    <sheetView zoomScaleNormal="100" workbookViewId="0">
      <selection activeCell="A2" sqref="A2"/>
    </sheetView>
  </sheetViews>
  <sheetFormatPr defaultColWidth="9.140625" defaultRowHeight="12.75" x14ac:dyDescent="0.2"/>
  <cols>
    <col min="1" max="3" width="9.140625" style="455"/>
    <col min="4" max="4" width="24.85546875" style="456" customWidth="1"/>
    <col min="5" max="5" width="10.85546875" style="455" customWidth="1"/>
    <col min="6" max="6" width="10.28515625" style="455" customWidth="1"/>
    <col min="7" max="7" width="9.140625" style="455"/>
    <col min="8" max="8" width="31.5703125" style="455" customWidth="1"/>
    <col min="9" max="9" width="13" style="455" customWidth="1"/>
    <col min="10" max="10" width="13.42578125" style="462" customWidth="1"/>
    <col min="11" max="11" width="12.5703125" style="455" customWidth="1"/>
    <col min="12" max="12" width="12" style="478" customWidth="1"/>
    <col min="13" max="13" width="12.7109375" style="456" customWidth="1"/>
    <col min="14" max="14" width="41.85546875" style="455" customWidth="1"/>
    <col min="15" max="15" width="35.140625" style="455" customWidth="1"/>
    <col min="16" max="16" width="31.28515625" style="455" customWidth="1"/>
    <col min="17" max="17" width="80.140625" style="455" customWidth="1"/>
    <col min="18" max="259" width="9.140625" style="455"/>
    <col min="260" max="260" width="28.140625" style="455" customWidth="1"/>
    <col min="261" max="261" width="10.85546875" style="455" customWidth="1"/>
    <col min="262" max="262" width="10.28515625" style="455" customWidth="1"/>
    <col min="263" max="263" width="9.140625" style="455"/>
    <col min="264" max="264" width="34.7109375" style="455" customWidth="1"/>
    <col min="265" max="265" width="16.5703125" style="455" customWidth="1"/>
    <col min="266" max="266" width="24" style="455" customWidth="1"/>
    <col min="267" max="267" width="12.5703125" style="455" customWidth="1"/>
    <col min="268" max="268" width="12" style="455" customWidth="1"/>
    <col min="269" max="269" width="12.7109375" style="455" customWidth="1"/>
    <col min="270" max="270" width="41.85546875" style="455" customWidth="1"/>
    <col min="271" max="271" width="35.140625" style="455" customWidth="1"/>
    <col min="272" max="272" width="31.28515625" style="455" customWidth="1"/>
    <col min="273" max="273" width="80.140625" style="455" customWidth="1"/>
    <col min="274" max="515" width="9.140625" style="455"/>
    <col min="516" max="516" width="28.140625" style="455" customWidth="1"/>
    <col min="517" max="517" width="10.85546875" style="455" customWidth="1"/>
    <col min="518" max="518" width="10.28515625" style="455" customWidth="1"/>
    <col min="519" max="519" width="9.140625" style="455"/>
    <col min="520" max="520" width="34.7109375" style="455" customWidth="1"/>
    <col min="521" max="521" width="16.5703125" style="455" customWidth="1"/>
    <col min="522" max="522" width="24" style="455" customWidth="1"/>
    <col min="523" max="523" width="12.5703125" style="455" customWidth="1"/>
    <col min="524" max="524" width="12" style="455" customWidth="1"/>
    <col min="525" max="525" width="12.7109375" style="455" customWidth="1"/>
    <col min="526" max="526" width="41.85546875" style="455" customWidth="1"/>
    <col min="527" max="527" width="35.140625" style="455" customWidth="1"/>
    <col min="528" max="528" width="31.28515625" style="455" customWidth="1"/>
    <col min="529" max="529" width="80.140625" style="455" customWidth="1"/>
    <col min="530" max="771" width="9.140625" style="455"/>
    <col min="772" max="772" width="28.140625" style="455" customWidth="1"/>
    <col min="773" max="773" width="10.85546875" style="455" customWidth="1"/>
    <col min="774" max="774" width="10.28515625" style="455" customWidth="1"/>
    <col min="775" max="775" width="9.140625" style="455"/>
    <col min="776" max="776" width="34.7109375" style="455" customWidth="1"/>
    <col min="777" max="777" width="16.5703125" style="455" customWidth="1"/>
    <col min="778" max="778" width="24" style="455" customWidth="1"/>
    <col min="779" max="779" width="12.5703125" style="455" customWidth="1"/>
    <col min="780" max="780" width="12" style="455" customWidth="1"/>
    <col min="781" max="781" width="12.7109375" style="455" customWidth="1"/>
    <col min="782" max="782" width="41.85546875" style="455" customWidth="1"/>
    <col min="783" max="783" width="35.140625" style="455" customWidth="1"/>
    <col min="784" max="784" width="31.28515625" style="455" customWidth="1"/>
    <col min="785" max="785" width="80.140625" style="455" customWidth="1"/>
    <col min="786" max="1027" width="9.140625" style="455"/>
    <col min="1028" max="1028" width="28.140625" style="455" customWidth="1"/>
    <col min="1029" max="1029" width="10.85546875" style="455" customWidth="1"/>
    <col min="1030" max="1030" width="10.28515625" style="455" customWidth="1"/>
    <col min="1031" max="1031" width="9.140625" style="455"/>
    <col min="1032" max="1032" width="34.7109375" style="455" customWidth="1"/>
    <col min="1033" max="1033" width="16.5703125" style="455" customWidth="1"/>
    <col min="1034" max="1034" width="24" style="455" customWidth="1"/>
    <col min="1035" max="1035" width="12.5703125" style="455" customWidth="1"/>
    <col min="1036" max="1036" width="12" style="455" customWidth="1"/>
    <col min="1037" max="1037" width="12.7109375" style="455" customWidth="1"/>
    <col min="1038" max="1038" width="41.85546875" style="455" customWidth="1"/>
    <col min="1039" max="1039" width="35.140625" style="455" customWidth="1"/>
    <col min="1040" max="1040" width="31.28515625" style="455" customWidth="1"/>
    <col min="1041" max="1041" width="80.140625" style="455" customWidth="1"/>
    <col min="1042" max="1283" width="9.140625" style="455"/>
    <col min="1284" max="1284" width="28.140625" style="455" customWidth="1"/>
    <col min="1285" max="1285" width="10.85546875" style="455" customWidth="1"/>
    <col min="1286" max="1286" width="10.28515625" style="455" customWidth="1"/>
    <col min="1287" max="1287" width="9.140625" style="455"/>
    <col min="1288" max="1288" width="34.7109375" style="455" customWidth="1"/>
    <col min="1289" max="1289" width="16.5703125" style="455" customWidth="1"/>
    <col min="1290" max="1290" width="24" style="455" customWidth="1"/>
    <col min="1291" max="1291" width="12.5703125" style="455" customWidth="1"/>
    <col min="1292" max="1292" width="12" style="455" customWidth="1"/>
    <col min="1293" max="1293" width="12.7109375" style="455" customWidth="1"/>
    <col min="1294" max="1294" width="41.85546875" style="455" customWidth="1"/>
    <col min="1295" max="1295" width="35.140625" style="455" customWidth="1"/>
    <col min="1296" max="1296" width="31.28515625" style="455" customWidth="1"/>
    <col min="1297" max="1297" width="80.140625" style="455" customWidth="1"/>
    <col min="1298" max="1539" width="9.140625" style="455"/>
    <col min="1540" max="1540" width="28.140625" style="455" customWidth="1"/>
    <col min="1541" max="1541" width="10.85546875" style="455" customWidth="1"/>
    <col min="1542" max="1542" width="10.28515625" style="455" customWidth="1"/>
    <col min="1543" max="1543" width="9.140625" style="455"/>
    <col min="1544" max="1544" width="34.7109375" style="455" customWidth="1"/>
    <col min="1545" max="1545" width="16.5703125" style="455" customWidth="1"/>
    <col min="1546" max="1546" width="24" style="455" customWidth="1"/>
    <col min="1547" max="1547" width="12.5703125" style="455" customWidth="1"/>
    <col min="1548" max="1548" width="12" style="455" customWidth="1"/>
    <col min="1549" max="1549" width="12.7109375" style="455" customWidth="1"/>
    <col min="1550" max="1550" width="41.85546875" style="455" customWidth="1"/>
    <col min="1551" max="1551" width="35.140625" style="455" customWidth="1"/>
    <col min="1552" max="1552" width="31.28515625" style="455" customWidth="1"/>
    <col min="1553" max="1553" width="80.140625" style="455" customWidth="1"/>
    <col min="1554" max="1795" width="9.140625" style="455"/>
    <col min="1796" max="1796" width="28.140625" style="455" customWidth="1"/>
    <col min="1797" max="1797" width="10.85546875" style="455" customWidth="1"/>
    <col min="1798" max="1798" width="10.28515625" style="455" customWidth="1"/>
    <col min="1799" max="1799" width="9.140625" style="455"/>
    <col min="1800" max="1800" width="34.7109375" style="455" customWidth="1"/>
    <col min="1801" max="1801" width="16.5703125" style="455" customWidth="1"/>
    <col min="1802" max="1802" width="24" style="455" customWidth="1"/>
    <col min="1803" max="1803" width="12.5703125" style="455" customWidth="1"/>
    <col min="1804" max="1804" width="12" style="455" customWidth="1"/>
    <col min="1805" max="1805" width="12.7109375" style="455" customWidth="1"/>
    <col min="1806" max="1806" width="41.85546875" style="455" customWidth="1"/>
    <col min="1807" max="1807" width="35.140625" style="455" customWidth="1"/>
    <col min="1808" max="1808" width="31.28515625" style="455" customWidth="1"/>
    <col min="1809" max="1809" width="80.140625" style="455" customWidth="1"/>
    <col min="1810" max="2051" width="9.140625" style="455"/>
    <col min="2052" max="2052" width="28.140625" style="455" customWidth="1"/>
    <col min="2053" max="2053" width="10.85546875" style="455" customWidth="1"/>
    <col min="2054" max="2054" width="10.28515625" style="455" customWidth="1"/>
    <col min="2055" max="2055" width="9.140625" style="455"/>
    <col min="2056" max="2056" width="34.7109375" style="455" customWidth="1"/>
    <col min="2057" max="2057" width="16.5703125" style="455" customWidth="1"/>
    <col min="2058" max="2058" width="24" style="455" customWidth="1"/>
    <col min="2059" max="2059" width="12.5703125" style="455" customWidth="1"/>
    <col min="2060" max="2060" width="12" style="455" customWidth="1"/>
    <col min="2061" max="2061" width="12.7109375" style="455" customWidth="1"/>
    <col min="2062" max="2062" width="41.85546875" style="455" customWidth="1"/>
    <col min="2063" max="2063" width="35.140625" style="455" customWidth="1"/>
    <col min="2064" max="2064" width="31.28515625" style="455" customWidth="1"/>
    <col min="2065" max="2065" width="80.140625" style="455" customWidth="1"/>
    <col min="2066" max="2307" width="9.140625" style="455"/>
    <col min="2308" max="2308" width="28.140625" style="455" customWidth="1"/>
    <col min="2309" max="2309" width="10.85546875" style="455" customWidth="1"/>
    <col min="2310" max="2310" width="10.28515625" style="455" customWidth="1"/>
    <col min="2311" max="2311" width="9.140625" style="455"/>
    <col min="2312" max="2312" width="34.7109375" style="455" customWidth="1"/>
    <col min="2313" max="2313" width="16.5703125" style="455" customWidth="1"/>
    <col min="2314" max="2314" width="24" style="455" customWidth="1"/>
    <col min="2315" max="2315" width="12.5703125" style="455" customWidth="1"/>
    <col min="2316" max="2316" width="12" style="455" customWidth="1"/>
    <col min="2317" max="2317" width="12.7109375" style="455" customWidth="1"/>
    <col min="2318" max="2318" width="41.85546875" style="455" customWidth="1"/>
    <col min="2319" max="2319" width="35.140625" style="455" customWidth="1"/>
    <col min="2320" max="2320" width="31.28515625" style="455" customWidth="1"/>
    <col min="2321" max="2321" width="80.140625" style="455" customWidth="1"/>
    <col min="2322" max="2563" width="9.140625" style="455"/>
    <col min="2564" max="2564" width="28.140625" style="455" customWidth="1"/>
    <col min="2565" max="2565" width="10.85546875" style="455" customWidth="1"/>
    <col min="2566" max="2566" width="10.28515625" style="455" customWidth="1"/>
    <col min="2567" max="2567" width="9.140625" style="455"/>
    <col min="2568" max="2568" width="34.7109375" style="455" customWidth="1"/>
    <col min="2569" max="2569" width="16.5703125" style="455" customWidth="1"/>
    <col min="2570" max="2570" width="24" style="455" customWidth="1"/>
    <col min="2571" max="2571" width="12.5703125" style="455" customWidth="1"/>
    <col min="2572" max="2572" width="12" style="455" customWidth="1"/>
    <col min="2573" max="2573" width="12.7109375" style="455" customWidth="1"/>
    <col min="2574" max="2574" width="41.85546875" style="455" customWidth="1"/>
    <col min="2575" max="2575" width="35.140625" style="455" customWidth="1"/>
    <col min="2576" max="2576" width="31.28515625" style="455" customWidth="1"/>
    <col min="2577" max="2577" width="80.140625" style="455" customWidth="1"/>
    <col min="2578" max="2819" width="9.140625" style="455"/>
    <col min="2820" max="2820" width="28.140625" style="455" customWidth="1"/>
    <col min="2821" max="2821" width="10.85546875" style="455" customWidth="1"/>
    <col min="2822" max="2822" width="10.28515625" style="455" customWidth="1"/>
    <col min="2823" max="2823" width="9.140625" style="455"/>
    <col min="2824" max="2824" width="34.7109375" style="455" customWidth="1"/>
    <col min="2825" max="2825" width="16.5703125" style="455" customWidth="1"/>
    <col min="2826" max="2826" width="24" style="455" customWidth="1"/>
    <col min="2827" max="2827" width="12.5703125" style="455" customWidth="1"/>
    <col min="2828" max="2828" width="12" style="455" customWidth="1"/>
    <col min="2829" max="2829" width="12.7109375" style="455" customWidth="1"/>
    <col min="2830" max="2830" width="41.85546875" style="455" customWidth="1"/>
    <col min="2831" max="2831" width="35.140625" style="455" customWidth="1"/>
    <col min="2832" max="2832" width="31.28515625" style="455" customWidth="1"/>
    <col min="2833" max="2833" width="80.140625" style="455" customWidth="1"/>
    <col min="2834" max="3075" width="9.140625" style="455"/>
    <col min="3076" max="3076" width="28.140625" style="455" customWidth="1"/>
    <col min="3077" max="3077" width="10.85546875" style="455" customWidth="1"/>
    <col min="3078" max="3078" width="10.28515625" style="455" customWidth="1"/>
    <col min="3079" max="3079" width="9.140625" style="455"/>
    <col min="3080" max="3080" width="34.7109375" style="455" customWidth="1"/>
    <col min="3081" max="3081" width="16.5703125" style="455" customWidth="1"/>
    <col min="3082" max="3082" width="24" style="455" customWidth="1"/>
    <col min="3083" max="3083" width="12.5703125" style="455" customWidth="1"/>
    <col min="3084" max="3084" width="12" style="455" customWidth="1"/>
    <col min="3085" max="3085" width="12.7109375" style="455" customWidth="1"/>
    <col min="3086" max="3086" width="41.85546875" style="455" customWidth="1"/>
    <col min="3087" max="3087" width="35.140625" style="455" customWidth="1"/>
    <col min="3088" max="3088" width="31.28515625" style="455" customWidth="1"/>
    <col min="3089" max="3089" width="80.140625" style="455" customWidth="1"/>
    <col min="3090" max="3331" width="9.140625" style="455"/>
    <col min="3332" max="3332" width="28.140625" style="455" customWidth="1"/>
    <col min="3333" max="3333" width="10.85546875" style="455" customWidth="1"/>
    <col min="3334" max="3334" width="10.28515625" style="455" customWidth="1"/>
    <col min="3335" max="3335" width="9.140625" style="455"/>
    <col min="3336" max="3336" width="34.7109375" style="455" customWidth="1"/>
    <col min="3337" max="3337" width="16.5703125" style="455" customWidth="1"/>
    <col min="3338" max="3338" width="24" style="455" customWidth="1"/>
    <col min="3339" max="3339" width="12.5703125" style="455" customWidth="1"/>
    <col min="3340" max="3340" width="12" style="455" customWidth="1"/>
    <col min="3341" max="3341" width="12.7109375" style="455" customWidth="1"/>
    <col min="3342" max="3342" width="41.85546875" style="455" customWidth="1"/>
    <col min="3343" max="3343" width="35.140625" style="455" customWidth="1"/>
    <col min="3344" max="3344" width="31.28515625" style="455" customWidth="1"/>
    <col min="3345" max="3345" width="80.140625" style="455" customWidth="1"/>
    <col min="3346" max="3587" width="9.140625" style="455"/>
    <col min="3588" max="3588" width="28.140625" style="455" customWidth="1"/>
    <col min="3589" max="3589" width="10.85546875" style="455" customWidth="1"/>
    <col min="3590" max="3590" width="10.28515625" style="455" customWidth="1"/>
    <col min="3591" max="3591" width="9.140625" style="455"/>
    <col min="3592" max="3592" width="34.7109375" style="455" customWidth="1"/>
    <col min="3593" max="3593" width="16.5703125" style="455" customWidth="1"/>
    <col min="3594" max="3594" width="24" style="455" customWidth="1"/>
    <col min="3595" max="3595" width="12.5703125" style="455" customWidth="1"/>
    <col min="3596" max="3596" width="12" style="455" customWidth="1"/>
    <col min="3597" max="3597" width="12.7109375" style="455" customWidth="1"/>
    <col min="3598" max="3598" width="41.85546875" style="455" customWidth="1"/>
    <col min="3599" max="3599" width="35.140625" style="455" customWidth="1"/>
    <col min="3600" max="3600" width="31.28515625" style="455" customWidth="1"/>
    <col min="3601" max="3601" width="80.140625" style="455" customWidth="1"/>
    <col min="3602" max="3843" width="9.140625" style="455"/>
    <col min="3844" max="3844" width="28.140625" style="455" customWidth="1"/>
    <col min="3845" max="3845" width="10.85546875" style="455" customWidth="1"/>
    <col min="3846" max="3846" width="10.28515625" style="455" customWidth="1"/>
    <col min="3847" max="3847" width="9.140625" style="455"/>
    <col min="3848" max="3848" width="34.7109375" style="455" customWidth="1"/>
    <col min="3849" max="3849" width="16.5703125" style="455" customWidth="1"/>
    <col min="3850" max="3850" width="24" style="455" customWidth="1"/>
    <col min="3851" max="3851" width="12.5703125" style="455" customWidth="1"/>
    <col min="3852" max="3852" width="12" style="455" customWidth="1"/>
    <col min="3853" max="3853" width="12.7109375" style="455" customWidth="1"/>
    <col min="3854" max="3854" width="41.85546875" style="455" customWidth="1"/>
    <col min="3855" max="3855" width="35.140625" style="455" customWidth="1"/>
    <col min="3856" max="3856" width="31.28515625" style="455" customWidth="1"/>
    <col min="3857" max="3857" width="80.140625" style="455" customWidth="1"/>
    <col min="3858" max="4099" width="9.140625" style="455"/>
    <col min="4100" max="4100" width="28.140625" style="455" customWidth="1"/>
    <col min="4101" max="4101" width="10.85546875" style="455" customWidth="1"/>
    <col min="4102" max="4102" width="10.28515625" style="455" customWidth="1"/>
    <col min="4103" max="4103" width="9.140625" style="455"/>
    <col min="4104" max="4104" width="34.7109375" style="455" customWidth="1"/>
    <col min="4105" max="4105" width="16.5703125" style="455" customWidth="1"/>
    <col min="4106" max="4106" width="24" style="455" customWidth="1"/>
    <col min="4107" max="4107" width="12.5703125" style="455" customWidth="1"/>
    <col min="4108" max="4108" width="12" style="455" customWidth="1"/>
    <col min="4109" max="4109" width="12.7109375" style="455" customWidth="1"/>
    <col min="4110" max="4110" width="41.85546875" style="455" customWidth="1"/>
    <col min="4111" max="4111" width="35.140625" style="455" customWidth="1"/>
    <col min="4112" max="4112" width="31.28515625" style="455" customWidth="1"/>
    <col min="4113" max="4113" width="80.140625" style="455" customWidth="1"/>
    <col min="4114" max="4355" width="9.140625" style="455"/>
    <col min="4356" max="4356" width="28.140625" style="455" customWidth="1"/>
    <col min="4357" max="4357" width="10.85546875" style="455" customWidth="1"/>
    <col min="4358" max="4358" width="10.28515625" style="455" customWidth="1"/>
    <col min="4359" max="4359" width="9.140625" style="455"/>
    <col min="4360" max="4360" width="34.7109375" style="455" customWidth="1"/>
    <col min="4361" max="4361" width="16.5703125" style="455" customWidth="1"/>
    <col min="4362" max="4362" width="24" style="455" customWidth="1"/>
    <col min="4363" max="4363" width="12.5703125" style="455" customWidth="1"/>
    <col min="4364" max="4364" width="12" style="455" customWidth="1"/>
    <col min="4365" max="4365" width="12.7109375" style="455" customWidth="1"/>
    <col min="4366" max="4366" width="41.85546875" style="455" customWidth="1"/>
    <col min="4367" max="4367" width="35.140625" style="455" customWidth="1"/>
    <col min="4368" max="4368" width="31.28515625" style="455" customWidth="1"/>
    <col min="4369" max="4369" width="80.140625" style="455" customWidth="1"/>
    <col min="4370" max="4611" width="9.140625" style="455"/>
    <col min="4612" max="4612" width="28.140625" style="455" customWidth="1"/>
    <col min="4613" max="4613" width="10.85546875" style="455" customWidth="1"/>
    <col min="4614" max="4614" width="10.28515625" style="455" customWidth="1"/>
    <col min="4615" max="4615" width="9.140625" style="455"/>
    <col min="4616" max="4616" width="34.7109375" style="455" customWidth="1"/>
    <col min="4617" max="4617" width="16.5703125" style="455" customWidth="1"/>
    <col min="4618" max="4618" width="24" style="455" customWidth="1"/>
    <col min="4619" max="4619" width="12.5703125" style="455" customWidth="1"/>
    <col min="4620" max="4620" width="12" style="455" customWidth="1"/>
    <col min="4621" max="4621" width="12.7109375" style="455" customWidth="1"/>
    <col min="4622" max="4622" width="41.85546875" style="455" customWidth="1"/>
    <col min="4623" max="4623" width="35.140625" style="455" customWidth="1"/>
    <col min="4624" max="4624" width="31.28515625" style="455" customWidth="1"/>
    <col min="4625" max="4625" width="80.140625" style="455" customWidth="1"/>
    <col min="4626" max="4867" width="9.140625" style="455"/>
    <col min="4868" max="4868" width="28.140625" style="455" customWidth="1"/>
    <col min="4869" max="4869" width="10.85546875" style="455" customWidth="1"/>
    <col min="4870" max="4870" width="10.28515625" style="455" customWidth="1"/>
    <col min="4871" max="4871" width="9.140625" style="455"/>
    <col min="4872" max="4872" width="34.7109375" style="455" customWidth="1"/>
    <col min="4873" max="4873" width="16.5703125" style="455" customWidth="1"/>
    <col min="4874" max="4874" width="24" style="455" customWidth="1"/>
    <col min="4875" max="4875" width="12.5703125" style="455" customWidth="1"/>
    <col min="4876" max="4876" width="12" style="455" customWidth="1"/>
    <col min="4877" max="4877" width="12.7109375" style="455" customWidth="1"/>
    <col min="4878" max="4878" width="41.85546875" style="455" customWidth="1"/>
    <col min="4879" max="4879" width="35.140625" style="455" customWidth="1"/>
    <col min="4880" max="4880" width="31.28515625" style="455" customWidth="1"/>
    <col min="4881" max="4881" width="80.140625" style="455" customWidth="1"/>
    <col min="4882" max="5123" width="9.140625" style="455"/>
    <col min="5124" max="5124" width="28.140625" style="455" customWidth="1"/>
    <col min="5125" max="5125" width="10.85546875" style="455" customWidth="1"/>
    <col min="5126" max="5126" width="10.28515625" style="455" customWidth="1"/>
    <col min="5127" max="5127" width="9.140625" style="455"/>
    <col min="5128" max="5128" width="34.7109375" style="455" customWidth="1"/>
    <col min="5129" max="5129" width="16.5703125" style="455" customWidth="1"/>
    <col min="5130" max="5130" width="24" style="455" customWidth="1"/>
    <col min="5131" max="5131" width="12.5703125" style="455" customWidth="1"/>
    <col min="5132" max="5132" width="12" style="455" customWidth="1"/>
    <col min="5133" max="5133" width="12.7109375" style="455" customWidth="1"/>
    <col min="5134" max="5134" width="41.85546875" style="455" customWidth="1"/>
    <col min="5135" max="5135" width="35.140625" style="455" customWidth="1"/>
    <col min="5136" max="5136" width="31.28515625" style="455" customWidth="1"/>
    <col min="5137" max="5137" width="80.140625" style="455" customWidth="1"/>
    <col min="5138" max="5379" width="9.140625" style="455"/>
    <col min="5380" max="5380" width="28.140625" style="455" customWidth="1"/>
    <col min="5381" max="5381" width="10.85546875" style="455" customWidth="1"/>
    <col min="5382" max="5382" width="10.28515625" style="455" customWidth="1"/>
    <col min="5383" max="5383" width="9.140625" style="455"/>
    <col min="5384" max="5384" width="34.7109375" style="455" customWidth="1"/>
    <col min="5385" max="5385" width="16.5703125" style="455" customWidth="1"/>
    <col min="5386" max="5386" width="24" style="455" customWidth="1"/>
    <col min="5387" max="5387" width="12.5703125" style="455" customWidth="1"/>
    <col min="5388" max="5388" width="12" style="455" customWidth="1"/>
    <col min="5389" max="5389" width="12.7109375" style="455" customWidth="1"/>
    <col min="5390" max="5390" width="41.85546875" style="455" customWidth="1"/>
    <col min="5391" max="5391" width="35.140625" style="455" customWidth="1"/>
    <col min="5392" max="5392" width="31.28515625" style="455" customWidth="1"/>
    <col min="5393" max="5393" width="80.140625" style="455" customWidth="1"/>
    <col min="5394" max="5635" width="9.140625" style="455"/>
    <col min="5636" max="5636" width="28.140625" style="455" customWidth="1"/>
    <col min="5637" max="5637" width="10.85546875" style="455" customWidth="1"/>
    <col min="5638" max="5638" width="10.28515625" style="455" customWidth="1"/>
    <col min="5639" max="5639" width="9.140625" style="455"/>
    <col min="5640" max="5640" width="34.7109375" style="455" customWidth="1"/>
    <col min="5641" max="5641" width="16.5703125" style="455" customWidth="1"/>
    <col min="5642" max="5642" width="24" style="455" customWidth="1"/>
    <col min="5643" max="5643" width="12.5703125" style="455" customWidth="1"/>
    <col min="5644" max="5644" width="12" style="455" customWidth="1"/>
    <col min="5645" max="5645" width="12.7109375" style="455" customWidth="1"/>
    <col min="5646" max="5646" width="41.85546875" style="455" customWidth="1"/>
    <col min="5647" max="5647" width="35.140625" style="455" customWidth="1"/>
    <col min="5648" max="5648" width="31.28515625" style="455" customWidth="1"/>
    <col min="5649" max="5649" width="80.140625" style="455" customWidth="1"/>
    <col min="5650" max="5891" width="9.140625" style="455"/>
    <col min="5892" max="5892" width="28.140625" style="455" customWidth="1"/>
    <col min="5893" max="5893" width="10.85546875" style="455" customWidth="1"/>
    <col min="5894" max="5894" width="10.28515625" style="455" customWidth="1"/>
    <col min="5895" max="5895" width="9.140625" style="455"/>
    <col min="5896" max="5896" width="34.7109375" style="455" customWidth="1"/>
    <col min="5897" max="5897" width="16.5703125" style="455" customWidth="1"/>
    <col min="5898" max="5898" width="24" style="455" customWidth="1"/>
    <col min="5899" max="5899" width="12.5703125" style="455" customWidth="1"/>
    <col min="5900" max="5900" width="12" style="455" customWidth="1"/>
    <col min="5901" max="5901" width="12.7109375" style="455" customWidth="1"/>
    <col min="5902" max="5902" width="41.85546875" style="455" customWidth="1"/>
    <col min="5903" max="5903" width="35.140625" style="455" customWidth="1"/>
    <col min="5904" max="5904" width="31.28515625" style="455" customWidth="1"/>
    <col min="5905" max="5905" width="80.140625" style="455" customWidth="1"/>
    <col min="5906" max="6147" width="9.140625" style="455"/>
    <col min="6148" max="6148" width="28.140625" style="455" customWidth="1"/>
    <col min="6149" max="6149" width="10.85546875" style="455" customWidth="1"/>
    <col min="6150" max="6150" width="10.28515625" style="455" customWidth="1"/>
    <col min="6151" max="6151" width="9.140625" style="455"/>
    <col min="6152" max="6152" width="34.7109375" style="455" customWidth="1"/>
    <col min="6153" max="6153" width="16.5703125" style="455" customWidth="1"/>
    <col min="6154" max="6154" width="24" style="455" customWidth="1"/>
    <col min="6155" max="6155" width="12.5703125" style="455" customWidth="1"/>
    <col min="6156" max="6156" width="12" style="455" customWidth="1"/>
    <col min="6157" max="6157" width="12.7109375" style="455" customWidth="1"/>
    <col min="6158" max="6158" width="41.85546875" style="455" customWidth="1"/>
    <col min="6159" max="6159" width="35.140625" style="455" customWidth="1"/>
    <col min="6160" max="6160" width="31.28515625" style="455" customWidth="1"/>
    <col min="6161" max="6161" width="80.140625" style="455" customWidth="1"/>
    <col min="6162" max="6403" width="9.140625" style="455"/>
    <col min="6404" max="6404" width="28.140625" style="455" customWidth="1"/>
    <col min="6405" max="6405" width="10.85546875" style="455" customWidth="1"/>
    <col min="6406" max="6406" width="10.28515625" style="455" customWidth="1"/>
    <col min="6407" max="6407" width="9.140625" style="455"/>
    <col min="6408" max="6408" width="34.7109375" style="455" customWidth="1"/>
    <col min="6409" max="6409" width="16.5703125" style="455" customWidth="1"/>
    <col min="6410" max="6410" width="24" style="455" customWidth="1"/>
    <col min="6411" max="6411" width="12.5703125" style="455" customWidth="1"/>
    <col min="6412" max="6412" width="12" style="455" customWidth="1"/>
    <col min="6413" max="6413" width="12.7109375" style="455" customWidth="1"/>
    <col min="6414" max="6414" width="41.85546875" style="455" customWidth="1"/>
    <col min="6415" max="6415" width="35.140625" style="455" customWidth="1"/>
    <col min="6416" max="6416" width="31.28515625" style="455" customWidth="1"/>
    <col min="6417" max="6417" width="80.140625" style="455" customWidth="1"/>
    <col min="6418" max="6659" width="9.140625" style="455"/>
    <col min="6660" max="6660" width="28.140625" style="455" customWidth="1"/>
    <col min="6661" max="6661" width="10.85546875" style="455" customWidth="1"/>
    <col min="6662" max="6662" width="10.28515625" style="455" customWidth="1"/>
    <col min="6663" max="6663" width="9.140625" style="455"/>
    <col min="6664" max="6664" width="34.7109375" style="455" customWidth="1"/>
    <col min="6665" max="6665" width="16.5703125" style="455" customWidth="1"/>
    <col min="6666" max="6666" width="24" style="455" customWidth="1"/>
    <col min="6667" max="6667" width="12.5703125" style="455" customWidth="1"/>
    <col min="6668" max="6668" width="12" style="455" customWidth="1"/>
    <col min="6669" max="6669" width="12.7109375" style="455" customWidth="1"/>
    <col min="6670" max="6670" width="41.85546875" style="455" customWidth="1"/>
    <col min="6671" max="6671" width="35.140625" style="455" customWidth="1"/>
    <col min="6672" max="6672" width="31.28515625" style="455" customWidth="1"/>
    <col min="6673" max="6673" width="80.140625" style="455" customWidth="1"/>
    <col min="6674" max="6915" width="9.140625" style="455"/>
    <col min="6916" max="6916" width="28.140625" style="455" customWidth="1"/>
    <col min="6917" max="6917" width="10.85546875" style="455" customWidth="1"/>
    <col min="6918" max="6918" width="10.28515625" style="455" customWidth="1"/>
    <col min="6919" max="6919" width="9.140625" style="455"/>
    <col min="6920" max="6920" width="34.7109375" style="455" customWidth="1"/>
    <col min="6921" max="6921" width="16.5703125" style="455" customWidth="1"/>
    <col min="6922" max="6922" width="24" style="455" customWidth="1"/>
    <col min="6923" max="6923" width="12.5703125" style="455" customWidth="1"/>
    <col min="6924" max="6924" width="12" style="455" customWidth="1"/>
    <col min="6925" max="6925" width="12.7109375" style="455" customWidth="1"/>
    <col min="6926" max="6926" width="41.85546875" style="455" customWidth="1"/>
    <col min="6927" max="6927" width="35.140625" style="455" customWidth="1"/>
    <col min="6928" max="6928" width="31.28515625" style="455" customWidth="1"/>
    <col min="6929" max="6929" width="80.140625" style="455" customWidth="1"/>
    <col min="6930" max="7171" width="9.140625" style="455"/>
    <col min="7172" max="7172" width="28.140625" style="455" customWidth="1"/>
    <col min="7173" max="7173" width="10.85546875" style="455" customWidth="1"/>
    <col min="7174" max="7174" width="10.28515625" style="455" customWidth="1"/>
    <col min="7175" max="7175" width="9.140625" style="455"/>
    <col min="7176" max="7176" width="34.7109375" style="455" customWidth="1"/>
    <col min="7177" max="7177" width="16.5703125" style="455" customWidth="1"/>
    <col min="7178" max="7178" width="24" style="455" customWidth="1"/>
    <col min="7179" max="7179" width="12.5703125" style="455" customWidth="1"/>
    <col min="7180" max="7180" width="12" style="455" customWidth="1"/>
    <col min="7181" max="7181" width="12.7109375" style="455" customWidth="1"/>
    <col min="7182" max="7182" width="41.85546875" style="455" customWidth="1"/>
    <col min="7183" max="7183" width="35.140625" style="455" customWidth="1"/>
    <col min="7184" max="7184" width="31.28515625" style="455" customWidth="1"/>
    <col min="7185" max="7185" width="80.140625" style="455" customWidth="1"/>
    <col min="7186" max="7427" width="9.140625" style="455"/>
    <col min="7428" max="7428" width="28.140625" style="455" customWidth="1"/>
    <col min="7429" max="7429" width="10.85546875" style="455" customWidth="1"/>
    <col min="7430" max="7430" width="10.28515625" style="455" customWidth="1"/>
    <col min="7431" max="7431" width="9.140625" style="455"/>
    <col min="7432" max="7432" width="34.7109375" style="455" customWidth="1"/>
    <col min="7433" max="7433" width="16.5703125" style="455" customWidth="1"/>
    <col min="7434" max="7434" width="24" style="455" customWidth="1"/>
    <col min="7435" max="7435" width="12.5703125" style="455" customWidth="1"/>
    <col min="7436" max="7436" width="12" style="455" customWidth="1"/>
    <col min="7437" max="7437" width="12.7109375" style="455" customWidth="1"/>
    <col min="7438" max="7438" width="41.85546875" style="455" customWidth="1"/>
    <col min="7439" max="7439" width="35.140625" style="455" customWidth="1"/>
    <col min="7440" max="7440" width="31.28515625" style="455" customWidth="1"/>
    <col min="7441" max="7441" width="80.140625" style="455" customWidth="1"/>
    <col min="7442" max="7683" width="9.140625" style="455"/>
    <col min="7684" max="7684" width="28.140625" style="455" customWidth="1"/>
    <col min="7685" max="7685" width="10.85546875" style="455" customWidth="1"/>
    <col min="7686" max="7686" width="10.28515625" style="455" customWidth="1"/>
    <col min="7687" max="7687" width="9.140625" style="455"/>
    <col min="7688" max="7688" width="34.7109375" style="455" customWidth="1"/>
    <col min="7689" max="7689" width="16.5703125" style="455" customWidth="1"/>
    <col min="7690" max="7690" width="24" style="455" customWidth="1"/>
    <col min="7691" max="7691" width="12.5703125" style="455" customWidth="1"/>
    <col min="7692" max="7692" width="12" style="455" customWidth="1"/>
    <col min="7693" max="7693" width="12.7109375" style="455" customWidth="1"/>
    <col min="7694" max="7694" width="41.85546875" style="455" customWidth="1"/>
    <col min="7695" max="7695" width="35.140625" style="455" customWidth="1"/>
    <col min="7696" max="7696" width="31.28515625" style="455" customWidth="1"/>
    <col min="7697" max="7697" width="80.140625" style="455" customWidth="1"/>
    <col min="7698" max="7939" width="9.140625" style="455"/>
    <col min="7940" max="7940" width="28.140625" style="455" customWidth="1"/>
    <col min="7941" max="7941" width="10.85546875" style="455" customWidth="1"/>
    <col min="7942" max="7942" width="10.28515625" style="455" customWidth="1"/>
    <col min="7943" max="7943" width="9.140625" style="455"/>
    <col min="7944" max="7944" width="34.7109375" style="455" customWidth="1"/>
    <col min="7945" max="7945" width="16.5703125" style="455" customWidth="1"/>
    <col min="7946" max="7946" width="24" style="455" customWidth="1"/>
    <col min="7947" max="7947" width="12.5703125" style="455" customWidth="1"/>
    <col min="7948" max="7948" width="12" style="455" customWidth="1"/>
    <col min="7949" max="7949" width="12.7109375" style="455" customWidth="1"/>
    <col min="7950" max="7950" width="41.85546875" style="455" customWidth="1"/>
    <col min="7951" max="7951" width="35.140625" style="455" customWidth="1"/>
    <col min="7952" max="7952" width="31.28515625" style="455" customWidth="1"/>
    <col min="7953" max="7953" width="80.140625" style="455" customWidth="1"/>
    <col min="7954" max="8195" width="9.140625" style="455"/>
    <col min="8196" max="8196" width="28.140625" style="455" customWidth="1"/>
    <col min="8197" max="8197" width="10.85546875" style="455" customWidth="1"/>
    <col min="8198" max="8198" width="10.28515625" style="455" customWidth="1"/>
    <col min="8199" max="8199" width="9.140625" style="455"/>
    <col min="8200" max="8200" width="34.7109375" style="455" customWidth="1"/>
    <col min="8201" max="8201" width="16.5703125" style="455" customWidth="1"/>
    <col min="8202" max="8202" width="24" style="455" customWidth="1"/>
    <col min="8203" max="8203" width="12.5703125" style="455" customWidth="1"/>
    <col min="8204" max="8204" width="12" style="455" customWidth="1"/>
    <col min="8205" max="8205" width="12.7109375" style="455" customWidth="1"/>
    <col min="8206" max="8206" width="41.85546875" style="455" customWidth="1"/>
    <col min="8207" max="8207" width="35.140625" style="455" customWidth="1"/>
    <col min="8208" max="8208" width="31.28515625" style="455" customWidth="1"/>
    <col min="8209" max="8209" width="80.140625" style="455" customWidth="1"/>
    <col min="8210" max="8451" width="9.140625" style="455"/>
    <col min="8452" max="8452" width="28.140625" style="455" customWidth="1"/>
    <col min="8453" max="8453" width="10.85546875" style="455" customWidth="1"/>
    <col min="8454" max="8454" width="10.28515625" style="455" customWidth="1"/>
    <col min="8455" max="8455" width="9.140625" style="455"/>
    <col min="8456" max="8456" width="34.7109375" style="455" customWidth="1"/>
    <col min="8457" max="8457" width="16.5703125" style="455" customWidth="1"/>
    <col min="8458" max="8458" width="24" style="455" customWidth="1"/>
    <col min="8459" max="8459" width="12.5703125" style="455" customWidth="1"/>
    <col min="8460" max="8460" width="12" style="455" customWidth="1"/>
    <col min="8461" max="8461" width="12.7109375" style="455" customWidth="1"/>
    <col min="8462" max="8462" width="41.85546875" style="455" customWidth="1"/>
    <col min="8463" max="8463" width="35.140625" style="455" customWidth="1"/>
    <col min="8464" max="8464" width="31.28515625" style="455" customWidth="1"/>
    <col min="8465" max="8465" width="80.140625" style="455" customWidth="1"/>
    <col min="8466" max="8707" width="9.140625" style="455"/>
    <col min="8708" max="8708" width="28.140625" style="455" customWidth="1"/>
    <col min="8709" max="8709" width="10.85546875" style="455" customWidth="1"/>
    <col min="8710" max="8710" width="10.28515625" style="455" customWidth="1"/>
    <col min="8711" max="8711" width="9.140625" style="455"/>
    <col min="8712" max="8712" width="34.7109375" style="455" customWidth="1"/>
    <col min="8713" max="8713" width="16.5703125" style="455" customWidth="1"/>
    <col min="8714" max="8714" width="24" style="455" customWidth="1"/>
    <col min="8715" max="8715" width="12.5703125" style="455" customWidth="1"/>
    <col min="8716" max="8716" width="12" style="455" customWidth="1"/>
    <col min="8717" max="8717" width="12.7109375" style="455" customWidth="1"/>
    <col min="8718" max="8718" width="41.85546875" style="455" customWidth="1"/>
    <col min="8719" max="8719" width="35.140625" style="455" customWidth="1"/>
    <col min="8720" max="8720" width="31.28515625" style="455" customWidth="1"/>
    <col min="8721" max="8721" width="80.140625" style="455" customWidth="1"/>
    <col min="8722" max="8963" width="9.140625" style="455"/>
    <col min="8964" max="8964" width="28.140625" style="455" customWidth="1"/>
    <col min="8965" max="8965" width="10.85546875" style="455" customWidth="1"/>
    <col min="8966" max="8966" width="10.28515625" style="455" customWidth="1"/>
    <col min="8967" max="8967" width="9.140625" style="455"/>
    <col min="8968" max="8968" width="34.7109375" style="455" customWidth="1"/>
    <col min="8969" max="8969" width="16.5703125" style="455" customWidth="1"/>
    <col min="8970" max="8970" width="24" style="455" customWidth="1"/>
    <col min="8971" max="8971" width="12.5703125" style="455" customWidth="1"/>
    <col min="8972" max="8972" width="12" style="455" customWidth="1"/>
    <col min="8973" max="8973" width="12.7109375" style="455" customWidth="1"/>
    <col min="8974" max="8974" width="41.85546875" style="455" customWidth="1"/>
    <col min="8975" max="8975" width="35.140625" style="455" customWidth="1"/>
    <col min="8976" max="8976" width="31.28515625" style="455" customWidth="1"/>
    <col min="8977" max="8977" width="80.140625" style="455" customWidth="1"/>
    <col min="8978" max="9219" width="9.140625" style="455"/>
    <col min="9220" max="9220" width="28.140625" style="455" customWidth="1"/>
    <col min="9221" max="9221" width="10.85546875" style="455" customWidth="1"/>
    <col min="9222" max="9222" width="10.28515625" style="455" customWidth="1"/>
    <col min="9223" max="9223" width="9.140625" style="455"/>
    <col min="9224" max="9224" width="34.7109375" style="455" customWidth="1"/>
    <col min="9225" max="9225" width="16.5703125" style="455" customWidth="1"/>
    <col min="9226" max="9226" width="24" style="455" customWidth="1"/>
    <col min="9227" max="9227" width="12.5703125" style="455" customWidth="1"/>
    <col min="9228" max="9228" width="12" style="455" customWidth="1"/>
    <col min="9229" max="9229" width="12.7109375" style="455" customWidth="1"/>
    <col min="9230" max="9230" width="41.85546875" style="455" customWidth="1"/>
    <col min="9231" max="9231" width="35.140625" style="455" customWidth="1"/>
    <col min="9232" max="9232" width="31.28515625" style="455" customWidth="1"/>
    <col min="9233" max="9233" width="80.140625" style="455" customWidth="1"/>
    <col min="9234" max="9475" width="9.140625" style="455"/>
    <col min="9476" max="9476" width="28.140625" style="455" customWidth="1"/>
    <col min="9477" max="9477" width="10.85546875" style="455" customWidth="1"/>
    <col min="9478" max="9478" width="10.28515625" style="455" customWidth="1"/>
    <col min="9479" max="9479" width="9.140625" style="455"/>
    <col min="9480" max="9480" width="34.7109375" style="455" customWidth="1"/>
    <col min="9481" max="9481" width="16.5703125" style="455" customWidth="1"/>
    <col min="9482" max="9482" width="24" style="455" customWidth="1"/>
    <col min="9483" max="9483" width="12.5703125" style="455" customWidth="1"/>
    <col min="9484" max="9484" width="12" style="455" customWidth="1"/>
    <col min="9485" max="9485" width="12.7109375" style="455" customWidth="1"/>
    <col min="9486" max="9486" width="41.85546875" style="455" customWidth="1"/>
    <col min="9487" max="9487" width="35.140625" style="455" customWidth="1"/>
    <col min="9488" max="9488" width="31.28515625" style="455" customWidth="1"/>
    <col min="9489" max="9489" width="80.140625" style="455" customWidth="1"/>
    <col min="9490" max="9731" width="9.140625" style="455"/>
    <col min="9732" max="9732" width="28.140625" style="455" customWidth="1"/>
    <col min="9733" max="9733" width="10.85546875" style="455" customWidth="1"/>
    <col min="9734" max="9734" width="10.28515625" style="455" customWidth="1"/>
    <col min="9735" max="9735" width="9.140625" style="455"/>
    <col min="9736" max="9736" width="34.7109375" style="455" customWidth="1"/>
    <col min="9737" max="9737" width="16.5703125" style="455" customWidth="1"/>
    <col min="9738" max="9738" width="24" style="455" customWidth="1"/>
    <col min="9739" max="9739" width="12.5703125" style="455" customWidth="1"/>
    <col min="9740" max="9740" width="12" style="455" customWidth="1"/>
    <col min="9741" max="9741" width="12.7109375" style="455" customWidth="1"/>
    <col min="9742" max="9742" width="41.85546875" style="455" customWidth="1"/>
    <col min="9743" max="9743" width="35.140625" style="455" customWidth="1"/>
    <col min="9744" max="9744" width="31.28515625" style="455" customWidth="1"/>
    <col min="9745" max="9745" width="80.140625" style="455" customWidth="1"/>
    <col min="9746" max="9987" width="9.140625" style="455"/>
    <col min="9988" max="9988" width="28.140625" style="455" customWidth="1"/>
    <col min="9989" max="9989" width="10.85546875" style="455" customWidth="1"/>
    <col min="9990" max="9990" width="10.28515625" style="455" customWidth="1"/>
    <col min="9991" max="9991" width="9.140625" style="455"/>
    <col min="9992" max="9992" width="34.7109375" style="455" customWidth="1"/>
    <col min="9993" max="9993" width="16.5703125" style="455" customWidth="1"/>
    <col min="9994" max="9994" width="24" style="455" customWidth="1"/>
    <col min="9995" max="9995" width="12.5703125" style="455" customWidth="1"/>
    <col min="9996" max="9996" width="12" style="455" customWidth="1"/>
    <col min="9997" max="9997" width="12.7109375" style="455" customWidth="1"/>
    <col min="9998" max="9998" width="41.85546875" style="455" customWidth="1"/>
    <col min="9999" max="9999" width="35.140625" style="455" customWidth="1"/>
    <col min="10000" max="10000" width="31.28515625" style="455" customWidth="1"/>
    <col min="10001" max="10001" width="80.140625" style="455" customWidth="1"/>
    <col min="10002" max="10243" width="9.140625" style="455"/>
    <col min="10244" max="10244" width="28.140625" style="455" customWidth="1"/>
    <col min="10245" max="10245" width="10.85546875" style="455" customWidth="1"/>
    <col min="10246" max="10246" width="10.28515625" style="455" customWidth="1"/>
    <col min="10247" max="10247" width="9.140625" style="455"/>
    <col min="10248" max="10248" width="34.7109375" style="455" customWidth="1"/>
    <col min="10249" max="10249" width="16.5703125" style="455" customWidth="1"/>
    <col min="10250" max="10250" width="24" style="455" customWidth="1"/>
    <col min="10251" max="10251" width="12.5703125" style="455" customWidth="1"/>
    <col min="10252" max="10252" width="12" style="455" customWidth="1"/>
    <col min="10253" max="10253" width="12.7109375" style="455" customWidth="1"/>
    <col min="10254" max="10254" width="41.85546875" style="455" customWidth="1"/>
    <col min="10255" max="10255" width="35.140625" style="455" customWidth="1"/>
    <col min="10256" max="10256" width="31.28515625" style="455" customWidth="1"/>
    <col min="10257" max="10257" width="80.140625" style="455" customWidth="1"/>
    <col min="10258" max="10499" width="9.140625" style="455"/>
    <col min="10500" max="10500" width="28.140625" style="455" customWidth="1"/>
    <col min="10501" max="10501" width="10.85546875" style="455" customWidth="1"/>
    <col min="10502" max="10502" width="10.28515625" style="455" customWidth="1"/>
    <col min="10503" max="10503" width="9.140625" style="455"/>
    <col min="10504" max="10504" width="34.7109375" style="455" customWidth="1"/>
    <col min="10505" max="10505" width="16.5703125" style="455" customWidth="1"/>
    <col min="10506" max="10506" width="24" style="455" customWidth="1"/>
    <col min="10507" max="10507" width="12.5703125" style="455" customWidth="1"/>
    <col min="10508" max="10508" width="12" style="455" customWidth="1"/>
    <col min="10509" max="10509" width="12.7109375" style="455" customWidth="1"/>
    <col min="10510" max="10510" width="41.85546875" style="455" customWidth="1"/>
    <col min="10511" max="10511" width="35.140625" style="455" customWidth="1"/>
    <col min="10512" max="10512" width="31.28515625" style="455" customWidth="1"/>
    <col min="10513" max="10513" width="80.140625" style="455" customWidth="1"/>
    <col min="10514" max="10755" width="9.140625" style="455"/>
    <col min="10756" max="10756" width="28.140625" style="455" customWidth="1"/>
    <col min="10757" max="10757" width="10.85546875" style="455" customWidth="1"/>
    <col min="10758" max="10758" width="10.28515625" style="455" customWidth="1"/>
    <col min="10759" max="10759" width="9.140625" style="455"/>
    <col min="10760" max="10760" width="34.7109375" style="455" customWidth="1"/>
    <col min="10761" max="10761" width="16.5703125" style="455" customWidth="1"/>
    <col min="10762" max="10762" width="24" style="455" customWidth="1"/>
    <col min="10763" max="10763" width="12.5703125" style="455" customWidth="1"/>
    <col min="10764" max="10764" width="12" style="455" customWidth="1"/>
    <col min="10765" max="10765" width="12.7109375" style="455" customWidth="1"/>
    <col min="10766" max="10766" width="41.85546875" style="455" customWidth="1"/>
    <col min="10767" max="10767" width="35.140625" style="455" customWidth="1"/>
    <col min="10768" max="10768" width="31.28515625" style="455" customWidth="1"/>
    <col min="10769" max="10769" width="80.140625" style="455" customWidth="1"/>
    <col min="10770" max="11011" width="9.140625" style="455"/>
    <col min="11012" max="11012" width="28.140625" style="455" customWidth="1"/>
    <col min="11013" max="11013" width="10.85546875" style="455" customWidth="1"/>
    <col min="11014" max="11014" width="10.28515625" style="455" customWidth="1"/>
    <col min="11015" max="11015" width="9.140625" style="455"/>
    <col min="11016" max="11016" width="34.7109375" style="455" customWidth="1"/>
    <col min="11017" max="11017" width="16.5703125" style="455" customWidth="1"/>
    <col min="11018" max="11018" width="24" style="455" customWidth="1"/>
    <col min="11019" max="11019" width="12.5703125" style="455" customWidth="1"/>
    <col min="11020" max="11020" width="12" style="455" customWidth="1"/>
    <col min="11021" max="11021" width="12.7109375" style="455" customWidth="1"/>
    <col min="11022" max="11022" width="41.85546875" style="455" customWidth="1"/>
    <col min="11023" max="11023" width="35.140625" style="455" customWidth="1"/>
    <col min="11024" max="11024" width="31.28515625" style="455" customWidth="1"/>
    <col min="11025" max="11025" width="80.140625" style="455" customWidth="1"/>
    <col min="11026" max="11267" width="9.140625" style="455"/>
    <col min="11268" max="11268" width="28.140625" style="455" customWidth="1"/>
    <col min="11269" max="11269" width="10.85546875" style="455" customWidth="1"/>
    <col min="11270" max="11270" width="10.28515625" style="455" customWidth="1"/>
    <col min="11271" max="11271" width="9.140625" style="455"/>
    <col min="11272" max="11272" width="34.7109375" style="455" customWidth="1"/>
    <col min="11273" max="11273" width="16.5703125" style="455" customWidth="1"/>
    <col min="11274" max="11274" width="24" style="455" customWidth="1"/>
    <col min="11275" max="11275" width="12.5703125" style="455" customWidth="1"/>
    <col min="11276" max="11276" width="12" style="455" customWidth="1"/>
    <col min="11277" max="11277" width="12.7109375" style="455" customWidth="1"/>
    <col min="11278" max="11278" width="41.85546875" style="455" customWidth="1"/>
    <col min="11279" max="11279" width="35.140625" style="455" customWidth="1"/>
    <col min="11280" max="11280" width="31.28515625" style="455" customWidth="1"/>
    <col min="11281" max="11281" width="80.140625" style="455" customWidth="1"/>
    <col min="11282" max="11523" width="9.140625" style="455"/>
    <col min="11524" max="11524" width="28.140625" style="455" customWidth="1"/>
    <col min="11525" max="11525" width="10.85546875" style="455" customWidth="1"/>
    <col min="11526" max="11526" width="10.28515625" style="455" customWidth="1"/>
    <col min="11527" max="11527" width="9.140625" style="455"/>
    <col min="11528" max="11528" width="34.7109375" style="455" customWidth="1"/>
    <col min="11529" max="11529" width="16.5703125" style="455" customWidth="1"/>
    <col min="11530" max="11530" width="24" style="455" customWidth="1"/>
    <col min="11531" max="11531" width="12.5703125" style="455" customWidth="1"/>
    <col min="11532" max="11532" width="12" style="455" customWidth="1"/>
    <col min="11533" max="11533" width="12.7109375" style="455" customWidth="1"/>
    <col min="11534" max="11534" width="41.85546875" style="455" customWidth="1"/>
    <col min="11535" max="11535" width="35.140625" style="455" customWidth="1"/>
    <col min="11536" max="11536" width="31.28515625" style="455" customWidth="1"/>
    <col min="11537" max="11537" width="80.140625" style="455" customWidth="1"/>
    <col min="11538" max="11779" width="9.140625" style="455"/>
    <col min="11780" max="11780" width="28.140625" style="455" customWidth="1"/>
    <col min="11781" max="11781" width="10.85546875" style="455" customWidth="1"/>
    <col min="11782" max="11782" width="10.28515625" style="455" customWidth="1"/>
    <col min="11783" max="11783" width="9.140625" style="455"/>
    <col min="11784" max="11784" width="34.7109375" style="455" customWidth="1"/>
    <col min="11785" max="11785" width="16.5703125" style="455" customWidth="1"/>
    <col min="11786" max="11786" width="24" style="455" customWidth="1"/>
    <col min="11787" max="11787" width="12.5703125" style="455" customWidth="1"/>
    <col min="11788" max="11788" width="12" style="455" customWidth="1"/>
    <col min="11789" max="11789" width="12.7109375" style="455" customWidth="1"/>
    <col min="11790" max="11790" width="41.85546875" style="455" customWidth="1"/>
    <col min="11791" max="11791" width="35.140625" style="455" customWidth="1"/>
    <col min="11792" max="11792" width="31.28515625" style="455" customWidth="1"/>
    <col min="11793" max="11793" width="80.140625" style="455" customWidth="1"/>
    <col min="11794" max="12035" width="9.140625" style="455"/>
    <col min="12036" max="12036" width="28.140625" style="455" customWidth="1"/>
    <col min="12037" max="12037" width="10.85546875" style="455" customWidth="1"/>
    <col min="12038" max="12038" width="10.28515625" style="455" customWidth="1"/>
    <col min="12039" max="12039" width="9.140625" style="455"/>
    <col min="12040" max="12040" width="34.7109375" style="455" customWidth="1"/>
    <col min="12041" max="12041" width="16.5703125" style="455" customWidth="1"/>
    <col min="12042" max="12042" width="24" style="455" customWidth="1"/>
    <col min="12043" max="12043" width="12.5703125" style="455" customWidth="1"/>
    <col min="12044" max="12044" width="12" style="455" customWidth="1"/>
    <col min="12045" max="12045" width="12.7109375" style="455" customWidth="1"/>
    <col min="12046" max="12046" width="41.85546875" style="455" customWidth="1"/>
    <col min="12047" max="12047" width="35.140625" style="455" customWidth="1"/>
    <col min="12048" max="12048" width="31.28515625" style="455" customWidth="1"/>
    <col min="12049" max="12049" width="80.140625" style="455" customWidth="1"/>
    <col min="12050" max="12291" width="9.140625" style="455"/>
    <col min="12292" max="12292" width="28.140625" style="455" customWidth="1"/>
    <col min="12293" max="12293" width="10.85546875" style="455" customWidth="1"/>
    <col min="12294" max="12294" width="10.28515625" style="455" customWidth="1"/>
    <col min="12295" max="12295" width="9.140625" style="455"/>
    <col min="12296" max="12296" width="34.7109375" style="455" customWidth="1"/>
    <col min="12297" max="12297" width="16.5703125" style="455" customWidth="1"/>
    <col min="12298" max="12298" width="24" style="455" customWidth="1"/>
    <col min="12299" max="12299" width="12.5703125" style="455" customWidth="1"/>
    <col min="12300" max="12300" width="12" style="455" customWidth="1"/>
    <col min="12301" max="12301" width="12.7109375" style="455" customWidth="1"/>
    <col min="12302" max="12302" width="41.85546875" style="455" customWidth="1"/>
    <col min="12303" max="12303" width="35.140625" style="455" customWidth="1"/>
    <col min="12304" max="12304" width="31.28515625" style="455" customWidth="1"/>
    <col min="12305" max="12305" width="80.140625" style="455" customWidth="1"/>
    <col min="12306" max="12547" width="9.140625" style="455"/>
    <col min="12548" max="12548" width="28.140625" style="455" customWidth="1"/>
    <col min="12549" max="12549" width="10.85546875" style="455" customWidth="1"/>
    <col min="12550" max="12550" width="10.28515625" style="455" customWidth="1"/>
    <col min="12551" max="12551" width="9.140625" style="455"/>
    <col min="12552" max="12552" width="34.7109375" style="455" customWidth="1"/>
    <col min="12553" max="12553" width="16.5703125" style="455" customWidth="1"/>
    <col min="12554" max="12554" width="24" style="455" customWidth="1"/>
    <col min="12555" max="12555" width="12.5703125" style="455" customWidth="1"/>
    <col min="12556" max="12556" width="12" style="455" customWidth="1"/>
    <col min="12557" max="12557" width="12.7109375" style="455" customWidth="1"/>
    <col min="12558" max="12558" width="41.85546875" style="455" customWidth="1"/>
    <col min="12559" max="12559" width="35.140625" style="455" customWidth="1"/>
    <col min="12560" max="12560" width="31.28515625" style="455" customWidth="1"/>
    <col min="12561" max="12561" width="80.140625" style="455" customWidth="1"/>
    <col min="12562" max="12803" width="9.140625" style="455"/>
    <col min="12804" max="12804" width="28.140625" style="455" customWidth="1"/>
    <col min="12805" max="12805" width="10.85546875" style="455" customWidth="1"/>
    <col min="12806" max="12806" width="10.28515625" style="455" customWidth="1"/>
    <col min="12807" max="12807" width="9.140625" style="455"/>
    <col min="12808" max="12808" width="34.7109375" style="455" customWidth="1"/>
    <col min="12809" max="12809" width="16.5703125" style="455" customWidth="1"/>
    <col min="12810" max="12810" width="24" style="455" customWidth="1"/>
    <col min="12811" max="12811" width="12.5703125" style="455" customWidth="1"/>
    <col min="12812" max="12812" width="12" style="455" customWidth="1"/>
    <col min="12813" max="12813" width="12.7109375" style="455" customWidth="1"/>
    <col min="12814" max="12814" width="41.85546875" style="455" customWidth="1"/>
    <col min="12815" max="12815" width="35.140625" style="455" customWidth="1"/>
    <col min="12816" max="12816" width="31.28515625" style="455" customWidth="1"/>
    <col min="12817" max="12817" width="80.140625" style="455" customWidth="1"/>
    <col min="12818" max="13059" width="9.140625" style="455"/>
    <col min="13060" max="13060" width="28.140625" style="455" customWidth="1"/>
    <col min="13061" max="13061" width="10.85546875" style="455" customWidth="1"/>
    <col min="13062" max="13062" width="10.28515625" style="455" customWidth="1"/>
    <col min="13063" max="13063" width="9.140625" style="455"/>
    <col min="13064" max="13064" width="34.7109375" style="455" customWidth="1"/>
    <col min="13065" max="13065" width="16.5703125" style="455" customWidth="1"/>
    <col min="13066" max="13066" width="24" style="455" customWidth="1"/>
    <col min="13067" max="13067" width="12.5703125" style="455" customWidth="1"/>
    <col min="13068" max="13068" width="12" style="455" customWidth="1"/>
    <col min="13069" max="13069" width="12.7109375" style="455" customWidth="1"/>
    <col min="13070" max="13070" width="41.85546875" style="455" customWidth="1"/>
    <col min="13071" max="13071" width="35.140625" style="455" customWidth="1"/>
    <col min="13072" max="13072" width="31.28515625" style="455" customWidth="1"/>
    <col min="13073" max="13073" width="80.140625" style="455" customWidth="1"/>
    <col min="13074" max="13315" width="9.140625" style="455"/>
    <col min="13316" max="13316" width="28.140625" style="455" customWidth="1"/>
    <col min="13317" max="13317" width="10.85546875" style="455" customWidth="1"/>
    <col min="13318" max="13318" width="10.28515625" style="455" customWidth="1"/>
    <col min="13319" max="13319" width="9.140625" style="455"/>
    <col min="13320" max="13320" width="34.7109375" style="455" customWidth="1"/>
    <col min="13321" max="13321" width="16.5703125" style="455" customWidth="1"/>
    <col min="13322" max="13322" width="24" style="455" customWidth="1"/>
    <col min="13323" max="13323" width="12.5703125" style="455" customWidth="1"/>
    <col min="13324" max="13324" width="12" style="455" customWidth="1"/>
    <col min="13325" max="13325" width="12.7109375" style="455" customWidth="1"/>
    <col min="13326" max="13326" width="41.85546875" style="455" customWidth="1"/>
    <col min="13327" max="13327" width="35.140625" style="455" customWidth="1"/>
    <col min="13328" max="13328" width="31.28515625" style="455" customWidth="1"/>
    <col min="13329" max="13329" width="80.140625" style="455" customWidth="1"/>
    <col min="13330" max="13571" width="9.140625" style="455"/>
    <col min="13572" max="13572" width="28.140625" style="455" customWidth="1"/>
    <col min="13573" max="13573" width="10.85546875" style="455" customWidth="1"/>
    <col min="13574" max="13574" width="10.28515625" style="455" customWidth="1"/>
    <col min="13575" max="13575" width="9.140625" style="455"/>
    <col min="13576" max="13576" width="34.7109375" style="455" customWidth="1"/>
    <col min="13577" max="13577" width="16.5703125" style="455" customWidth="1"/>
    <col min="13578" max="13578" width="24" style="455" customWidth="1"/>
    <col min="13579" max="13579" width="12.5703125" style="455" customWidth="1"/>
    <col min="13580" max="13580" width="12" style="455" customWidth="1"/>
    <col min="13581" max="13581" width="12.7109375" style="455" customWidth="1"/>
    <col min="13582" max="13582" width="41.85546875" style="455" customWidth="1"/>
    <col min="13583" max="13583" width="35.140625" style="455" customWidth="1"/>
    <col min="13584" max="13584" width="31.28515625" style="455" customWidth="1"/>
    <col min="13585" max="13585" width="80.140625" style="455" customWidth="1"/>
    <col min="13586" max="13827" width="9.140625" style="455"/>
    <col min="13828" max="13828" width="28.140625" style="455" customWidth="1"/>
    <col min="13829" max="13829" width="10.85546875" style="455" customWidth="1"/>
    <col min="13830" max="13830" width="10.28515625" style="455" customWidth="1"/>
    <col min="13831" max="13831" width="9.140625" style="455"/>
    <col min="13832" max="13832" width="34.7109375" style="455" customWidth="1"/>
    <col min="13833" max="13833" width="16.5703125" style="455" customWidth="1"/>
    <col min="13834" max="13834" width="24" style="455" customWidth="1"/>
    <col min="13835" max="13835" width="12.5703125" style="455" customWidth="1"/>
    <col min="13836" max="13836" width="12" style="455" customWidth="1"/>
    <col min="13837" max="13837" width="12.7109375" style="455" customWidth="1"/>
    <col min="13838" max="13838" width="41.85546875" style="455" customWidth="1"/>
    <col min="13839" max="13839" width="35.140625" style="455" customWidth="1"/>
    <col min="13840" max="13840" width="31.28515625" style="455" customWidth="1"/>
    <col min="13841" max="13841" width="80.140625" style="455" customWidth="1"/>
    <col min="13842" max="14083" width="9.140625" style="455"/>
    <col min="14084" max="14084" width="28.140625" style="455" customWidth="1"/>
    <col min="14085" max="14085" width="10.85546875" style="455" customWidth="1"/>
    <col min="14086" max="14086" width="10.28515625" style="455" customWidth="1"/>
    <col min="14087" max="14087" width="9.140625" style="455"/>
    <col min="14088" max="14088" width="34.7109375" style="455" customWidth="1"/>
    <col min="14089" max="14089" width="16.5703125" style="455" customWidth="1"/>
    <col min="14090" max="14090" width="24" style="455" customWidth="1"/>
    <col min="14091" max="14091" width="12.5703125" style="455" customWidth="1"/>
    <col min="14092" max="14092" width="12" style="455" customWidth="1"/>
    <col min="14093" max="14093" width="12.7109375" style="455" customWidth="1"/>
    <col min="14094" max="14094" width="41.85546875" style="455" customWidth="1"/>
    <col min="14095" max="14095" width="35.140625" style="455" customWidth="1"/>
    <col min="14096" max="14096" width="31.28515625" style="455" customWidth="1"/>
    <col min="14097" max="14097" width="80.140625" style="455" customWidth="1"/>
    <col min="14098" max="14339" width="9.140625" style="455"/>
    <col min="14340" max="14340" width="28.140625" style="455" customWidth="1"/>
    <col min="14341" max="14341" width="10.85546875" style="455" customWidth="1"/>
    <col min="14342" max="14342" width="10.28515625" style="455" customWidth="1"/>
    <col min="14343" max="14343" width="9.140625" style="455"/>
    <col min="14344" max="14344" width="34.7109375" style="455" customWidth="1"/>
    <col min="14345" max="14345" width="16.5703125" style="455" customWidth="1"/>
    <col min="14346" max="14346" width="24" style="455" customWidth="1"/>
    <col min="14347" max="14347" width="12.5703125" style="455" customWidth="1"/>
    <col min="14348" max="14348" width="12" style="455" customWidth="1"/>
    <col min="14349" max="14349" width="12.7109375" style="455" customWidth="1"/>
    <col min="14350" max="14350" width="41.85546875" style="455" customWidth="1"/>
    <col min="14351" max="14351" width="35.140625" style="455" customWidth="1"/>
    <col min="14352" max="14352" width="31.28515625" style="455" customWidth="1"/>
    <col min="14353" max="14353" width="80.140625" style="455" customWidth="1"/>
    <col min="14354" max="14595" width="9.140625" style="455"/>
    <col min="14596" max="14596" width="28.140625" style="455" customWidth="1"/>
    <col min="14597" max="14597" width="10.85546875" style="455" customWidth="1"/>
    <col min="14598" max="14598" width="10.28515625" style="455" customWidth="1"/>
    <col min="14599" max="14599" width="9.140625" style="455"/>
    <col min="14600" max="14600" width="34.7109375" style="455" customWidth="1"/>
    <col min="14601" max="14601" width="16.5703125" style="455" customWidth="1"/>
    <col min="14602" max="14602" width="24" style="455" customWidth="1"/>
    <col min="14603" max="14603" width="12.5703125" style="455" customWidth="1"/>
    <col min="14604" max="14604" width="12" style="455" customWidth="1"/>
    <col min="14605" max="14605" width="12.7109375" style="455" customWidth="1"/>
    <col min="14606" max="14606" width="41.85546875" style="455" customWidth="1"/>
    <col min="14607" max="14607" width="35.140625" style="455" customWidth="1"/>
    <col min="14608" max="14608" width="31.28515625" style="455" customWidth="1"/>
    <col min="14609" max="14609" width="80.140625" style="455" customWidth="1"/>
    <col min="14610" max="14851" width="9.140625" style="455"/>
    <col min="14852" max="14852" width="28.140625" style="455" customWidth="1"/>
    <col min="14853" max="14853" width="10.85546875" style="455" customWidth="1"/>
    <col min="14854" max="14854" width="10.28515625" style="455" customWidth="1"/>
    <col min="14855" max="14855" width="9.140625" style="455"/>
    <col min="14856" max="14856" width="34.7109375" style="455" customWidth="1"/>
    <col min="14857" max="14857" width="16.5703125" style="455" customWidth="1"/>
    <col min="14858" max="14858" width="24" style="455" customWidth="1"/>
    <col min="14859" max="14859" width="12.5703125" style="455" customWidth="1"/>
    <col min="14860" max="14860" width="12" style="455" customWidth="1"/>
    <col min="14861" max="14861" width="12.7109375" style="455" customWidth="1"/>
    <col min="14862" max="14862" width="41.85546875" style="455" customWidth="1"/>
    <col min="14863" max="14863" width="35.140625" style="455" customWidth="1"/>
    <col min="14864" max="14864" width="31.28515625" style="455" customWidth="1"/>
    <col min="14865" max="14865" width="80.140625" style="455" customWidth="1"/>
    <col min="14866" max="15107" width="9.140625" style="455"/>
    <col min="15108" max="15108" width="28.140625" style="455" customWidth="1"/>
    <col min="15109" max="15109" width="10.85546875" style="455" customWidth="1"/>
    <col min="15110" max="15110" width="10.28515625" style="455" customWidth="1"/>
    <col min="15111" max="15111" width="9.140625" style="455"/>
    <col min="15112" max="15112" width="34.7109375" style="455" customWidth="1"/>
    <col min="15113" max="15113" width="16.5703125" style="455" customWidth="1"/>
    <col min="15114" max="15114" width="24" style="455" customWidth="1"/>
    <col min="15115" max="15115" width="12.5703125" style="455" customWidth="1"/>
    <col min="15116" max="15116" width="12" style="455" customWidth="1"/>
    <col min="15117" max="15117" width="12.7109375" style="455" customWidth="1"/>
    <col min="15118" max="15118" width="41.85546875" style="455" customWidth="1"/>
    <col min="15119" max="15119" width="35.140625" style="455" customWidth="1"/>
    <col min="15120" max="15120" width="31.28515625" style="455" customWidth="1"/>
    <col min="15121" max="15121" width="80.140625" style="455" customWidth="1"/>
    <col min="15122" max="15363" width="9.140625" style="455"/>
    <col min="15364" max="15364" width="28.140625" style="455" customWidth="1"/>
    <col min="15365" max="15365" width="10.85546875" style="455" customWidth="1"/>
    <col min="15366" max="15366" width="10.28515625" style="455" customWidth="1"/>
    <col min="15367" max="15367" width="9.140625" style="455"/>
    <col min="15368" max="15368" width="34.7109375" style="455" customWidth="1"/>
    <col min="15369" max="15369" width="16.5703125" style="455" customWidth="1"/>
    <col min="15370" max="15370" width="24" style="455" customWidth="1"/>
    <col min="15371" max="15371" width="12.5703125" style="455" customWidth="1"/>
    <col min="15372" max="15372" width="12" style="455" customWidth="1"/>
    <col min="15373" max="15373" width="12.7109375" style="455" customWidth="1"/>
    <col min="15374" max="15374" width="41.85546875" style="455" customWidth="1"/>
    <col min="15375" max="15375" width="35.140625" style="455" customWidth="1"/>
    <col min="15376" max="15376" width="31.28515625" style="455" customWidth="1"/>
    <col min="15377" max="15377" width="80.140625" style="455" customWidth="1"/>
    <col min="15378" max="15619" width="9.140625" style="455"/>
    <col min="15620" max="15620" width="28.140625" style="455" customWidth="1"/>
    <col min="15621" max="15621" width="10.85546875" style="455" customWidth="1"/>
    <col min="15622" max="15622" width="10.28515625" style="455" customWidth="1"/>
    <col min="15623" max="15623" width="9.140625" style="455"/>
    <col min="15624" max="15624" width="34.7109375" style="455" customWidth="1"/>
    <col min="15625" max="15625" width="16.5703125" style="455" customWidth="1"/>
    <col min="15626" max="15626" width="24" style="455" customWidth="1"/>
    <col min="15627" max="15627" width="12.5703125" style="455" customWidth="1"/>
    <col min="15628" max="15628" width="12" style="455" customWidth="1"/>
    <col min="15629" max="15629" width="12.7109375" style="455" customWidth="1"/>
    <col min="15630" max="15630" width="41.85546875" style="455" customWidth="1"/>
    <col min="15631" max="15631" width="35.140625" style="455" customWidth="1"/>
    <col min="15632" max="15632" width="31.28515625" style="455" customWidth="1"/>
    <col min="15633" max="15633" width="80.140625" style="455" customWidth="1"/>
    <col min="15634" max="15875" width="9.140625" style="455"/>
    <col min="15876" max="15876" width="28.140625" style="455" customWidth="1"/>
    <col min="15877" max="15877" width="10.85546875" style="455" customWidth="1"/>
    <col min="15878" max="15878" width="10.28515625" style="455" customWidth="1"/>
    <col min="15879" max="15879" width="9.140625" style="455"/>
    <col min="15880" max="15880" width="34.7109375" style="455" customWidth="1"/>
    <col min="15881" max="15881" width="16.5703125" style="455" customWidth="1"/>
    <col min="15882" max="15882" width="24" style="455" customWidth="1"/>
    <col min="15883" max="15883" width="12.5703125" style="455" customWidth="1"/>
    <col min="15884" max="15884" width="12" style="455" customWidth="1"/>
    <col min="15885" max="15885" width="12.7109375" style="455" customWidth="1"/>
    <col min="15886" max="15886" width="41.85546875" style="455" customWidth="1"/>
    <col min="15887" max="15887" width="35.140625" style="455" customWidth="1"/>
    <col min="15888" max="15888" width="31.28515625" style="455" customWidth="1"/>
    <col min="15889" max="15889" width="80.140625" style="455" customWidth="1"/>
    <col min="15890" max="16131" width="9.140625" style="455"/>
    <col min="16132" max="16132" width="28.140625" style="455" customWidth="1"/>
    <col min="16133" max="16133" width="10.85546875" style="455" customWidth="1"/>
    <col min="16134" max="16134" width="10.28515625" style="455" customWidth="1"/>
    <col min="16135" max="16135" width="9.140625" style="455"/>
    <col min="16136" max="16136" width="34.7109375" style="455" customWidth="1"/>
    <col min="16137" max="16137" width="16.5703125" style="455" customWidth="1"/>
    <col min="16138" max="16138" width="24" style="455" customWidth="1"/>
    <col min="16139" max="16139" width="12.5703125" style="455" customWidth="1"/>
    <col min="16140" max="16140" width="12" style="455" customWidth="1"/>
    <col min="16141" max="16141" width="12.7109375" style="455" customWidth="1"/>
    <col min="16142" max="16142" width="41.85546875" style="455" customWidth="1"/>
    <col min="16143" max="16143" width="35.140625" style="455" customWidth="1"/>
    <col min="16144" max="16144" width="31.28515625" style="455" customWidth="1"/>
    <col min="16145" max="16145" width="80.140625" style="455" customWidth="1"/>
    <col min="16146" max="16384" width="9.140625" style="455"/>
  </cols>
  <sheetData>
    <row r="1" spans="1:23" x14ac:dyDescent="0.2">
      <c r="C1" s="455">
        <v>1</v>
      </c>
      <c r="D1" s="456">
        <v>2</v>
      </c>
      <c r="E1" s="455">
        <v>3</v>
      </c>
      <c r="F1" s="456">
        <v>4</v>
      </c>
      <c r="G1" s="455">
        <v>5</v>
      </c>
      <c r="H1" s="456">
        <v>6</v>
      </c>
      <c r="I1" s="455">
        <v>7</v>
      </c>
      <c r="J1" s="456">
        <v>8</v>
      </c>
      <c r="K1" s="455">
        <v>9</v>
      </c>
      <c r="L1" s="474">
        <v>10</v>
      </c>
      <c r="M1" s="455">
        <v>11</v>
      </c>
      <c r="N1" s="456">
        <v>12</v>
      </c>
      <c r="O1" s="455">
        <v>13</v>
      </c>
      <c r="P1" s="456">
        <v>14</v>
      </c>
      <c r="Q1" s="455">
        <v>15</v>
      </c>
    </row>
    <row r="2" spans="1:23" s="457" customFormat="1" ht="43.15" customHeight="1" x14ac:dyDescent="0.25">
      <c r="A2" s="457" t="s">
        <v>14</v>
      </c>
      <c r="B2" s="457" t="s">
        <v>697</v>
      </c>
      <c r="C2" s="457" t="s">
        <v>698</v>
      </c>
      <c r="D2" s="458" t="s">
        <v>699</v>
      </c>
      <c r="E2" s="457" t="s">
        <v>700</v>
      </c>
      <c r="F2" s="457" t="s">
        <v>701</v>
      </c>
      <c r="G2" s="457" t="s">
        <v>702</v>
      </c>
      <c r="H2" s="457" t="s">
        <v>703</v>
      </c>
      <c r="I2" s="457" t="s">
        <v>704</v>
      </c>
      <c r="J2" s="457" t="s">
        <v>705</v>
      </c>
      <c r="K2" s="457" t="s">
        <v>706</v>
      </c>
      <c r="L2" s="475" t="s">
        <v>707</v>
      </c>
      <c r="M2" s="458" t="s">
        <v>708</v>
      </c>
      <c r="N2" s="457" t="s">
        <v>709</v>
      </c>
      <c r="O2" s="457" t="s">
        <v>710</v>
      </c>
      <c r="P2" s="457" t="s">
        <v>711</v>
      </c>
      <c r="Q2" s="457" t="s">
        <v>712</v>
      </c>
    </row>
    <row r="3" spans="1:23" ht="17.25" customHeight="1" x14ac:dyDescent="0.2">
      <c r="A3" s="459">
        <v>1500</v>
      </c>
      <c r="B3" s="459">
        <v>1</v>
      </c>
      <c r="C3" s="479" t="str">
        <f>CONCATENATE(A3,B3)</f>
        <v>15001</v>
      </c>
      <c r="D3" s="459" t="s">
        <v>609</v>
      </c>
      <c r="E3" s="459">
        <v>74</v>
      </c>
      <c r="F3" s="459">
        <v>421</v>
      </c>
      <c r="G3" s="459">
        <v>2021</v>
      </c>
      <c r="H3" s="459" t="s">
        <v>133</v>
      </c>
      <c r="I3" s="459"/>
      <c r="J3" s="459" t="s">
        <v>727</v>
      </c>
      <c r="K3" s="459">
        <v>1</v>
      </c>
      <c r="L3" s="476" t="s">
        <v>958</v>
      </c>
      <c r="M3" s="460">
        <v>1399000</v>
      </c>
      <c r="N3" s="459" t="s">
        <v>959</v>
      </c>
      <c r="O3" s="459" t="s">
        <v>960</v>
      </c>
      <c r="P3" s="459" t="s">
        <v>961</v>
      </c>
      <c r="Q3" s="459" t="s">
        <v>962</v>
      </c>
      <c r="W3" s="455" t="str">
        <f t="shared" ref="W3:W34" si="0">CONCATENATE(A3,B3)</f>
        <v>15001</v>
      </c>
    </row>
    <row r="4" spans="1:23" ht="14.25" x14ac:dyDescent="0.2">
      <c r="A4" s="459">
        <v>1500</v>
      </c>
      <c r="B4" s="459">
        <v>2</v>
      </c>
      <c r="C4" s="479" t="str">
        <f t="shared" ref="C4:C67" si="1">CONCATENATE(A4,B4)</f>
        <v>15002</v>
      </c>
      <c r="D4" s="459" t="s">
        <v>609</v>
      </c>
      <c r="E4" s="459">
        <v>74</v>
      </c>
      <c r="F4" s="459">
        <v>422</v>
      </c>
      <c r="G4" s="459">
        <v>2021</v>
      </c>
      <c r="H4" s="459" t="s">
        <v>133</v>
      </c>
      <c r="I4" s="459"/>
      <c r="J4" s="459" t="s">
        <v>727</v>
      </c>
      <c r="K4" s="459">
        <v>2</v>
      </c>
      <c r="L4" s="476" t="s">
        <v>963</v>
      </c>
      <c r="M4" s="460">
        <v>11358317</v>
      </c>
      <c r="N4" s="459" t="s">
        <v>964</v>
      </c>
      <c r="O4" s="459" t="s">
        <v>965</v>
      </c>
      <c r="P4" s="459" t="s">
        <v>966</v>
      </c>
      <c r="Q4" s="459" t="s">
        <v>967</v>
      </c>
      <c r="W4" s="455" t="str">
        <f t="shared" si="0"/>
        <v>15002</v>
      </c>
    </row>
    <row r="5" spans="1:23" ht="14.25" x14ac:dyDescent="0.2">
      <c r="A5" s="459">
        <v>1500</v>
      </c>
      <c r="B5" s="459">
        <v>1</v>
      </c>
      <c r="C5" s="479" t="str">
        <f t="shared" si="1"/>
        <v>15001</v>
      </c>
      <c r="D5" s="459" t="s">
        <v>609</v>
      </c>
      <c r="E5" s="459">
        <v>74</v>
      </c>
      <c r="F5" s="459">
        <v>407</v>
      </c>
      <c r="G5" s="459">
        <v>2020</v>
      </c>
      <c r="H5" s="459" t="s">
        <v>133</v>
      </c>
      <c r="I5" s="459"/>
      <c r="J5" s="459" t="s">
        <v>727</v>
      </c>
      <c r="K5" s="459">
        <v>1</v>
      </c>
      <c r="L5" s="476" t="s">
        <v>968</v>
      </c>
      <c r="M5" s="460">
        <v>1430000</v>
      </c>
      <c r="N5" s="459" t="s">
        <v>842</v>
      </c>
      <c r="O5" s="459" t="s">
        <v>843</v>
      </c>
      <c r="P5" s="459" t="s">
        <v>844</v>
      </c>
      <c r="Q5" s="459" t="s">
        <v>845</v>
      </c>
      <c r="W5" s="455" t="str">
        <f t="shared" si="0"/>
        <v>15001</v>
      </c>
    </row>
    <row r="6" spans="1:23" ht="14.25" x14ac:dyDescent="0.2">
      <c r="A6" s="459">
        <v>1500</v>
      </c>
      <c r="B6" s="459">
        <v>1</v>
      </c>
      <c r="C6" s="479" t="str">
        <f t="shared" si="1"/>
        <v>15001</v>
      </c>
      <c r="D6" s="459" t="s">
        <v>609</v>
      </c>
      <c r="E6" s="459">
        <v>74</v>
      </c>
      <c r="F6" s="459">
        <v>384</v>
      </c>
      <c r="G6" s="459">
        <v>2019</v>
      </c>
      <c r="H6" s="459" t="s">
        <v>133</v>
      </c>
      <c r="I6" s="459"/>
      <c r="J6" s="459" t="s">
        <v>727</v>
      </c>
      <c r="K6" s="459">
        <v>1</v>
      </c>
      <c r="L6" s="476" t="s">
        <v>969</v>
      </c>
      <c r="M6" s="460">
        <v>1263000</v>
      </c>
      <c r="N6" s="459" t="s">
        <v>760</v>
      </c>
      <c r="O6" s="459" t="s">
        <v>761</v>
      </c>
      <c r="P6" s="459" t="s">
        <v>762</v>
      </c>
      <c r="Q6" s="459" t="s">
        <v>763</v>
      </c>
      <c r="W6" s="455" t="str">
        <f t="shared" si="0"/>
        <v>15001</v>
      </c>
    </row>
    <row r="7" spans="1:23" ht="14.25" x14ac:dyDescent="0.2">
      <c r="A7" s="459">
        <v>1500</v>
      </c>
      <c r="B7" s="459">
        <v>2</v>
      </c>
      <c r="C7" s="479" t="str">
        <f t="shared" si="1"/>
        <v>15002</v>
      </c>
      <c r="D7" s="459" t="s">
        <v>609</v>
      </c>
      <c r="E7" s="459">
        <v>74</v>
      </c>
      <c r="F7" s="459">
        <v>385</v>
      </c>
      <c r="G7" s="459">
        <v>2019</v>
      </c>
      <c r="H7" s="459" t="s">
        <v>133</v>
      </c>
      <c r="I7" s="459"/>
      <c r="J7" s="459" t="s">
        <v>727</v>
      </c>
      <c r="K7" s="459">
        <v>2</v>
      </c>
      <c r="L7" s="476" t="s">
        <v>969</v>
      </c>
      <c r="M7" s="460">
        <v>1700000</v>
      </c>
      <c r="N7" s="459" t="s">
        <v>764</v>
      </c>
      <c r="O7" s="459" t="s">
        <v>765</v>
      </c>
      <c r="P7" s="459" t="s">
        <v>713</v>
      </c>
      <c r="Q7" s="459" t="s">
        <v>766</v>
      </c>
      <c r="W7" s="455" t="str">
        <f t="shared" si="0"/>
        <v>15002</v>
      </c>
    </row>
    <row r="8" spans="1:23" ht="14.25" x14ac:dyDescent="0.2">
      <c r="A8" s="459">
        <v>1500</v>
      </c>
      <c r="B8" s="459">
        <v>3</v>
      </c>
      <c r="C8" s="479" t="str">
        <f t="shared" si="1"/>
        <v>15003</v>
      </c>
      <c r="D8" s="459" t="s">
        <v>609</v>
      </c>
      <c r="E8" s="459">
        <v>74</v>
      </c>
      <c r="F8" s="459">
        <v>386</v>
      </c>
      <c r="G8" s="459">
        <v>2019</v>
      </c>
      <c r="H8" s="459" t="s">
        <v>133</v>
      </c>
      <c r="I8" s="459"/>
      <c r="J8" s="459" t="s">
        <v>727</v>
      </c>
      <c r="K8" s="459">
        <v>3</v>
      </c>
      <c r="L8" s="476" t="s">
        <v>970</v>
      </c>
      <c r="M8" s="460">
        <v>2000000</v>
      </c>
      <c r="N8" s="459" t="s">
        <v>767</v>
      </c>
      <c r="O8" s="459" t="s">
        <v>768</v>
      </c>
      <c r="P8" s="459" t="s">
        <v>713</v>
      </c>
      <c r="Q8" s="459" t="s">
        <v>769</v>
      </c>
      <c r="W8" s="455" t="str">
        <f t="shared" si="0"/>
        <v>15003</v>
      </c>
    </row>
    <row r="9" spans="1:23" ht="14.25" x14ac:dyDescent="0.2">
      <c r="A9" s="459">
        <v>1500</v>
      </c>
      <c r="B9" s="459">
        <v>4</v>
      </c>
      <c r="C9" s="479" t="str">
        <f t="shared" si="1"/>
        <v>15004</v>
      </c>
      <c r="D9" s="459" t="s">
        <v>609</v>
      </c>
      <c r="E9" s="459">
        <v>74</v>
      </c>
      <c r="F9" s="459">
        <v>387</v>
      </c>
      <c r="G9" s="459">
        <v>2019</v>
      </c>
      <c r="H9" s="459" t="s">
        <v>133</v>
      </c>
      <c r="I9" s="459"/>
      <c r="J9" s="459" t="s">
        <v>727</v>
      </c>
      <c r="K9" s="459">
        <v>4</v>
      </c>
      <c r="L9" s="476" t="s">
        <v>971</v>
      </c>
      <c r="M9" s="460">
        <v>7900000</v>
      </c>
      <c r="N9" s="459" t="s">
        <v>770</v>
      </c>
      <c r="O9" s="459" t="s">
        <v>771</v>
      </c>
      <c r="P9" s="459" t="s">
        <v>771</v>
      </c>
      <c r="Q9" s="459" t="s">
        <v>772</v>
      </c>
      <c r="W9" s="455" t="str">
        <f t="shared" si="0"/>
        <v>15004</v>
      </c>
    </row>
    <row r="10" spans="1:23" ht="14.25" x14ac:dyDescent="0.2">
      <c r="A10" s="459">
        <v>1501</v>
      </c>
      <c r="B10" s="459">
        <v>1</v>
      </c>
      <c r="C10" s="479" t="str">
        <f t="shared" si="1"/>
        <v>15011</v>
      </c>
      <c r="D10" s="459" t="s">
        <v>972</v>
      </c>
      <c r="E10" s="459">
        <v>105</v>
      </c>
      <c r="F10" s="459">
        <v>51</v>
      </c>
      <c r="G10" s="459">
        <v>2021</v>
      </c>
      <c r="H10" s="459" t="s">
        <v>946</v>
      </c>
      <c r="I10" s="459" t="s">
        <v>402</v>
      </c>
      <c r="J10" s="459" t="s">
        <v>727</v>
      </c>
      <c r="K10" s="459">
        <v>1</v>
      </c>
      <c r="L10" s="476" t="s">
        <v>973</v>
      </c>
      <c r="M10" s="460">
        <v>1995318</v>
      </c>
      <c r="N10" s="459" t="s">
        <v>974</v>
      </c>
      <c r="O10" s="459" t="s">
        <v>975</v>
      </c>
      <c r="P10" s="459" t="s">
        <v>976</v>
      </c>
      <c r="Q10" s="459" t="s">
        <v>977</v>
      </c>
      <c r="W10" s="455" t="str">
        <f t="shared" si="0"/>
        <v>15011</v>
      </c>
    </row>
    <row r="11" spans="1:23" ht="14.25" x14ac:dyDescent="0.2">
      <c r="A11" s="459">
        <v>1501</v>
      </c>
      <c r="B11" s="459">
        <v>2</v>
      </c>
      <c r="C11" s="479" t="str">
        <f t="shared" si="1"/>
        <v>15012</v>
      </c>
      <c r="D11" s="459" t="s">
        <v>972</v>
      </c>
      <c r="E11" s="459">
        <v>105</v>
      </c>
      <c r="F11" s="459">
        <v>52</v>
      </c>
      <c r="G11" s="459">
        <v>2021</v>
      </c>
      <c r="H11" s="459" t="s">
        <v>946</v>
      </c>
      <c r="I11" s="459" t="s">
        <v>402</v>
      </c>
      <c r="J11" s="459" t="s">
        <v>727</v>
      </c>
      <c r="K11" s="459">
        <v>2</v>
      </c>
      <c r="L11" s="476" t="s">
        <v>973</v>
      </c>
      <c r="M11" s="460">
        <v>2141051</v>
      </c>
      <c r="N11" s="459" t="s">
        <v>978</v>
      </c>
      <c r="O11" s="459" t="s">
        <v>979</v>
      </c>
      <c r="P11" s="459" t="s">
        <v>719</v>
      </c>
      <c r="Q11" s="459" t="s">
        <v>980</v>
      </c>
      <c r="W11" s="455" t="str">
        <f t="shared" si="0"/>
        <v>15012</v>
      </c>
    </row>
    <row r="12" spans="1:23" ht="14.25" x14ac:dyDescent="0.2">
      <c r="A12" s="459">
        <v>1506</v>
      </c>
      <c r="B12" s="459">
        <v>1</v>
      </c>
      <c r="C12" s="479" t="str">
        <f t="shared" si="1"/>
        <v>15061</v>
      </c>
      <c r="D12" s="459" t="s">
        <v>739</v>
      </c>
      <c r="E12" s="459">
        <v>43</v>
      </c>
      <c r="F12" s="459">
        <v>390</v>
      </c>
      <c r="G12" s="459">
        <v>2021</v>
      </c>
      <c r="H12" s="459" t="s">
        <v>134</v>
      </c>
      <c r="I12" s="459"/>
      <c r="J12" s="459" t="s">
        <v>727</v>
      </c>
      <c r="K12" s="459">
        <v>1</v>
      </c>
      <c r="L12" s="476" t="s">
        <v>981</v>
      </c>
      <c r="M12" s="460">
        <v>16603365</v>
      </c>
      <c r="N12" s="459" t="s">
        <v>982</v>
      </c>
      <c r="O12" s="459" t="s">
        <v>983</v>
      </c>
      <c r="P12" s="459" t="s">
        <v>984</v>
      </c>
      <c r="Q12" s="459" t="s">
        <v>985</v>
      </c>
      <c r="W12" s="455" t="str">
        <f t="shared" si="0"/>
        <v>15061</v>
      </c>
    </row>
    <row r="13" spans="1:23" ht="14.25" x14ac:dyDescent="0.2">
      <c r="A13" s="459">
        <v>1506</v>
      </c>
      <c r="B13" s="459">
        <v>2</v>
      </c>
      <c r="C13" s="479" t="str">
        <f t="shared" si="1"/>
        <v>15062</v>
      </c>
      <c r="D13" s="459" t="s">
        <v>739</v>
      </c>
      <c r="E13" s="459">
        <v>43</v>
      </c>
      <c r="F13" s="459">
        <v>391</v>
      </c>
      <c r="G13" s="459">
        <v>2021</v>
      </c>
      <c r="H13" s="459" t="s">
        <v>134</v>
      </c>
      <c r="I13" s="459"/>
      <c r="J13" s="459" t="s">
        <v>727</v>
      </c>
      <c r="K13" s="459">
        <v>2</v>
      </c>
      <c r="L13" s="476" t="s">
        <v>986</v>
      </c>
      <c r="M13" s="460">
        <v>4694280</v>
      </c>
      <c r="N13" s="459" t="s">
        <v>773</v>
      </c>
      <c r="O13" s="459" t="s">
        <v>774</v>
      </c>
      <c r="P13" s="459" t="s">
        <v>713</v>
      </c>
      <c r="Q13" s="459" t="s">
        <v>987</v>
      </c>
      <c r="W13" s="455" t="str">
        <f t="shared" si="0"/>
        <v>15062</v>
      </c>
    </row>
    <row r="14" spans="1:23" ht="14.25" x14ac:dyDescent="0.2">
      <c r="A14" s="459">
        <v>1506</v>
      </c>
      <c r="B14" s="459">
        <v>3</v>
      </c>
      <c r="C14" s="479" t="str">
        <f t="shared" si="1"/>
        <v>15063</v>
      </c>
      <c r="D14" s="459" t="s">
        <v>739</v>
      </c>
      <c r="E14" s="459">
        <v>43</v>
      </c>
      <c r="F14" s="459">
        <v>392</v>
      </c>
      <c r="G14" s="459">
        <v>2021</v>
      </c>
      <c r="H14" s="459" t="s">
        <v>134</v>
      </c>
      <c r="I14" s="459"/>
      <c r="J14" s="459" t="s">
        <v>727</v>
      </c>
      <c r="K14" s="459">
        <v>3</v>
      </c>
      <c r="L14" s="476" t="s">
        <v>988</v>
      </c>
      <c r="M14" s="460">
        <v>3814874</v>
      </c>
      <c r="N14" s="459" t="s">
        <v>773</v>
      </c>
      <c r="O14" s="459" t="s">
        <v>774</v>
      </c>
      <c r="P14" s="459" t="s">
        <v>713</v>
      </c>
      <c r="Q14" s="459" t="s">
        <v>989</v>
      </c>
      <c r="W14" s="455" t="str">
        <f t="shared" si="0"/>
        <v>15063</v>
      </c>
    </row>
    <row r="15" spans="1:23" ht="14.25" x14ac:dyDescent="0.2">
      <c r="A15" s="459">
        <v>1506</v>
      </c>
      <c r="B15" s="459">
        <v>4</v>
      </c>
      <c r="C15" s="479" t="str">
        <f t="shared" si="1"/>
        <v>15064</v>
      </c>
      <c r="D15" s="459" t="s">
        <v>739</v>
      </c>
      <c r="E15" s="459">
        <v>43</v>
      </c>
      <c r="F15" s="459">
        <v>393</v>
      </c>
      <c r="G15" s="459">
        <v>2021</v>
      </c>
      <c r="H15" s="459" t="s">
        <v>134</v>
      </c>
      <c r="I15" s="459"/>
      <c r="J15" s="459" t="s">
        <v>727</v>
      </c>
      <c r="K15" s="459">
        <v>4</v>
      </c>
      <c r="L15" s="476" t="s">
        <v>990</v>
      </c>
      <c r="M15" s="460">
        <v>8730000</v>
      </c>
      <c r="N15" s="459" t="s">
        <v>773</v>
      </c>
      <c r="O15" s="459" t="s">
        <v>774</v>
      </c>
      <c r="P15" s="459" t="s">
        <v>713</v>
      </c>
      <c r="Q15" s="459" t="s">
        <v>991</v>
      </c>
      <c r="W15" s="455" t="str">
        <f t="shared" si="0"/>
        <v>15064</v>
      </c>
    </row>
    <row r="16" spans="1:23" ht="14.25" x14ac:dyDescent="0.2">
      <c r="A16" s="459">
        <v>1506</v>
      </c>
      <c r="B16" s="459">
        <v>5</v>
      </c>
      <c r="C16" s="479" t="str">
        <f t="shared" si="1"/>
        <v>15065</v>
      </c>
      <c r="D16" s="459" t="s">
        <v>739</v>
      </c>
      <c r="E16" s="459">
        <v>43</v>
      </c>
      <c r="F16" s="459">
        <v>394</v>
      </c>
      <c r="G16" s="459">
        <v>2021</v>
      </c>
      <c r="H16" s="459" t="s">
        <v>134</v>
      </c>
      <c r="I16" s="459"/>
      <c r="J16" s="459" t="s">
        <v>727</v>
      </c>
      <c r="K16" s="459">
        <v>5</v>
      </c>
      <c r="L16" s="476" t="s">
        <v>992</v>
      </c>
      <c r="M16" s="460">
        <v>1877820</v>
      </c>
      <c r="N16" s="459" t="s">
        <v>993</v>
      </c>
      <c r="O16" s="459" t="s">
        <v>994</v>
      </c>
      <c r="P16" s="459" t="s">
        <v>713</v>
      </c>
      <c r="Q16" s="459" t="s">
        <v>995</v>
      </c>
      <c r="W16" s="455" t="str">
        <f t="shared" si="0"/>
        <v>15065</v>
      </c>
    </row>
    <row r="17" spans="1:23" ht="14.25" x14ac:dyDescent="0.2">
      <c r="A17" s="459">
        <v>1506</v>
      </c>
      <c r="B17" s="459">
        <v>6</v>
      </c>
      <c r="C17" s="479" t="str">
        <f t="shared" si="1"/>
        <v>15066</v>
      </c>
      <c r="D17" s="459" t="s">
        <v>739</v>
      </c>
      <c r="E17" s="459">
        <v>43</v>
      </c>
      <c r="F17" s="459">
        <v>395</v>
      </c>
      <c r="G17" s="459">
        <v>2021</v>
      </c>
      <c r="H17" s="459" t="s">
        <v>134</v>
      </c>
      <c r="I17" s="459"/>
      <c r="J17" s="459" t="s">
        <v>727</v>
      </c>
      <c r="K17" s="459">
        <v>6</v>
      </c>
      <c r="L17" s="476" t="s">
        <v>996</v>
      </c>
      <c r="M17" s="460">
        <v>4912833</v>
      </c>
      <c r="N17" s="459" t="s">
        <v>993</v>
      </c>
      <c r="O17" s="459" t="s">
        <v>994</v>
      </c>
      <c r="P17" s="459" t="s">
        <v>713</v>
      </c>
      <c r="Q17" s="459" t="s">
        <v>997</v>
      </c>
      <c r="W17" s="455" t="str">
        <f t="shared" si="0"/>
        <v>15066</v>
      </c>
    </row>
    <row r="18" spans="1:23" ht="14.25" x14ac:dyDescent="0.2">
      <c r="A18" s="459">
        <v>1506</v>
      </c>
      <c r="B18" s="459">
        <v>7</v>
      </c>
      <c r="C18" s="479" t="str">
        <f t="shared" si="1"/>
        <v>15067</v>
      </c>
      <c r="D18" s="459" t="s">
        <v>739</v>
      </c>
      <c r="E18" s="459">
        <v>43</v>
      </c>
      <c r="F18" s="459">
        <v>396</v>
      </c>
      <c r="G18" s="459">
        <v>2021</v>
      </c>
      <c r="H18" s="459" t="s">
        <v>134</v>
      </c>
      <c r="I18" s="459"/>
      <c r="J18" s="459" t="s">
        <v>727</v>
      </c>
      <c r="K18" s="459">
        <v>7</v>
      </c>
      <c r="L18" s="476" t="s">
        <v>990</v>
      </c>
      <c r="M18" s="460">
        <v>35600000</v>
      </c>
      <c r="N18" s="459" t="s">
        <v>998</v>
      </c>
      <c r="O18" s="459" t="s">
        <v>999</v>
      </c>
      <c r="P18" s="459" t="s">
        <v>715</v>
      </c>
      <c r="Q18" s="459" t="s">
        <v>1000</v>
      </c>
      <c r="W18" s="455" t="str">
        <f t="shared" si="0"/>
        <v>15067</v>
      </c>
    </row>
    <row r="19" spans="1:23" ht="14.25" x14ac:dyDescent="0.2">
      <c r="A19" s="459">
        <v>1506</v>
      </c>
      <c r="B19" s="459">
        <v>1</v>
      </c>
      <c r="C19" s="479" t="str">
        <f t="shared" si="1"/>
        <v>15061</v>
      </c>
      <c r="D19" s="459" t="s">
        <v>739</v>
      </c>
      <c r="E19" s="459">
        <v>43</v>
      </c>
      <c r="F19" s="459">
        <v>368</v>
      </c>
      <c r="G19" s="459">
        <v>2020</v>
      </c>
      <c r="H19" s="459" t="s">
        <v>134</v>
      </c>
      <c r="I19" s="459"/>
      <c r="J19" s="459" t="s">
        <v>727</v>
      </c>
      <c r="K19" s="459">
        <v>1</v>
      </c>
      <c r="L19" s="476" t="s">
        <v>1001</v>
      </c>
      <c r="M19" s="460">
        <v>9186392</v>
      </c>
      <c r="N19" s="459" t="s">
        <v>846</v>
      </c>
      <c r="O19" s="459" t="s">
        <v>847</v>
      </c>
      <c r="P19" s="459" t="s">
        <v>782</v>
      </c>
      <c r="Q19" s="459" t="s">
        <v>848</v>
      </c>
      <c r="W19" s="455" t="str">
        <f t="shared" si="0"/>
        <v>15061</v>
      </c>
    </row>
    <row r="20" spans="1:23" ht="14.25" x14ac:dyDescent="0.2">
      <c r="A20" s="459">
        <v>1506</v>
      </c>
      <c r="B20" s="459">
        <v>2</v>
      </c>
      <c r="C20" s="479" t="str">
        <f t="shared" si="1"/>
        <v>15062</v>
      </c>
      <c r="D20" s="459" t="s">
        <v>739</v>
      </c>
      <c r="E20" s="459">
        <v>43</v>
      </c>
      <c r="F20" s="459">
        <v>369</v>
      </c>
      <c r="G20" s="459">
        <v>2020</v>
      </c>
      <c r="H20" s="459" t="s">
        <v>134</v>
      </c>
      <c r="I20" s="459"/>
      <c r="J20" s="459" t="s">
        <v>727</v>
      </c>
      <c r="K20" s="459">
        <v>2</v>
      </c>
      <c r="L20" s="476" t="s">
        <v>1002</v>
      </c>
      <c r="M20" s="460">
        <v>4414556</v>
      </c>
      <c r="N20" s="459" t="s">
        <v>886</v>
      </c>
      <c r="O20" s="459" t="s">
        <v>774</v>
      </c>
      <c r="P20" s="459" t="s">
        <v>713</v>
      </c>
      <c r="Q20" s="459" t="s">
        <v>849</v>
      </c>
      <c r="W20" s="455" t="str">
        <f t="shared" si="0"/>
        <v>15062</v>
      </c>
    </row>
    <row r="21" spans="1:23" ht="14.25" x14ac:dyDescent="0.2">
      <c r="A21" s="459">
        <v>1506</v>
      </c>
      <c r="B21" s="459">
        <v>3</v>
      </c>
      <c r="C21" s="479" t="str">
        <f t="shared" si="1"/>
        <v>15063</v>
      </c>
      <c r="D21" s="459" t="s">
        <v>739</v>
      </c>
      <c r="E21" s="459">
        <v>43</v>
      </c>
      <c r="F21" s="459">
        <v>370</v>
      </c>
      <c r="G21" s="459">
        <v>2020</v>
      </c>
      <c r="H21" s="459" t="s">
        <v>134</v>
      </c>
      <c r="I21" s="459"/>
      <c r="J21" s="459" t="s">
        <v>727</v>
      </c>
      <c r="K21" s="459">
        <v>3</v>
      </c>
      <c r="L21" s="476" t="s">
        <v>1003</v>
      </c>
      <c r="M21" s="460">
        <v>3809620</v>
      </c>
      <c r="N21" s="459" t="s">
        <v>773</v>
      </c>
      <c r="O21" s="459" t="s">
        <v>774</v>
      </c>
      <c r="P21" s="459" t="s">
        <v>713</v>
      </c>
      <c r="Q21" s="459" t="s">
        <v>850</v>
      </c>
      <c r="W21" s="455" t="str">
        <f t="shared" si="0"/>
        <v>15063</v>
      </c>
    </row>
    <row r="22" spans="1:23" ht="14.25" x14ac:dyDescent="0.2">
      <c r="A22" s="459">
        <v>1506</v>
      </c>
      <c r="B22" s="459">
        <v>4</v>
      </c>
      <c r="C22" s="479" t="str">
        <f t="shared" si="1"/>
        <v>15064</v>
      </c>
      <c r="D22" s="459" t="s">
        <v>739</v>
      </c>
      <c r="E22" s="459">
        <v>43</v>
      </c>
      <c r="F22" s="459">
        <v>371</v>
      </c>
      <c r="G22" s="459">
        <v>2020</v>
      </c>
      <c r="H22" s="459" t="s">
        <v>134</v>
      </c>
      <c r="I22" s="459"/>
      <c r="J22" s="459" t="s">
        <v>727</v>
      </c>
      <c r="K22" s="459">
        <v>4</v>
      </c>
      <c r="L22" s="476" t="s">
        <v>1004</v>
      </c>
      <c r="M22" s="460">
        <v>1434814</v>
      </c>
      <c r="N22" s="459" t="s">
        <v>773</v>
      </c>
      <c r="O22" s="459" t="s">
        <v>774</v>
      </c>
      <c r="P22" s="459" t="s">
        <v>713</v>
      </c>
      <c r="Q22" s="459" t="s">
        <v>851</v>
      </c>
      <c r="W22" s="455" t="str">
        <f t="shared" si="0"/>
        <v>15064</v>
      </c>
    </row>
    <row r="23" spans="1:23" ht="14.25" x14ac:dyDescent="0.2">
      <c r="A23" s="459">
        <v>1506</v>
      </c>
      <c r="B23" s="459">
        <v>5</v>
      </c>
      <c r="C23" s="479" t="str">
        <f t="shared" si="1"/>
        <v>15065</v>
      </c>
      <c r="D23" s="459" t="s">
        <v>739</v>
      </c>
      <c r="E23" s="459">
        <v>43</v>
      </c>
      <c r="F23" s="459">
        <v>372</v>
      </c>
      <c r="G23" s="459">
        <v>2020</v>
      </c>
      <c r="H23" s="459" t="s">
        <v>134</v>
      </c>
      <c r="I23" s="459"/>
      <c r="J23" s="459" t="s">
        <v>727</v>
      </c>
      <c r="K23" s="459">
        <v>5</v>
      </c>
      <c r="L23" s="476" t="s">
        <v>1005</v>
      </c>
      <c r="M23" s="460">
        <v>2143928</v>
      </c>
      <c r="N23" s="459" t="s">
        <v>852</v>
      </c>
      <c r="O23" s="459" t="s">
        <v>774</v>
      </c>
      <c r="P23" s="459" t="s">
        <v>713</v>
      </c>
      <c r="Q23" s="459" t="s">
        <v>853</v>
      </c>
      <c r="W23" s="455" t="str">
        <f t="shared" si="0"/>
        <v>15065</v>
      </c>
    </row>
    <row r="24" spans="1:23" ht="14.25" x14ac:dyDescent="0.2">
      <c r="A24" s="459">
        <v>1506</v>
      </c>
      <c r="B24" s="459">
        <v>6</v>
      </c>
      <c r="C24" s="479" t="str">
        <f t="shared" si="1"/>
        <v>15066</v>
      </c>
      <c r="D24" s="459" t="s">
        <v>739</v>
      </c>
      <c r="E24" s="459">
        <v>43</v>
      </c>
      <c r="F24" s="459">
        <v>373</v>
      </c>
      <c r="G24" s="459">
        <v>2020</v>
      </c>
      <c r="H24" s="459" t="s">
        <v>134</v>
      </c>
      <c r="I24" s="459"/>
      <c r="J24" s="459" t="s">
        <v>727</v>
      </c>
      <c r="K24" s="459">
        <v>6</v>
      </c>
      <c r="L24" s="476" t="s">
        <v>1006</v>
      </c>
      <c r="M24" s="460">
        <v>1637188</v>
      </c>
      <c r="N24" s="459" t="s">
        <v>773</v>
      </c>
      <c r="O24" s="459" t="s">
        <v>774</v>
      </c>
      <c r="P24" s="459" t="s">
        <v>713</v>
      </c>
      <c r="Q24" s="459" t="s">
        <v>854</v>
      </c>
      <c r="W24" s="455" t="str">
        <f t="shared" si="0"/>
        <v>15066</v>
      </c>
    </row>
    <row r="25" spans="1:23" ht="14.25" x14ac:dyDescent="0.2">
      <c r="A25" s="459">
        <v>1506</v>
      </c>
      <c r="B25" s="459">
        <v>7</v>
      </c>
      <c r="C25" s="479" t="str">
        <f t="shared" si="1"/>
        <v>15067</v>
      </c>
      <c r="D25" s="459" t="s">
        <v>739</v>
      </c>
      <c r="E25" s="459">
        <v>43</v>
      </c>
      <c r="F25" s="459">
        <v>374</v>
      </c>
      <c r="G25" s="459">
        <v>2020</v>
      </c>
      <c r="H25" s="459" t="s">
        <v>134</v>
      </c>
      <c r="I25" s="459"/>
      <c r="J25" s="459" t="s">
        <v>727</v>
      </c>
      <c r="K25" s="459">
        <v>7</v>
      </c>
      <c r="L25" s="476" t="s">
        <v>1001</v>
      </c>
      <c r="M25" s="460">
        <v>189058000</v>
      </c>
      <c r="N25" s="459" t="s">
        <v>855</v>
      </c>
      <c r="O25" s="459" t="s">
        <v>774</v>
      </c>
      <c r="P25" s="459" t="s">
        <v>713</v>
      </c>
      <c r="Q25" s="459" t="s">
        <v>856</v>
      </c>
      <c r="W25" s="455" t="str">
        <f t="shared" si="0"/>
        <v>15067</v>
      </c>
    </row>
    <row r="26" spans="1:23" ht="14.25" x14ac:dyDescent="0.2">
      <c r="A26" s="459">
        <v>1506</v>
      </c>
      <c r="B26" s="459">
        <v>8</v>
      </c>
      <c r="C26" s="479" t="str">
        <f t="shared" si="1"/>
        <v>15068</v>
      </c>
      <c r="D26" s="459" t="s">
        <v>739</v>
      </c>
      <c r="E26" s="459">
        <v>43</v>
      </c>
      <c r="F26" s="459">
        <v>375</v>
      </c>
      <c r="G26" s="459">
        <v>2020</v>
      </c>
      <c r="H26" s="459" t="s">
        <v>134</v>
      </c>
      <c r="I26" s="459"/>
      <c r="J26" s="459" t="s">
        <v>727</v>
      </c>
      <c r="K26" s="459">
        <v>8</v>
      </c>
      <c r="L26" s="476" t="s">
        <v>1007</v>
      </c>
      <c r="M26" s="460">
        <v>1880000</v>
      </c>
      <c r="N26" s="459" t="s">
        <v>857</v>
      </c>
      <c r="O26" s="459" t="s">
        <v>858</v>
      </c>
      <c r="P26" s="459" t="s">
        <v>713</v>
      </c>
      <c r="Q26" s="459" t="s">
        <v>859</v>
      </c>
      <c r="W26" s="455" t="str">
        <f t="shared" si="0"/>
        <v>15068</v>
      </c>
    </row>
    <row r="27" spans="1:23" ht="14.25" x14ac:dyDescent="0.2">
      <c r="A27" s="459">
        <v>1506</v>
      </c>
      <c r="B27" s="459">
        <v>1</v>
      </c>
      <c r="C27" s="479" t="str">
        <f t="shared" si="1"/>
        <v>15061</v>
      </c>
      <c r="D27" s="459" t="s">
        <v>739</v>
      </c>
      <c r="E27" s="459">
        <v>43</v>
      </c>
      <c r="F27" s="459">
        <v>338</v>
      </c>
      <c r="G27" s="459">
        <v>2019</v>
      </c>
      <c r="H27" s="459" t="s">
        <v>134</v>
      </c>
      <c r="I27" s="459"/>
      <c r="J27" s="459" t="s">
        <v>727</v>
      </c>
      <c r="K27" s="459">
        <v>1</v>
      </c>
      <c r="L27" s="476" t="s">
        <v>1008</v>
      </c>
      <c r="M27" s="460">
        <v>2630000</v>
      </c>
      <c r="N27" s="459" t="s">
        <v>773</v>
      </c>
      <c r="O27" s="459" t="s">
        <v>774</v>
      </c>
      <c r="P27" s="459" t="s">
        <v>713</v>
      </c>
      <c r="Q27" s="459" t="s">
        <v>775</v>
      </c>
      <c r="W27" s="455" t="str">
        <f t="shared" si="0"/>
        <v>15061</v>
      </c>
    </row>
    <row r="28" spans="1:23" ht="14.25" x14ac:dyDescent="0.2">
      <c r="A28" s="459">
        <v>1506</v>
      </c>
      <c r="B28" s="459">
        <v>2</v>
      </c>
      <c r="C28" s="479" t="str">
        <f t="shared" si="1"/>
        <v>15062</v>
      </c>
      <c r="D28" s="459" t="s">
        <v>739</v>
      </c>
      <c r="E28" s="459">
        <v>43</v>
      </c>
      <c r="F28" s="459">
        <v>339</v>
      </c>
      <c r="G28" s="459">
        <v>2019</v>
      </c>
      <c r="H28" s="459" t="s">
        <v>134</v>
      </c>
      <c r="I28" s="459"/>
      <c r="J28" s="459" t="s">
        <v>727</v>
      </c>
      <c r="K28" s="459">
        <v>2</v>
      </c>
      <c r="L28" s="476" t="s">
        <v>1009</v>
      </c>
      <c r="M28" s="460">
        <v>31813713</v>
      </c>
      <c r="N28" s="459" t="s">
        <v>773</v>
      </c>
      <c r="O28" s="459" t="s">
        <v>774</v>
      </c>
      <c r="P28" s="459" t="s">
        <v>713</v>
      </c>
      <c r="Q28" s="459" t="s">
        <v>776</v>
      </c>
      <c r="W28" s="455" t="str">
        <f t="shared" si="0"/>
        <v>15062</v>
      </c>
    </row>
    <row r="29" spans="1:23" ht="14.25" x14ac:dyDescent="0.2">
      <c r="A29" s="459">
        <v>1506</v>
      </c>
      <c r="B29" s="459">
        <v>3</v>
      </c>
      <c r="C29" s="479" t="str">
        <f t="shared" si="1"/>
        <v>15063</v>
      </c>
      <c r="D29" s="459" t="s">
        <v>739</v>
      </c>
      <c r="E29" s="459">
        <v>43</v>
      </c>
      <c r="F29" s="459">
        <v>340</v>
      </c>
      <c r="G29" s="459">
        <v>2019</v>
      </c>
      <c r="H29" s="459" t="s">
        <v>134</v>
      </c>
      <c r="I29" s="459"/>
      <c r="J29" s="459" t="s">
        <v>727</v>
      </c>
      <c r="K29" s="459">
        <v>3</v>
      </c>
      <c r="L29" s="476" t="s">
        <v>1010</v>
      </c>
      <c r="M29" s="460">
        <v>6899995</v>
      </c>
      <c r="N29" s="459" t="s">
        <v>886</v>
      </c>
      <c r="O29" s="459" t="s">
        <v>774</v>
      </c>
      <c r="P29" s="459" t="s">
        <v>713</v>
      </c>
      <c r="Q29" s="459" t="s">
        <v>777</v>
      </c>
      <c r="W29" s="455" t="str">
        <f t="shared" si="0"/>
        <v>15063</v>
      </c>
    </row>
    <row r="30" spans="1:23" ht="14.25" x14ac:dyDescent="0.2">
      <c r="A30" s="459">
        <v>1506</v>
      </c>
      <c r="B30" s="459">
        <v>4</v>
      </c>
      <c r="C30" s="479" t="str">
        <f t="shared" si="1"/>
        <v>15064</v>
      </c>
      <c r="D30" s="459" t="s">
        <v>739</v>
      </c>
      <c r="E30" s="459">
        <v>43</v>
      </c>
      <c r="F30" s="459">
        <v>341</v>
      </c>
      <c r="G30" s="459">
        <v>2019</v>
      </c>
      <c r="H30" s="459" t="s">
        <v>134</v>
      </c>
      <c r="I30" s="459"/>
      <c r="J30" s="459" t="s">
        <v>727</v>
      </c>
      <c r="K30" s="459">
        <v>4</v>
      </c>
      <c r="L30" s="476" t="s">
        <v>1011</v>
      </c>
      <c r="M30" s="460">
        <v>1908962</v>
      </c>
      <c r="N30" s="459" t="s">
        <v>773</v>
      </c>
      <c r="O30" s="459" t="s">
        <v>774</v>
      </c>
      <c r="P30" s="459" t="s">
        <v>713</v>
      </c>
      <c r="Q30" s="459" t="s">
        <v>778</v>
      </c>
      <c r="W30" s="455" t="str">
        <f t="shared" si="0"/>
        <v>15064</v>
      </c>
    </row>
    <row r="31" spans="1:23" ht="14.25" x14ac:dyDescent="0.2">
      <c r="A31" s="459">
        <v>1506</v>
      </c>
      <c r="B31" s="459">
        <v>5</v>
      </c>
      <c r="C31" s="479" t="str">
        <f t="shared" si="1"/>
        <v>15065</v>
      </c>
      <c r="D31" s="459" t="s">
        <v>739</v>
      </c>
      <c r="E31" s="459">
        <v>43</v>
      </c>
      <c r="F31" s="459">
        <v>342</v>
      </c>
      <c r="G31" s="459">
        <v>2019</v>
      </c>
      <c r="H31" s="459" t="s">
        <v>134</v>
      </c>
      <c r="I31" s="459"/>
      <c r="J31" s="459" t="s">
        <v>727</v>
      </c>
      <c r="K31" s="459">
        <v>5</v>
      </c>
      <c r="L31" s="476" t="s">
        <v>1012</v>
      </c>
      <c r="M31" s="460">
        <v>4953781</v>
      </c>
      <c r="N31" s="459" t="s">
        <v>773</v>
      </c>
      <c r="O31" s="459" t="s">
        <v>774</v>
      </c>
      <c r="P31" s="459" t="s">
        <v>713</v>
      </c>
      <c r="Q31" s="459" t="s">
        <v>779</v>
      </c>
      <c r="W31" s="455" t="str">
        <f t="shared" si="0"/>
        <v>15065</v>
      </c>
    </row>
    <row r="32" spans="1:23" ht="14.25" x14ac:dyDescent="0.2">
      <c r="A32" s="459">
        <v>1506</v>
      </c>
      <c r="B32" s="459">
        <v>6</v>
      </c>
      <c r="C32" s="479" t="str">
        <f t="shared" si="1"/>
        <v>15066</v>
      </c>
      <c r="D32" s="459" t="s">
        <v>739</v>
      </c>
      <c r="E32" s="459">
        <v>43</v>
      </c>
      <c r="F32" s="459">
        <v>343</v>
      </c>
      <c r="G32" s="459">
        <v>2019</v>
      </c>
      <c r="H32" s="459" t="s">
        <v>134</v>
      </c>
      <c r="I32" s="459"/>
      <c r="J32" s="459" t="s">
        <v>727</v>
      </c>
      <c r="K32" s="459">
        <v>6</v>
      </c>
      <c r="L32" s="476" t="s">
        <v>1013</v>
      </c>
      <c r="M32" s="460">
        <v>3100189</v>
      </c>
      <c r="N32" s="459" t="s">
        <v>780</v>
      </c>
      <c r="O32" s="459" t="s">
        <v>781</v>
      </c>
      <c r="P32" s="459" t="s">
        <v>782</v>
      </c>
      <c r="Q32" s="459" t="s">
        <v>783</v>
      </c>
      <c r="W32" s="455" t="str">
        <f t="shared" si="0"/>
        <v>15066</v>
      </c>
    </row>
    <row r="33" spans="1:23" ht="14.25" x14ac:dyDescent="0.2">
      <c r="A33" s="459">
        <v>1506</v>
      </c>
      <c r="B33" s="459">
        <v>7</v>
      </c>
      <c r="C33" s="479" t="str">
        <f t="shared" si="1"/>
        <v>15067</v>
      </c>
      <c r="D33" s="459" t="s">
        <v>739</v>
      </c>
      <c r="E33" s="459">
        <v>43</v>
      </c>
      <c r="F33" s="459">
        <v>344</v>
      </c>
      <c r="G33" s="459">
        <v>2019</v>
      </c>
      <c r="H33" s="459" t="s">
        <v>134</v>
      </c>
      <c r="I33" s="459"/>
      <c r="J33" s="459" t="s">
        <v>727</v>
      </c>
      <c r="K33" s="459">
        <v>7</v>
      </c>
      <c r="L33" s="476" t="s">
        <v>1011</v>
      </c>
      <c r="M33" s="460">
        <v>2541729</v>
      </c>
      <c r="N33" s="459" t="s">
        <v>784</v>
      </c>
      <c r="O33" s="459" t="s">
        <v>785</v>
      </c>
      <c r="P33" s="459" t="s">
        <v>786</v>
      </c>
      <c r="Q33" s="459" t="s">
        <v>787</v>
      </c>
      <c r="W33" s="455" t="str">
        <f t="shared" si="0"/>
        <v>15067</v>
      </c>
    </row>
    <row r="34" spans="1:23" ht="14.25" x14ac:dyDescent="0.2">
      <c r="A34" s="459">
        <v>1506</v>
      </c>
      <c r="B34" s="459">
        <v>8</v>
      </c>
      <c r="C34" s="479" t="str">
        <f t="shared" si="1"/>
        <v>15068</v>
      </c>
      <c r="D34" s="459" t="s">
        <v>739</v>
      </c>
      <c r="E34" s="459">
        <v>43</v>
      </c>
      <c r="F34" s="459">
        <v>345</v>
      </c>
      <c r="G34" s="459">
        <v>2019</v>
      </c>
      <c r="H34" s="459" t="s">
        <v>134</v>
      </c>
      <c r="I34" s="459"/>
      <c r="J34" s="459" t="s">
        <v>727</v>
      </c>
      <c r="K34" s="459">
        <v>8</v>
      </c>
      <c r="L34" s="476" t="s">
        <v>1014</v>
      </c>
      <c r="M34" s="460">
        <v>4246192</v>
      </c>
      <c r="N34" s="459" t="s">
        <v>788</v>
      </c>
      <c r="O34" s="459" t="s">
        <v>789</v>
      </c>
      <c r="P34" s="459" t="s">
        <v>790</v>
      </c>
      <c r="Q34" s="459" t="s">
        <v>791</v>
      </c>
      <c r="W34" s="455" t="str">
        <f t="shared" si="0"/>
        <v>15068</v>
      </c>
    </row>
    <row r="35" spans="1:23" ht="14.25" x14ac:dyDescent="0.2">
      <c r="A35" s="459">
        <v>1506</v>
      </c>
      <c r="B35" s="459">
        <v>9</v>
      </c>
      <c r="C35" s="479" t="str">
        <f t="shared" si="1"/>
        <v>15069</v>
      </c>
      <c r="D35" s="459" t="s">
        <v>739</v>
      </c>
      <c r="E35" s="459">
        <v>43</v>
      </c>
      <c r="F35" s="459">
        <v>346</v>
      </c>
      <c r="G35" s="459">
        <v>2019</v>
      </c>
      <c r="H35" s="459" t="s">
        <v>134</v>
      </c>
      <c r="I35" s="459"/>
      <c r="J35" s="459" t="s">
        <v>727</v>
      </c>
      <c r="K35" s="459">
        <v>9</v>
      </c>
      <c r="L35" s="476" t="s">
        <v>1011</v>
      </c>
      <c r="M35" s="460">
        <v>2261036</v>
      </c>
      <c r="N35" s="459" t="s">
        <v>134</v>
      </c>
      <c r="O35" s="459" t="s">
        <v>716</v>
      </c>
      <c r="P35" s="459" t="s">
        <v>792</v>
      </c>
      <c r="Q35" s="459" t="s">
        <v>793</v>
      </c>
      <c r="W35" s="455" t="str">
        <f t="shared" ref="W35:W52" si="2">CONCATENATE(A35,B35)</f>
        <v>15069</v>
      </c>
    </row>
    <row r="36" spans="1:23" ht="14.25" x14ac:dyDescent="0.2">
      <c r="A36" s="459">
        <v>1506</v>
      </c>
      <c r="B36" s="459">
        <v>10</v>
      </c>
      <c r="C36" s="479" t="str">
        <f t="shared" si="1"/>
        <v>150610</v>
      </c>
      <c r="D36" s="459" t="s">
        <v>739</v>
      </c>
      <c r="E36" s="459">
        <v>43</v>
      </c>
      <c r="F36" s="459">
        <v>347</v>
      </c>
      <c r="G36" s="459">
        <v>2019</v>
      </c>
      <c r="H36" s="459" t="s">
        <v>134</v>
      </c>
      <c r="I36" s="459"/>
      <c r="J36" s="459" t="s">
        <v>727</v>
      </c>
      <c r="K36" s="459">
        <v>10</v>
      </c>
      <c r="L36" s="476" t="s">
        <v>1015</v>
      </c>
      <c r="M36" s="460">
        <v>1513000</v>
      </c>
      <c r="N36" s="459" t="s">
        <v>773</v>
      </c>
      <c r="O36" s="459" t="s">
        <v>774</v>
      </c>
      <c r="P36" s="459" t="s">
        <v>713</v>
      </c>
      <c r="Q36" s="459" t="s">
        <v>794</v>
      </c>
      <c r="W36" s="455" t="str">
        <f t="shared" si="2"/>
        <v>150610</v>
      </c>
    </row>
    <row r="37" spans="1:23" ht="14.25" x14ac:dyDescent="0.2">
      <c r="A37" s="459">
        <v>1506</v>
      </c>
      <c r="B37" s="459">
        <v>11</v>
      </c>
      <c r="C37" s="479" t="str">
        <f t="shared" si="1"/>
        <v>150611</v>
      </c>
      <c r="D37" s="461" t="s">
        <v>739</v>
      </c>
      <c r="E37" s="459">
        <v>43</v>
      </c>
      <c r="F37" s="459">
        <v>348</v>
      </c>
      <c r="G37" s="459">
        <v>2019</v>
      </c>
      <c r="H37" s="459" t="s">
        <v>134</v>
      </c>
      <c r="I37" s="459"/>
      <c r="J37" s="459" t="s">
        <v>727</v>
      </c>
      <c r="K37" s="459">
        <v>11</v>
      </c>
      <c r="L37" s="476" t="s">
        <v>1016</v>
      </c>
      <c r="M37" s="460">
        <v>1216407</v>
      </c>
      <c r="N37" s="459" t="s">
        <v>795</v>
      </c>
      <c r="O37" s="459" t="s">
        <v>796</v>
      </c>
      <c r="P37" s="459" t="s">
        <v>797</v>
      </c>
      <c r="Q37" s="459" t="s">
        <v>798</v>
      </c>
      <c r="W37" s="455" t="str">
        <f t="shared" si="2"/>
        <v>150611</v>
      </c>
    </row>
    <row r="38" spans="1:23" ht="14.25" x14ac:dyDescent="0.2">
      <c r="A38" s="459">
        <v>1506</v>
      </c>
      <c r="B38" s="459">
        <v>12</v>
      </c>
      <c r="C38" s="479" t="str">
        <f t="shared" si="1"/>
        <v>150612</v>
      </c>
      <c r="D38" s="459" t="s">
        <v>739</v>
      </c>
      <c r="E38" s="459">
        <v>43</v>
      </c>
      <c r="F38" s="459">
        <v>349</v>
      </c>
      <c r="G38" s="459">
        <v>2019</v>
      </c>
      <c r="H38" s="459" t="s">
        <v>134</v>
      </c>
      <c r="I38" s="459"/>
      <c r="J38" s="459" t="s">
        <v>727</v>
      </c>
      <c r="K38" s="459">
        <v>12</v>
      </c>
      <c r="L38" s="476" t="s">
        <v>1014</v>
      </c>
      <c r="M38" s="460">
        <v>2286000</v>
      </c>
      <c r="N38" s="459" t="s">
        <v>799</v>
      </c>
      <c r="O38" s="459" t="s">
        <v>800</v>
      </c>
      <c r="P38" s="459" t="s">
        <v>801</v>
      </c>
      <c r="Q38" s="459" t="s">
        <v>802</v>
      </c>
      <c r="W38" s="455" t="str">
        <f t="shared" si="2"/>
        <v>150612</v>
      </c>
    </row>
    <row r="39" spans="1:23" ht="14.25" x14ac:dyDescent="0.2">
      <c r="A39" s="459">
        <v>1506</v>
      </c>
      <c r="B39" s="459">
        <v>13</v>
      </c>
      <c r="C39" s="479" t="str">
        <f t="shared" si="1"/>
        <v>150613</v>
      </c>
      <c r="D39" s="459" t="s">
        <v>739</v>
      </c>
      <c r="E39" s="459">
        <v>43</v>
      </c>
      <c r="F39" s="459">
        <v>350</v>
      </c>
      <c r="G39" s="459">
        <v>2019</v>
      </c>
      <c r="H39" s="459" t="s">
        <v>134</v>
      </c>
      <c r="I39" s="459"/>
      <c r="J39" s="459" t="s">
        <v>727</v>
      </c>
      <c r="K39" s="459">
        <v>13</v>
      </c>
      <c r="L39" s="476" t="s">
        <v>1017</v>
      </c>
      <c r="M39" s="460">
        <v>8500000</v>
      </c>
      <c r="N39" s="459" t="s">
        <v>773</v>
      </c>
      <c r="O39" s="459" t="s">
        <v>774</v>
      </c>
      <c r="P39" s="459" t="s">
        <v>713</v>
      </c>
      <c r="Q39" s="459" t="s">
        <v>803</v>
      </c>
      <c r="W39" s="455" t="str">
        <f t="shared" si="2"/>
        <v>150613</v>
      </c>
    </row>
    <row r="40" spans="1:23" ht="14.25" x14ac:dyDescent="0.2">
      <c r="A40" s="459">
        <v>1508</v>
      </c>
      <c r="B40" s="459">
        <v>1</v>
      </c>
      <c r="C40" s="479" t="str">
        <f t="shared" si="1"/>
        <v>15081</v>
      </c>
      <c r="D40" s="459" t="s">
        <v>717</v>
      </c>
      <c r="E40" s="459">
        <v>48</v>
      </c>
      <c r="F40" s="459">
        <v>114</v>
      </c>
      <c r="G40" s="459">
        <v>2020</v>
      </c>
      <c r="H40" s="459" t="s">
        <v>311</v>
      </c>
      <c r="I40" s="459"/>
      <c r="J40" s="459" t="s">
        <v>727</v>
      </c>
      <c r="K40" s="459">
        <v>1</v>
      </c>
      <c r="L40" s="476" t="s">
        <v>1018</v>
      </c>
      <c r="M40" s="460">
        <v>1953550</v>
      </c>
      <c r="N40" s="459" t="s">
        <v>860</v>
      </c>
      <c r="O40" s="459" t="s">
        <v>861</v>
      </c>
      <c r="P40" s="459" t="s">
        <v>862</v>
      </c>
      <c r="Q40" s="459" t="s">
        <v>863</v>
      </c>
      <c r="W40" s="455" t="str">
        <f t="shared" si="2"/>
        <v>15081</v>
      </c>
    </row>
    <row r="41" spans="1:23" ht="14.25" x14ac:dyDescent="0.2">
      <c r="A41" s="459">
        <v>1508</v>
      </c>
      <c r="B41" s="459">
        <v>1</v>
      </c>
      <c r="C41" s="479" t="str">
        <f t="shared" si="1"/>
        <v>15081</v>
      </c>
      <c r="D41" s="459" t="s">
        <v>717</v>
      </c>
      <c r="E41" s="459">
        <v>48</v>
      </c>
      <c r="F41" s="459">
        <v>104</v>
      </c>
      <c r="G41" s="459">
        <v>2019</v>
      </c>
      <c r="H41" s="459" t="s">
        <v>311</v>
      </c>
      <c r="I41" s="459"/>
      <c r="J41" s="459" t="s">
        <v>727</v>
      </c>
      <c r="K41" s="459">
        <v>1</v>
      </c>
      <c r="L41" s="476" t="s">
        <v>1019</v>
      </c>
      <c r="M41" s="460">
        <v>3190704</v>
      </c>
      <c r="N41" s="459" t="s">
        <v>886</v>
      </c>
      <c r="O41" s="459" t="s">
        <v>804</v>
      </c>
      <c r="P41" s="459" t="s">
        <v>728</v>
      </c>
      <c r="Q41" s="459" t="s">
        <v>805</v>
      </c>
      <c r="W41" s="455" t="str">
        <f t="shared" si="2"/>
        <v>15081</v>
      </c>
    </row>
    <row r="42" spans="1:23" ht="14.25" x14ac:dyDescent="0.2">
      <c r="A42" s="459">
        <v>1508</v>
      </c>
      <c r="B42" s="459">
        <v>2</v>
      </c>
      <c r="C42" s="479" t="str">
        <f t="shared" si="1"/>
        <v>15082</v>
      </c>
      <c r="D42" s="459" t="s">
        <v>717</v>
      </c>
      <c r="E42" s="459">
        <v>48</v>
      </c>
      <c r="F42" s="459">
        <v>115</v>
      </c>
      <c r="G42" s="459">
        <v>2019</v>
      </c>
      <c r="H42" s="459" t="s">
        <v>311</v>
      </c>
      <c r="I42" s="459"/>
      <c r="J42" s="459" t="s">
        <v>727</v>
      </c>
      <c r="K42" s="459">
        <v>2</v>
      </c>
      <c r="L42" s="476" t="s">
        <v>1012</v>
      </c>
      <c r="M42" s="460">
        <v>2069649</v>
      </c>
      <c r="N42" s="459" t="s">
        <v>864</v>
      </c>
      <c r="O42" s="459" t="s">
        <v>865</v>
      </c>
      <c r="P42" s="459" t="s">
        <v>866</v>
      </c>
      <c r="Q42" s="459" t="s">
        <v>867</v>
      </c>
      <c r="W42" s="455" t="str">
        <f t="shared" si="2"/>
        <v>15082</v>
      </c>
    </row>
    <row r="43" spans="1:23" ht="14.25" x14ac:dyDescent="0.2">
      <c r="A43" s="459">
        <v>1509</v>
      </c>
      <c r="B43" s="459">
        <v>1</v>
      </c>
      <c r="C43" s="479" t="str">
        <f t="shared" si="1"/>
        <v>15091</v>
      </c>
      <c r="D43" s="459" t="s">
        <v>317</v>
      </c>
      <c r="E43" s="459">
        <v>46</v>
      </c>
      <c r="F43" s="459">
        <v>420</v>
      </c>
      <c r="G43" s="459">
        <v>2021</v>
      </c>
      <c r="H43" s="459" t="s">
        <v>317</v>
      </c>
      <c r="I43" s="459"/>
      <c r="J43" s="459" t="s">
        <v>727</v>
      </c>
      <c r="K43" s="459">
        <v>1</v>
      </c>
      <c r="L43" s="476" t="s">
        <v>1020</v>
      </c>
      <c r="M43" s="460">
        <v>3000000</v>
      </c>
      <c r="N43" s="459" t="s">
        <v>317</v>
      </c>
      <c r="O43" s="459" t="s">
        <v>409</v>
      </c>
      <c r="P43" s="459" t="s">
        <v>718</v>
      </c>
      <c r="Q43" s="459" t="s">
        <v>1021</v>
      </c>
      <c r="W43" s="455" t="str">
        <f t="shared" si="2"/>
        <v>15091</v>
      </c>
    </row>
    <row r="44" spans="1:23" ht="14.25" x14ac:dyDescent="0.2">
      <c r="A44" s="459">
        <v>1509</v>
      </c>
      <c r="B44" s="459">
        <v>2</v>
      </c>
      <c r="C44" s="479" t="str">
        <f t="shared" si="1"/>
        <v>15092</v>
      </c>
      <c r="D44" s="459" t="s">
        <v>317</v>
      </c>
      <c r="E44" s="459">
        <v>46</v>
      </c>
      <c r="F44" s="459">
        <v>421</v>
      </c>
      <c r="G44" s="459">
        <v>2021</v>
      </c>
      <c r="H44" s="459" t="s">
        <v>317</v>
      </c>
      <c r="I44" s="459"/>
      <c r="J44" s="459" t="s">
        <v>727</v>
      </c>
      <c r="K44" s="459">
        <v>2</v>
      </c>
      <c r="L44" s="476" t="s">
        <v>1022</v>
      </c>
      <c r="M44" s="460">
        <v>2600000</v>
      </c>
      <c r="N44" s="459" t="s">
        <v>317</v>
      </c>
      <c r="O44" s="459" t="s">
        <v>409</v>
      </c>
      <c r="P44" s="459" t="s">
        <v>718</v>
      </c>
      <c r="Q44" s="459" t="s">
        <v>1023</v>
      </c>
      <c r="W44" s="455" t="str">
        <f t="shared" si="2"/>
        <v>15092</v>
      </c>
    </row>
    <row r="45" spans="1:23" ht="14.25" x14ac:dyDescent="0.2">
      <c r="A45" s="459">
        <v>1509</v>
      </c>
      <c r="B45" s="459">
        <v>3</v>
      </c>
      <c r="C45" s="479" t="str">
        <f t="shared" si="1"/>
        <v>15093</v>
      </c>
      <c r="D45" s="459" t="s">
        <v>317</v>
      </c>
      <c r="E45" s="459">
        <v>46</v>
      </c>
      <c r="F45" s="459">
        <v>422</v>
      </c>
      <c r="G45" s="459">
        <v>2021</v>
      </c>
      <c r="H45" s="459" t="s">
        <v>317</v>
      </c>
      <c r="I45" s="459"/>
      <c r="J45" s="459" t="s">
        <v>727</v>
      </c>
      <c r="K45" s="459">
        <v>3</v>
      </c>
      <c r="L45" s="476" t="s">
        <v>1024</v>
      </c>
      <c r="M45" s="460">
        <v>1204000</v>
      </c>
      <c r="N45" s="459" t="s">
        <v>317</v>
      </c>
      <c r="O45" s="459" t="s">
        <v>1025</v>
      </c>
      <c r="P45" s="459" t="s">
        <v>718</v>
      </c>
      <c r="Q45" s="459" t="s">
        <v>1026</v>
      </c>
      <c r="W45" s="455" t="str">
        <f t="shared" si="2"/>
        <v>15093</v>
      </c>
    </row>
    <row r="46" spans="1:23" ht="14.25" x14ac:dyDescent="0.2">
      <c r="A46" s="459">
        <v>1509</v>
      </c>
      <c r="B46" s="459">
        <v>4</v>
      </c>
      <c r="C46" s="479" t="str">
        <f t="shared" si="1"/>
        <v>15094</v>
      </c>
      <c r="D46" s="459" t="s">
        <v>317</v>
      </c>
      <c r="E46" s="459">
        <v>46</v>
      </c>
      <c r="F46" s="459">
        <v>423</v>
      </c>
      <c r="G46" s="459">
        <v>2021</v>
      </c>
      <c r="H46" s="459" t="s">
        <v>317</v>
      </c>
      <c r="I46" s="459"/>
      <c r="J46" s="459" t="s">
        <v>727</v>
      </c>
      <c r="K46" s="459">
        <v>4</v>
      </c>
      <c r="L46" s="476" t="s">
        <v>1027</v>
      </c>
      <c r="M46" s="460">
        <v>1330000</v>
      </c>
      <c r="N46" s="459" t="s">
        <v>317</v>
      </c>
      <c r="O46" s="459" t="s">
        <v>409</v>
      </c>
      <c r="P46" s="459" t="s">
        <v>718</v>
      </c>
      <c r="Q46" s="459" t="s">
        <v>1028</v>
      </c>
      <c r="W46" s="455" t="str">
        <f t="shared" si="2"/>
        <v>15094</v>
      </c>
    </row>
    <row r="47" spans="1:23" ht="14.25" x14ac:dyDescent="0.2">
      <c r="A47" s="459">
        <v>1509</v>
      </c>
      <c r="B47" s="459">
        <v>5</v>
      </c>
      <c r="C47" s="479" t="str">
        <f t="shared" si="1"/>
        <v>15095</v>
      </c>
      <c r="D47" s="459" t="s">
        <v>317</v>
      </c>
      <c r="E47" s="459">
        <v>46</v>
      </c>
      <c r="F47" s="459">
        <v>424</v>
      </c>
      <c r="G47" s="459">
        <v>2021</v>
      </c>
      <c r="H47" s="459" t="s">
        <v>317</v>
      </c>
      <c r="I47" s="459"/>
      <c r="J47" s="459" t="s">
        <v>727</v>
      </c>
      <c r="K47" s="459">
        <v>5</v>
      </c>
      <c r="L47" s="476" t="s">
        <v>1029</v>
      </c>
      <c r="M47" s="460">
        <v>1360000</v>
      </c>
      <c r="N47" s="459" t="s">
        <v>317</v>
      </c>
      <c r="O47" s="459" t="s">
        <v>409</v>
      </c>
      <c r="P47" s="459" t="s">
        <v>718</v>
      </c>
      <c r="Q47" s="459" t="s">
        <v>1030</v>
      </c>
      <c r="W47" s="455" t="str">
        <f t="shared" si="2"/>
        <v>15095</v>
      </c>
    </row>
    <row r="48" spans="1:23" ht="14.25" x14ac:dyDescent="0.2">
      <c r="A48" s="459">
        <v>1509</v>
      </c>
      <c r="B48" s="459">
        <v>6</v>
      </c>
      <c r="C48" s="479" t="str">
        <f t="shared" si="1"/>
        <v>15096</v>
      </c>
      <c r="D48" s="459" t="s">
        <v>317</v>
      </c>
      <c r="E48" s="459">
        <v>46</v>
      </c>
      <c r="F48" s="459">
        <v>425</v>
      </c>
      <c r="G48" s="459">
        <v>2021</v>
      </c>
      <c r="H48" s="459" t="s">
        <v>317</v>
      </c>
      <c r="I48" s="459"/>
      <c r="J48" s="459" t="s">
        <v>727</v>
      </c>
      <c r="K48" s="459">
        <v>6</v>
      </c>
      <c r="L48" s="476" t="s">
        <v>1031</v>
      </c>
      <c r="M48" s="460">
        <v>1398957</v>
      </c>
      <c r="N48" s="459" t="s">
        <v>317</v>
      </c>
      <c r="O48" s="459" t="s">
        <v>409</v>
      </c>
      <c r="P48" s="459" t="s">
        <v>718</v>
      </c>
      <c r="Q48" s="459" t="s">
        <v>1032</v>
      </c>
      <c r="W48" s="455" t="str">
        <f t="shared" si="2"/>
        <v>15096</v>
      </c>
    </row>
    <row r="49" spans="1:23" ht="14.25" x14ac:dyDescent="0.2">
      <c r="A49" s="459">
        <v>1509</v>
      </c>
      <c r="B49" s="459">
        <v>7</v>
      </c>
      <c r="C49" s="479" t="str">
        <f t="shared" si="1"/>
        <v>15097</v>
      </c>
      <c r="D49" s="459" t="s">
        <v>317</v>
      </c>
      <c r="E49" s="459">
        <v>46</v>
      </c>
      <c r="F49" s="459">
        <v>426</v>
      </c>
      <c r="G49" s="459">
        <v>2021</v>
      </c>
      <c r="H49" s="459" t="s">
        <v>317</v>
      </c>
      <c r="I49" s="459"/>
      <c r="J49" s="459" t="s">
        <v>727</v>
      </c>
      <c r="K49" s="459">
        <v>7</v>
      </c>
      <c r="L49" s="476" t="s">
        <v>1031</v>
      </c>
      <c r="M49" s="460">
        <v>1626407</v>
      </c>
      <c r="N49" s="459" t="s">
        <v>317</v>
      </c>
      <c r="O49" s="459" t="s">
        <v>409</v>
      </c>
      <c r="P49" s="459" t="s">
        <v>718</v>
      </c>
      <c r="Q49" s="459" t="s">
        <v>1033</v>
      </c>
      <c r="W49" s="455" t="str">
        <f t="shared" si="2"/>
        <v>15097</v>
      </c>
    </row>
    <row r="50" spans="1:23" ht="14.25" x14ac:dyDescent="0.2">
      <c r="A50" s="459">
        <v>1509</v>
      </c>
      <c r="B50" s="459">
        <v>8</v>
      </c>
      <c r="C50" s="479" t="str">
        <f t="shared" si="1"/>
        <v>15098</v>
      </c>
      <c r="D50" s="459" t="s">
        <v>317</v>
      </c>
      <c r="E50" s="459">
        <v>46</v>
      </c>
      <c r="F50" s="459">
        <v>427</v>
      </c>
      <c r="G50" s="459">
        <v>2021</v>
      </c>
      <c r="H50" s="459" t="s">
        <v>317</v>
      </c>
      <c r="I50" s="459"/>
      <c r="J50" s="459" t="s">
        <v>727</v>
      </c>
      <c r="K50" s="459">
        <v>8</v>
      </c>
      <c r="L50" s="476" t="s">
        <v>1034</v>
      </c>
      <c r="M50" s="460">
        <v>4193134</v>
      </c>
      <c r="N50" s="459" t="s">
        <v>317</v>
      </c>
      <c r="O50" s="459" t="s">
        <v>409</v>
      </c>
      <c r="P50" s="459" t="s">
        <v>718</v>
      </c>
      <c r="Q50" s="459" t="s">
        <v>1035</v>
      </c>
      <c r="W50" s="455" t="str">
        <f t="shared" si="2"/>
        <v>15098</v>
      </c>
    </row>
    <row r="51" spans="1:23" ht="14.25" x14ac:dyDescent="0.2">
      <c r="A51" s="459">
        <v>1509</v>
      </c>
      <c r="B51" s="459">
        <v>9</v>
      </c>
      <c r="C51" s="479" t="str">
        <f t="shared" si="1"/>
        <v>15099</v>
      </c>
      <c r="D51" s="459" t="s">
        <v>317</v>
      </c>
      <c r="E51" s="459">
        <v>46</v>
      </c>
      <c r="F51" s="459">
        <v>428</v>
      </c>
      <c r="G51" s="459">
        <v>2021</v>
      </c>
      <c r="H51" s="459" t="s">
        <v>317</v>
      </c>
      <c r="I51" s="459"/>
      <c r="J51" s="459" t="s">
        <v>727</v>
      </c>
      <c r="K51" s="459">
        <v>9</v>
      </c>
      <c r="L51" s="476" t="s">
        <v>1036</v>
      </c>
      <c r="M51" s="460">
        <v>2621502</v>
      </c>
      <c r="N51" s="459" t="s">
        <v>317</v>
      </c>
      <c r="O51" s="459" t="s">
        <v>409</v>
      </c>
      <c r="P51" s="459" t="s">
        <v>718</v>
      </c>
      <c r="Q51" s="459" t="s">
        <v>1037</v>
      </c>
      <c r="W51" s="455" t="str">
        <f t="shared" si="2"/>
        <v>15099</v>
      </c>
    </row>
    <row r="52" spans="1:23" ht="14.25" x14ac:dyDescent="0.2">
      <c r="A52" s="459">
        <v>1509</v>
      </c>
      <c r="B52" s="459">
        <v>10</v>
      </c>
      <c r="C52" s="479" t="str">
        <f t="shared" si="1"/>
        <v>150910</v>
      </c>
      <c r="D52" s="459" t="s">
        <v>317</v>
      </c>
      <c r="E52" s="459">
        <v>46</v>
      </c>
      <c r="F52" s="459">
        <v>429</v>
      </c>
      <c r="G52" s="459">
        <v>2021</v>
      </c>
      <c r="H52" s="459" t="s">
        <v>317</v>
      </c>
      <c r="I52" s="459"/>
      <c r="J52" s="459" t="s">
        <v>727</v>
      </c>
      <c r="K52" s="459">
        <v>10</v>
      </c>
      <c r="L52" s="476" t="s">
        <v>1038</v>
      </c>
      <c r="M52" s="460">
        <v>1550300</v>
      </c>
      <c r="N52" s="459" t="s">
        <v>317</v>
      </c>
      <c r="O52" s="459" t="s">
        <v>409</v>
      </c>
      <c r="P52" s="459" t="s">
        <v>718</v>
      </c>
      <c r="Q52" s="459" t="s">
        <v>1039</v>
      </c>
      <c r="W52" s="455" t="str">
        <f t="shared" si="2"/>
        <v>150910</v>
      </c>
    </row>
    <row r="53" spans="1:23" ht="14.25" x14ac:dyDescent="0.2">
      <c r="A53" s="459">
        <v>1509</v>
      </c>
      <c r="B53" s="459">
        <v>11</v>
      </c>
      <c r="C53" s="479" t="str">
        <f t="shared" si="1"/>
        <v>150911</v>
      </c>
      <c r="D53" s="459" t="s">
        <v>317</v>
      </c>
      <c r="E53" s="459">
        <v>46</v>
      </c>
      <c r="F53" s="459">
        <v>430</v>
      </c>
      <c r="G53" s="459">
        <v>2021</v>
      </c>
      <c r="H53" s="459" t="s">
        <v>317</v>
      </c>
      <c r="I53" s="459"/>
      <c r="J53" s="459" t="s">
        <v>727</v>
      </c>
      <c r="K53" s="459">
        <v>11</v>
      </c>
      <c r="L53" s="476" t="s">
        <v>1038</v>
      </c>
      <c r="M53" s="460">
        <v>2220550</v>
      </c>
      <c r="N53" s="459" t="s">
        <v>317</v>
      </c>
      <c r="O53" s="459" t="s">
        <v>409</v>
      </c>
      <c r="P53" s="459" t="s">
        <v>718</v>
      </c>
      <c r="Q53" s="459" t="s">
        <v>1040</v>
      </c>
      <c r="W53" s="455" t="str">
        <f t="shared" ref="W53" si="3">CONCATENATE(A53,B53)</f>
        <v>150911</v>
      </c>
    </row>
    <row r="54" spans="1:23" ht="14.25" x14ac:dyDescent="0.2">
      <c r="A54" s="459">
        <v>1509</v>
      </c>
      <c r="B54" s="459">
        <v>12</v>
      </c>
      <c r="C54" s="479" t="str">
        <f t="shared" si="1"/>
        <v>150912</v>
      </c>
      <c r="D54" s="459" t="s">
        <v>317</v>
      </c>
      <c r="E54" s="459">
        <v>46</v>
      </c>
      <c r="F54" s="459">
        <v>431</v>
      </c>
      <c r="G54" s="459">
        <v>2021</v>
      </c>
      <c r="H54" s="459" t="s">
        <v>317</v>
      </c>
      <c r="I54" s="459"/>
      <c r="J54" s="459" t="s">
        <v>727</v>
      </c>
      <c r="K54" s="459">
        <v>12</v>
      </c>
      <c r="L54" s="476" t="s">
        <v>1038</v>
      </c>
      <c r="M54" s="460">
        <v>1787533</v>
      </c>
      <c r="N54" s="459" t="s">
        <v>317</v>
      </c>
      <c r="O54" s="459" t="s">
        <v>1041</v>
      </c>
      <c r="P54" s="459" t="s">
        <v>718</v>
      </c>
      <c r="Q54" s="459" t="s">
        <v>1042</v>
      </c>
    </row>
    <row r="55" spans="1:23" ht="14.25" x14ac:dyDescent="0.2">
      <c r="A55" s="459">
        <v>1509</v>
      </c>
      <c r="B55" s="459">
        <v>1</v>
      </c>
      <c r="C55" s="479" t="str">
        <f t="shared" si="1"/>
        <v>15091</v>
      </c>
      <c r="D55" s="459" t="s">
        <v>317</v>
      </c>
      <c r="E55" s="459">
        <v>46</v>
      </c>
      <c r="F55" s="459">
        <v>408</v>
      </c>
      <c r="G55" s="459">
        <v>2020</v>
      </c>
      <c r="H55" s="459" t="s">
        <v>317</v>
      </c>
      <c r="I55" s="459"/>
      <c r="J55" s="459" t="s">
        <v>727</v>
      </c>
      <c r="K55" s="459">
        <v>1</v>
      </c>
      <c r="L55" s="476" t="s">
        <v>1043</v>
      </c>
      <c r="M55" s="460">
        <v>2000000</v>
      </c>
      <c r="N55" s="459" t="s">
        <v>317</v>
      </c>
      <c r="O55" s="459" t="s">
        <v>409</v>
      </c>
      <c r="P55" s="459" t="s">
        <v>718</v>
      </c>
      <c r="Q55" s="459" t="s">
        <v>868</v>
      </c>
    </row>
    <row r="56" spans="1:23" ht="14.25" x14ac:dyDescent="0.2">
      <c r="A56" s="459">
        <v>1509</v>
      </c>
      <c r="B56" s="459">
        <v>2</v>
      </c>
      <c r="C56" s="479" t="str">
        <f t="shared" si="1"/>
        <v>15092</v>
      </c>
      <c r="D56" s="459" t="s">
        <v>317</v>
      </c>
      <c r="E56" s="459">
        <v>46</v>
      </c>
      <c r="F56" s="459">
        <v>409</v>
      </c>
      <c r="G56" s="459">
        <v>2020</v>
      </c>
      <c r="H56" s="459" t="s">
        <v>317</v>
      </c>
      <c r="I56" s="459"/>
      <c r="J56" s="459" t="s">
        <v>727</v>
      </c>
      <c r="K56" s="459">
        <v>2</v>
      </c>
      <c r="L56" s="476" t="s">
        <v>1044</v>
      </c>
      <c r="M56" s="460">
        <v>4970000</v>
      </c>
      <c r="N56" s="459" t="s">
        <v>317</v>
      </c>
      <c r="O56" s="459" t="s">
        <v>409</v>
      </c>
      <c r="P56" s="459" t="s">
        <v>718</v>
      </c>
      <c r="Q56" s="459" t="s">
        <v>869</v>
      </c>
    </row>
    <row r="57" spans="1:23" ht="14.25" x14ac:dyDescent="0.2">
      <c r="A57" s="459">
        <v>1509</v>
      </c>
      <c r="B57" s="459">
        <v>1</v>
      </c>
      <c r="C57" s="479" t="str">
        <f t="shared" si="1"/>
        <v>15091</v>
      </c>
      <c r="D57" s="459" t="s">
        <v>317</v>
      </c>
      <c r="E57" s="459">
        <v>46</v>
      </c>
      <c r="F57" s="459">
        <v>391</v>
      </c>
      <c r="G57" s="459">
        <v>2019</v>
      </c>
      <c r="H57" s="459" t="s">
        <v>317</v>
      </c>
      <c r="I57" s="459"/>
      <c r="J57" s="459" t="s">
        <v>727</v>
      </c>
      <c r="K57" s="459">
        <v>1</v>
      </c>
      <c r="L57" s="476" t="s">
        <v>1045</v>
      </c>
      <c r="M57" s="460">
        <v>1500000</v>
      </c>
      <c r="N57" s="459" t="s">
        <v>317</v>
      </c>
      <c r="O57" s="459" t="s">
        <v>409</v>
      </c>
      <c r="P57" s="459" t="s">
        <v>718</v>
      </c>
      <c r="Q57" s="459" t="s">
        <v>806</v>
      </c>
    </row>
    <row r="58" spans="1:23" ht="14.25" x14ac:dyDescent="0.2">
      <c r="A58" s="459">
        <v>1509</v>
      </c>
      <c r="B58" s="459">
        <v>2</v>
      </c>
      <c r="C58" s="479" t="str">
        <f t="shared" si="1"/>
        <v>15092</v>
      </c>
      <c r="D58" s="459" t="s">
        <v>317</v>
      </c>
      <c r="E58" s="459">
        <v>46</v>
      </c>
      <c r="F58" s="459">
        <v>392</v>
      </c>
      <c r="G58" s="459">
        <v>2019</v>
      </c>
      <c r="H58" s="459" t="s">
        <v>317</v>
      </c>
      <c r="I58" s="459"/>
      <c r="J58" s="459" t="s">
        <v>727</v>
      </c>
      <c r="K58" s="459">
        <v>2</v>
      </c>
      <c r="L58" s="476" t="s">
        <v>1012</v>
      </c>
      <c r="M58" s="460">
        <v>1475000</v>
      </c>
      <c r="N58" s="459" t="s">
        <v>807</v>
      </c>
      <c r="O58" s="459" t="s">
        <v>808</v>
      </c>
      <c r="P58" s="459" t="s">
        <v>718</v>
      </c>
      <c r="Q58" s="459" t="s">
        <v>809</v>
      </c>
    </row>
    <row r="59" spans="1:23" ht="14.25" x14ac:dyDescent="0.2">
      <c r="A59" s="459">
        <v>1509</v>
      </c>
      <c r="B59" s="459">
        <v>3</v>
      </c>
      <c r="C59" s="479" t="str">
        <f t="shared" si="1"/>
        <v>15093</v>
      </c>
      <c r="D59" s="459" t="s">
        <v>317</v>
      </c>
      <c r="E59" s="459">
        <v>46</v>
      </c>
      <c r="F59" s="459">
        <v>393</v>
      </c>
      <c r="G59" s="459">
        <v>2019</v>
      </c>
      <c r="H59" s="459" t="s">
        <v>317</v>
      </c>
      <c r="I59" s="459"/>
      <c r="J59" s="459" t="s">
        <v>727</v>
      </c>
      <c r="K59" s="459">
        <v>3</v>
      </c>
      <c r="L59" s="476" t="s">
        <v>1012</v>
      </c>
      <c r="M59" s="460">
        <v>1300000</v>
      </c>
      <c r="N59" s="459" t="s">
        <v>317</v>
      </c>
      <c r="O59" s="459" t="s">
        <v>409</v>
      </c>
      <c r="P59" s="459" t="s">
        <v>718</v>
      </c>
      <c r="Q59" s="459" t="s">
        <v>810</v>
      </c>
    </row>
    <row r="60" spans="1:23" ht="14.25" x14ac:dyDescent="0.2">
      <c r="A60" s="459">
        <v>1509</v>
      </c>
      <c r="B60" s="459">
        <v>4</v>
      </c>
      <c r="C60" s="479" t="str">
        <f t="shared" si="1"/>
        <v>15094</v>
      </c>
      <c r="D60" s="459" t="s">
        <v>317</v>
      </c>
      <c r="E60" s="459">
        <v>46</v>
      </c>
      <c r="F60" s="459">
        <v>394</v>
      </c>
      <c r="G60" s="459">
        <v>2019</v>
      </c>
      <c r="H60" s="459" t="s">
        <v>317</v>
      </c>
      <c r="I60" s="459"/>
      <c r="J60" s="459" t="s">
        <v>727</v>
      </c>
      <c r="K60" s="459">
        <v>4</v>
      </c>
      <c r="L60" s="476" t="s">
        <v>1046</v>
      </c>
      <c r="M60" s="460">
        <v>2308245</v>
      </c>
      <c r="N60" s="459" t="s">
        <v>317</v>
      </c>
      <c r="O60" s="459" t="s">
        <v>409</v>
      </c>
      <c r="P60" s="459" t="s">
        <v>718</v>
      </c>
      <c r="Q60" s="459" t="s">
        <v>811</v>
      </c>
    </row>
    <row r="61" spans="1:23" ht="14.25" x14ac:dyDescent="0.2">
      <c r="A61" s="459">
        <v>1509</v>
      </c>
      <c r="B61" s="459">
        <v>5</v>
      </c>
      <c r="C61" s="479" t="str">
        <f t="shared" si="1"/>
        <v>15095</v>
      </c>
      <c r="D61" s="459" t="s">
        <v>317</v>
      </c>
      <c r="E61" s="459">
        <v>46</v>
      </c>
      <c r="F61" s="459">
        <v>395</v>
      </c>
      <c r="G61" s="459">
        <v>2019</v>
      </c>
      <c r="H61" s="459" t="s">
        <v>317</v>
      </c>
      <c r="I61" s="459"/>
      <c r="J61" s="459" t="s">
        <v>727</v>
      </c>
      <c r="K61" s="459">
        <v>5</v>
      </c>
      <c r="L61" s="476" t="s">
        <v>1046</v>
      </c>
      <c r="M61" s="460">
        <v>1395065</v>
      </c>
      <c r="N61" s="459" t="s">
        <v>317</v>
      </c>
      <c r="O61" s="459" t="s">
        <v>409</v>
      </c>
      <c r="P61" s="459" t="s">
        <v>718</v>
      </c>
      <c r="Q61" s="459" t="s">
        <v>812</v>
      </c>
    </row>
    <row r="62" spans="1:23" ht="14.25" x14ac:dyDescent="0.2">
      <c r="A62" s="459">
        <v>1509</v>
      </c>
      <c r="B62" s="459">
        <v>6</v>
      </c>
      <c r="C62" s="479" t="str">
        <f t="shared" si="1"/>
        <v>15096</v>
      </c>
      <c r="D62" s="459" t="s">
        <v>317</v>
      </c>
      <c r="E62" s="459">
        <v>46</v>
      </c>
      <c r="F62" s="459">
        <v>396</v>
      </c>
      <c r="G62" s="459">
        <v>2019</v>
      </c>
      <c r="H62" s="459" t="s">
        <v>317</v>
      </c>
      <c r="I62" s="459"/>
      <c r="J62" s="459" t="s">
        <v>727</v>
      </c>
      <c r="K62" s="459">
        <v>6</v>
      </c>
      <c r="L62" s="476" t="s">
        <v>1046</v>
      </c>
      <c r="M62" s="460">
        <v>1052031</v>
      </c>
      <c r="N62" s="459" t="s">
        <v>317</v>
      </c>
      <c r="O62" s="459" t="s">
        <v>409</v>
      </c>
      <c r="P62" s="459" t="s">
        <v>718</v>
      </c>
      <c r="Q62" s="459" t="s">
        <v>813</v>
      </c>
    </row>
    <row r="63" spans="1:23" ht="14.25" x14ac:dyDescent="0.2">
      <c r="A63" s="459">
        <v>1509</v>
      </c>
      <c r="B63" s="459">
        <v>7</v>
      </c>
      <c r="C63" s="479" t="str">
        <f t="shared" si="1"/>
        <v>15097</v>
      </c>
      <c r="D63" s="459" t="s">
        <v>317</v>
      </c>
      <c r="E63" s="459">
        <v>46</v>
      </c>
      <c r="F63" s="459">
        <v>397</v>
      </c>
      <c r="G63" s="459">
        <v>2019</v>
      </c>
      <c r="H63" s="459" t="s">
        <v>317</v>
      </c>
      <c r="I63" s="459"/>
      <c r="J63" s="459" t="s">
        <v>727</v>
      </c>
      <c r="K63" s="459">
        <v>7</v>
      </c>
      <c r="L63" s="476" t="s">
        <v>1047</v>
      </c>
      <c r="M63" s="460">
        <v>2861943</v>
      </c>
      <c r="N63" s="459" t="s">
        <v>814</v>
      </c>
      <c r="O63" s="459" t="s">
        <v>815</v>
      </c>
      <c r="P63" s="459" t="s">
        <v>714</v>
      </c>
      <c r="Q63" s="459" t="s">
        <v>816</v>
      </c>
    </row>
    <row r="64" spans="1:23" ht="14.25" x14ac:dyDescent="0.2">
      <c r="A64" s="459">
        <v>1511</v>
      </c>
      <c r="B64" s="459">
        <v>1</v>
      </c>
      <c r="C64" s="479" t="str">
        <f t="shared" si="1"/>
        <v>15111</v>
      </c>
      <c r="D64" s="459" t="s">
        <v>315</v>
      </c>
      <c r="E64" s="459">
        <v>29</v>
      </c>
      <c r="F64" s="459">
        <v>139</v>
      </c>
      <c r="G64" s="459">
        <v>2021</v>
      </c>
      <c r="H64" s="459" t="s">
        <v>315</v>
      </c>
      <c r="I64" s="459"/>
      <c r="J64" s="459" t="s">
        <v>727</v>
      </c>
      <c r="K64" s="459">
        <v>1</v>
      </c>
      <c r="L64" s="476" t="s">
        <v>1029</v>
      </c>
      <c r="M64" s="460">
        <v>1366720</v>
      </c>
      <c r="N64" s="459" t="s">
        <v>1048</v>
      </c>
      <c r="O64" s="459" t="s">
        <v>1049</v>
      </c>
      <c r="P64" s="459" t="s">
        <v>1050</v>
      </c>
      <c r="Q64" s="459" t="s">
        <v>1051</v>
      </c>
    </row>
    <row r="65" spans="1:17" ht="14.25" x14ac:dyDescent="0.2">
      <c r="A65" s="459">
        <v>1511</v>
      </c>
      <c r="B65" s="459">
        <v>2</v>
      </c>
      <c r="C65" s="479" t="str">
        <f t="shared" si="1"/>
        <v>15112</v>
      </c>
      <c r="D65" s="459" t="s">
        <v>315</v>
      </c>
      <c r="E65" s="459">
        <v>29</v>
      </c>
      <c r="F65" s="459">
        <v>140</v>
      </c>
      <c r="G65" s="459">
        <v>2021</v>
      </c>
      <c r="H65" s="459" t="s">
        <v>315</v>
      </c>
      <c r="I65" s="459"/>
      <c r="J65" s="459" t="s">
        <v>727</v>
      </c>
      <c r="K65" s="459">
        <v>2</v>
      </c>
      <c r="L65" s="476" t="s">
        <v>1020</v>
      </c>
      <c r="M65" s="460">
        <v>1850000</v>
      </c>
      <c r="N65" s="459" t="s">
        <v>1052</v>
      </c>
      <c r="O65" s="459" t="s">
        <v>1053</v>
      </c>
      <c r="P65" s="459" t="s">
        <v>819</v>
      </c>
      <c r="Q65" s="459" t="s">
        <v>1054</v>
      </c>
    </row>
    <row r="66" spans="1:17" ht="14.25" x14ac:dyDescent="0.2">
      <c r="A66" s="459">
        <v>1511</v>
      </c>
      <c r="B66" s="459">
        <v>1</v>
      </c>
      <c r="C66" s="479" t="str">
        <f t="shared" si="1"/>
        <v>15111</v>
      </c>
      <c r="D66" s="459" t="s">
        <v>315</v>
      </c>
      <c r="E66" s="459">
        <v>29</v>
      </c>
      <c r="F66" s="459">
        <v>131</v>
      </c>
      <c r="G66" s="459">
        <v>2019</v>
      </c>
      <c r="H66" s="459" t="s">
        <v>315</v>
      </c>
      <c r="I66" s="459"/>
      <c r="J66" s="459" t="s">
        <v>727</v>
      </c>
      <c r="K66" s="459">
        <v>1</v>
      </c>
      <c r="L66" s="476" t="s">
        <v>1055</v>
      </c>
      <c r="M66" s="460">
        <v>5145000</v>
      </c>
      <c r="N66" s="459" t="s">
        <v>817</v>
      </c>
      <c r="O66" s="459" t="s">
        <v>818</v>
      </c>
      <c r="P66" s="459" t="s">
        <v>819</v>
      </c>
      <c r="Q66" s="459" t="s">
        <v>820</v>
      </c>
    </row>
    <row r="67" spans="1:17" ht="14.25" x14ac:dyDescent="0.2">
      <c r="A67" s="459">
        <v>1511</v>
      </c>
      <c r="B67" s="459">
        <v>2</v>
      </c>
      <c r="C67" s="479" t="str">
        <f t="shared" si="1"/>
        <v>15112</v>
      </c>
      <c r="D67" s="459" t="s">
        <v>315</v>
      </c>
      <c r="E67" s="459">
        <v>29</v>
      </c>
      <c r="F67" s="459">
        <v>132</v>
      </c>
      <c r="G67" s="459">
        <v>2019</v>
      </c>
      <c r="H67" s="459" t="s">
        <v>315</v>
      </c>
      <c r="I67" s="459"/>
      <c r="J67" s="459" t="s">
        <v>727</v>
      </c>
      <c r="K67" s="459">
        <v>2</v>
      </c>
      <c r="L67" s="476" t="s">
        <v>1056</v>
      </c>
      <c r="M67" s="460">
        <v>2300000</v>
      </c>
      <c r="N67" s="459" t="s">
        <v>821</v>
      </c>
      <c r="O67" s="459" t="s">
        <v>822</v>
      </c>
      <c r="P67" s="459" t="s">
        <v>823</v>
      </c>
      <c r="Q67" s="459" t="s">
        <v>824</v>
      </c>
    </row>
    <row r="68" spans="1:17" ht="14.25" x14ac:dyDescent="0.2">
      <c r="A68" s="459">
        <v>1526</v>
      </c>
      <c r="B68" s="459">
        <v>1</v>
      </c>
      <c r="C68" s="479" t="str">
        <f t="shared" ref="C68:C77" si="4">CONCATENATE(A68,B68)</f>
        <v>15261</v>
      </c>
      <c r="D68" s="459" t="s">
        <v>696</v>
      </c>
      <c r="E68" s="459">
        <v>24</v>
      </c>
      <c r="F68" s="459">
        <v>95</v>
      </c>
      <c r="G68" s="459">
        <v>2021</v>
      </c>
      <c r="H68" s="459" t="s">
        <v>696</v>
      </c>
      <c r="I68" s="459" t="s">
        <v>729</v>
      </c>
      <c r="J68" s="459" t="s">
        <v>727</v>
      </c>
      <c r="K68" s="459">
        <v>1</v>
      </c>
      <c r="L68" s="476" t="s">
        <v>1057</v>
      </c>
      <c r="M68" s="460">
        <v>2652871</v>
      </c>
      <c r="N68" s="459" t="s">
        <v>730</v>
      </c>
      <c r="O68" s="459" t="s">
        <v>731</v>
      </c>
      <c r="P68" s="459" t="s">
        <v>732</v>
      </c>
      <c r="Q68" s="459" t="s">
        <v>872</v>
      </c>
    </row>
    <row r="69" spans="1:17" ht="14.25" x14ac:dyDescent="0.2">
      <c r="A69" s="459">
        <v>1526</v>
      </c>
      <c r="B69" s="459">
        <v>2</v>
      </c>
      <c r="C69" s="479" t="str">
        <f t="shared" si="4"/>
        <v>15262</v>
      </c>
      <c r="D69" s="459" t="s">
        <v>696</v>
      </c>
      <c r="E69" s="459">
        <v>24</v>
      </c>
      <c r="F69" s="459">
        <v>96</v>
      </c>
      <c r="G69" s="459">
        <v>2021</v>
      </c>
      <c r="H69" s="459" t="s">
        <v>696</v>
      </c>
      <c r="I69" s="459" t="s">
        <v>729</v>
      </c>
      <c r="J69" s="459" t="s">
        <v>727</v>
      </c>
      <c r="K69" s="459">
        <v>2</v>
      </c>
      <c r="L69" s="476" t="s">
        <v>1058</v>
      </c>
      <c r="M69" s="460">
        <v>1065657</v>
      </c>
      <c r="N69" s="459" t="s">
        <v>730</v>
      </c>
      <c r="O69" s="459" t="s">
        <v>731</v>
      </c>
      <c r="P69" s="459" t="s">
        <v>732</v>
      </c>
      <c r="Q69" s="459" t="s">
        <v>1059</v>
      </c>
    </row>
    <row r="70" spans="1:17" ht="14.25" x14ac:dyDescent="0.2">
      <c r="A70" s="459">
        <v>1526</v>
      </c>
      <c r="B70" s="459">
        <v>3</v>
      </c>
      <c r="C70" s="479" t="str">
        <f t="shared" si="4"/>
        <v>15263</v>
      </c>
      <c r="D70" s="459" t="s">
        <v>696</v>
      </c>
      <c r="E70" s="459">
        <v>24</v>
      </c>
      <c r="F70" s="459">
        <v>97</v>
      </c>
      <c r="G70" s="459">
        <v>2021</v>
      </c>
      <c r="H70" s="459" t="s">
        <v>696</v>
      </c>
      <c r="I70" s="459" t="s">
        <v>729</v>
      </c>
      <c r="J70" s="459" t="s">
        <v>727</v>
      </c>
      <c r="K70" s="459">
        <v>3</v>
      </c>
      <c r="L70" s="476" t="s">
        <v>1060</v>
      </c>
      <c r="M70" s="460">
        <v>1281500</v>
      </c>
      <c r="N70" s="459" t="s">
        <v>1061</v>
      </c>
      <c r="O70" s="459" t="s">
        <v>1062</v>
      </c>
      <c r="P70" s="459" t="s">
        <v>1063</v>
      </c>
      <c r="Q70" s="459" t="s">
        <v>1064</v>
      </c>
    </row>
    <row r="71" spans="1:17" ht="14.25" x14ac:dyDescent="0.2">
      <c r="A71" s="459">
        <v>1526</v>
      </c>
      <c r="B71" s="459">
        <v>4</v>
      </c>
      <c r="C71" s="479" t="str">
        <f t="shared" si="4"/>
        <v>15264</v>
      </c>
      <c r="D71" s="459" t="s">
        <v>696</v>
      </c>
      <c r="E71" s="459">
        <v>24</v>
      </c>
      <c r="F71" s="459">
        <v>98</v>
      </c>
      <c r="G71" s="459">
        <v>2021</v>
      </c>
      <c r="H71" s="459" t="s">
        <v>696</v>
      </c>
      <c r="I71" s="459" t="s">
        <v>729</v>
      </c>
      <c r="J71" s="459" t="s">
        <v>727</v>
      </c>
      <c r="K71" s="459">
        <v>4</v>
      </c>
      <c r="L71" s="476" t="s">
        <v>1065</v>
      </c>
      <c r="M71" s="460">
        <v>10663316</v>
      </c>
      <c r="N71" s="459" t="s">
        <v>1066</v>
      </c>
      <c r="O71" s="459" t="s">
        <v>1067</v>
      </c>
      <c r="P71" s="459" t="s">
        <v>1068</v>
      </c>
      <c r="Q71" s="459" t="s">
        <v>1069</v>
      </c>
    </row>
    <row r="72" spans="1:17" ht="14.25" x14ac:dyDescent="0.2">
      <c r="A72" s="459">
        <v>1526</v>
      </c>
      <c r="B72" s="459">
        <v>1</v>
      </c>
      <c r="C72" s="479" t="str">
        <f t="shared" si="4"/>
        <v>15261</v>
      </c>
      <c r="D72" s="459" t="s">
        <v>696</v>
      </c>
      <c r="E72" s="459">
        <v>24</v>
      </c>
      <c r="F72" s="459">
        <v>86</v>
      </c>
      <c r="G72" s="459">
        <v>2020</v>
      </c>
      <c r="H72" s="459" t="s">
        <v>696</v>
      </c>
      <c r="I72" s="459" t="s">
        <v>729</v>
      </c>
      <c r="J72" s="459" t="s">
        <v>727</v>
      </c>
      <c r="K72" s="459">
        <v>1</v>
      </c>
      <c r="L72" s="476" t="s">
        <v>1070</v>
      </c>
      <c r="M72" s="460">
        <v>1246465</v>
      </c>
      <c r="N72" s="459" t="s">
        <v>730</v>
      </c>
      <c r="O72" s="459" t="s">
        <v>731</v>
      </c>
      <c r="P72" s="459" t="s">
        <v>732</v>
      </c>
      <c r="Q72" s="459" t="s">
        <v>870</v>
      </c>
    </row>
    <row r="73" spans="1:17" ht="14.25" x14ac:dyDescent="0.2">
      <c r="A73" s="459">
        <v>1526</v>
      </c>
      <c r="B73" s="459">
        <v>2</v>
      </c>
      <c r="C73" s="479" t="str">
        <f t="shared" si="4"/>
        <v>15262</v>
      </c>
      <c r="D73" s="459" t="s">
        <v>696</v>
      </c>
      <c r="E73" s="459">
        <v>24</v>
      </c>
      <c r="F73" s="459">
        <v>87</v>
      </c>
      <c r="G73" s="459">
        <v>2020</v>
      </c>
      <c r="H73" s="459" t="s">
        <v>696</v>
      </c>
      <c r="I73" s="459" t="s">
        <v>729</v>
      </c>
      <c r="J73" s="459" t="s">
        <v>727</v>
      </c>
      <c r="K73" s="459">
        <v>2</v>
      </c>
      <c r="L73" s="476" t="s">
        <v>1071</v>
      </c>
      <c r="M73" s="460">
        <v>1865990</v>
      </c>
      <c r="N73" s="459" t="s">
        <v>730</v>
      </c>
      <c r="O73" s="459" t="s">
        <v>731</v>
      </c>
      <c r="P73" s="459" t="s">
        <v>732</v>
      </c>
      <c r="Q73" s="459" t="s">
        <v>871</v>
      </c>
    </row>
    <row r="74" spans="1:17" ht="14.25" x14ac:dyDescent="0.2">
      <c r="A74" s="459">
        <v>1526</v>
      </c>
      <c r="B74" s="459">
        <v>3</v>
      </c>
      <c r="C74" s="479" t="str">
        <f t="shared" si="4"/>
        <v>15263</v>
      </c>
      <c r="D74" s="459" t="s">
        <v>696</v>
      </c>
      <c r="E74" s="459">
        <v>24</v>
      </c>
      <c r="F74" s="459">
        <v>88</v>
      </c>
      <c r="G74" s="459">
        <v>2020</v>
      </c>
      <c r="H74" s="459" t="s">
        <v>696</v>
      </c>
      <c r="I74" s="459" t="s">
        <v>729</v>
      </c>
      <c r="J74" s="459" t="s">
        <v>727</v>
      </c>
      <c r="K74" s="459">
        <v>3</v>
      </c>
      <c r="L74" s="476" t="s">
        <v>1072</v>
      </c>
      <c r="M74" s="460">
        <v>2072463</v>
      </c>
      <c r="N74" s="459" t="s">
        <v>730</v>
      </c>
      <c r="O74" s="459" t="s">
        <v>731</v>
      </c>
      <c r="P74" s="459" t="s">
        <v>732</v>
      </c>
      <c r="Q74" s="459" t="s">
        <v>872</v>
      </c>
    </row>
    <row r="75" spans="1:17" ht="14.25" x14ac:dyDescent="0.2">
      <c r="A75" s="459">
        <v>1526</v>
      </c>
      <c r="B75" s="459">
        <v>1</v>
      </c>
      <c r="C75" s="479" t="str">
        <f t="shared" si="4"/>
        <v>15261</v>
      </c>
      <c r="D75" s="459" t="s">
        <v>696</v>
      </c>
      <c r="E75" s="459">
        <v>24</v>
      </c>
      <c r="F75" s="459">
        <v>77</v>
      </c>
      <c r="G75" s="459">
        <v>2019</v>
      </c>
      <c r="H75" s="459" t="s">
        <v>696</v>
      </c>
      <c r="I75" s="459" t="s">
        <v>729</v>
      </c>
      <c r="J75" s="459" t="s">
        <v>727</v>
      </c>
      <c r="K75" s="459">
        <v>1</v>
      </c>
      <c r="L75" s="476" t="s">
        <v>1073</v>
      </c>
      <c r="M75" s="460">
        <v>3200000</v>
      </c>
      <c r="N75" s="459" t="s">
        <v>730</v>
      </c>
      <c r="O75" s="459" t="s">
        <v>731</v>
      </c>
      <c r="P75" s="459" t="s">
        <v>732</v>
      </c>
      <c r="Q75" s="459" t="s">
        <v>825</v>
      </c>
    </row>
    <row r="76" spans="1:17" ht="14.25" x14ac:dyDescent="0.2">
      <c r="A76" s="459">
        <v>1526</v>
      </c>
      <c r="B76" s="459">
        <v>2</v>
      </c>
      <c r="C76" s="479" t="str">
        <f t="shared" si="4"/>
        <v>15262</v>
      </c>
      <c r="D76" s="459" t="s">
        <v>696</v>
      </c>
      <c r="E76" s="459">
        <v>24</v>
      </c>
      <c r="F76" s="459">
        <v>78</v>
      </c>
      <c r="G76" s="459">
        <v>2019</v>
      </c>
      <c r="H76" s="459" t="s">
        <v>696</v>
      </c>
      <c r="I76" s="459" t="s">
        <v>729</v>
      </c>
      <c r="J76" s="459" t="s">
        <v>727</v>
      </c>
      <c r="K76" s="459">
        <v>2</v>
      </c>
      <c r="L76" s="476" t="s">
        <v>1074</v>
      </c>
      <c r="M76" s="460">
        <v>3600000</v>
      </c>
      <c r="N76" s="459" t="s">
        <v>730</v>
      </c>
      <c r="O76" s="459" t="s">
        <v>731</v>
      </c>
      <c r="P76" s="459" t="s">
        <v>732</v>
      </c>
      <c r="Q76" s="459" t="s">
        <v>733</v>
      </c>
    </row>
    <row r="77" spans="1:17" ht="14.25" x14ac:dyDescent="0.2">
      <c r="A77" s="459">
        <v>1531</v>
      </c>
      <c r="B77" s="459">
        <v>1</v>
      </c>
      <c r="C77" s="479" t="str">
        <f t="shared" si="4"/>
        <v>15311</v>
      </c>
      <c r="D77" s="459" t="s">
        <v>873</v>
      </c>
      <c r="E77" s="459">
        <v>185</v>
      </c>
      <c r="F77" s="459">
        <v>2</v>
      </c>
      <c r="G77" s="459">
        <v>2019</v>
      </c>
      <c r="H77" s="459" t="s">
        <v>874</v>
      </c>
      <c r="I77" s="459" t="s">
        <v>886</v>
      </c>
      <c r="J77" s="459" t="s">
        <v>727</v>
      </c>
      <c r="K77" s="459">
        <v>1</v>
      </c>
      <c r="L77" s="476" t="s">
        <v>1075</v>
      </c>
      <c r="M77" s="460">
        <v>13912638</v>
      </c>
      <c r="N77" s="459" t="s">
        <v>875</v>
      </c>
      <c r="O77" s="459" t="s">
        <v>876</v>
      </c>
      <c r="P77" s="459" t="s">
        <v>877</v>
      </c>
      <c r="Q77" s="459" t="s">
        <v>878</v>
      </c>
    </row>
    <row r="78" spans="1:17" ht="14.25" x14ac:dyDescent="0.2">
      <c r="A78" s="459"/>
      <c r="B78" s="459"/>
      <c r="C78" s="459"/>
      <c r="D78" s="459"/>
      <c r="E78" s="459"/>
      <c r="F78" s="459"/>
      <c r="G78" s="459"/>
      <c r="H78" s="459"/>
      <c r="I78" s="459"/>
      <c r="J78" s="459"/>
      <c r="K78" s="459"/>
      <c r="L78" s="476"/>
      <c r="M78" s="460"/>
      <c r="N78" s="459"/>
      <c r="O78" s="459"/>
      <c r="P78" s="459"/>
      <c r="Q78" s="459"/>
    </row>
    <row r="79" spans="1:17" ht="14.25" x14ac:dyDescent="0.2">
      <c r="A79" s="459"/>
      <c r="B79" s="459"/>
      <c r="C79" s="459"/>
      <c r="D79" s="459"/>
      <c r="E79" s="459"/>
      <c r="F79" s="459"/>
      <c r="G79" s="459"/>
      <c r="H79" s="459"/>
      <c r="I79" s="459"/>
      <c r="J79" s="459"/>
      <c r="K79" s="459"/>
      <c r="L79" s="476"/>
      <c r="M79" s="460"/>
      <c r="N79" s="459"/>
      <c r="O79" s="459"/>
      <c r="P79" s="459"/>
      <c r="Q79" s="459"/>
    </row>
    <row r="80" spans="1:17" ht="14.25" x14ac:dyDescent="0.2">
      <c r="A80" s="459"/>
      <c r="B80" s="459"/>
      <c r="C80" s="459"/>
      <c r="D80" s="459"/>
      <c r="E80" s="459"/>
      <c r="F80" s="459"/>
      <c r="G80" s="459"/>
      <c r="H80" s="459"/>
      <c r="I80" s="459"/>
      <c r="J80" s="459"/>
      <c r="K80" s="459"/>
      <c r="L80" s="476"/>
      <c r="M80" s="460"/>
      <c r="N80" s="459"/>
      <c r="O80" s="459"/>
      <c r="P80" s="459"/>
      <c r="Q80" s="459"/>
    </row>
    <row r="81" spans="1:17" ht="14.25" x14ac:dyDescent="0.2">
      <c r="A81" s="459"/>
      <c r="B81" s="459"/>
      <c r="C81" s="459"/>
      <c r="D81" s="459"/>
      <c r="E81" s="459"/>
      <c r="F81" s="459"/>
      <c r="G81" s="459"/>
      <c r="H81" s="459"/>
      <c r="I81" s="459"/>
      <c r="J81" s="459"/>
      <c r="K81" s="459"/>
      <c r="L81" s="476"/>
      <c r="M81" s="460"/>
      <c r="N81" s="459"/>
      <c r="O81" s="459"/>
      <c r="P81" s="459"/>
      <c r="Q81" s="459"/>
    </row>
    <row r="82" spans="1:17" ht="14.25" x14ac:dyDescent="0.2">
      <c r="A82" s="459"/>
      <c r="B82" s="459"/>
      <c r="C82" s="459"/>
      <c r="D82" s="459"/>
      <c r="E82" s="459"/>
      <c r="F82" s="459"/>
      <c r="G82" s="459"/>
      <c r="H82" s="459"/>
      <c r="I82" s="459"/>
      <c r="J82" s="459"/>
      <c r="K82" s="459"/>
      <c r="L82" s="476"/>
      <c r="M82" s="460"/>
      <c r="N82" s="459"/>
      <c r="O82" s="459"/>
      <c r="P82" s="459"/>
      <c r="Q82" s="459"/>
    </row>
    <row r="83" spans="1:17" ht="14.25" x14ac:dyDescent="0.2">
      <c r="A83" s="459"/>
      <c r="B83" s="459"/>
      <c r="C83" s="459"/>
      <c r="D83" s="459"/>
      <c r="E83" s="459"/>
      <c r="F83" s="459"/>
      <c r="G83" s="459"/>
      <c r="H83" s="459"/>
      <c r="I83" s="459"/>
      <c r="J83" s="459"/>
      <c r="K83" s="459"/>
      <c r="L83" s="476"/>
      <c r="M83" s="460"/>
      <c r="N83" s="459"/>
      <c r="O83" s="459"/>
      <c r="P83" s="459"/>
      <c r="Q83" s="459"/>
    </row>
    <row r="84" spans="1:17" ht="14.25" x14ac:dyDescent="0.2">
      <c r="A84" s="459"/>
      <c r="B84" s="459"/>
      <c r="C84" s="459"/>
      <c r="D84" s="459"/>
      <c r="E84" s="459"/>
      <c r="F84" s="459"/>
      <c r="G84" s="459"/>
      <c r="H84" s="459"/>
      <c r="I84" s="459"/>
      <c r="J84" s="459"/>
      <c r="K84" s="459"/>
      <c r="L84" s="476"/>
      <c r="M84" s="460"/>
      <c r="N84" s="459"/>
      <c r="O84" s="459"/>
      <c r="P84" s="459"/>
      <c r="Q84" s="459"/>
    </row>
    <row r="85" spans="1:17" ht="14.25" x14ac:dyDescent="0.2">
      <c r="A85" s="459"/>
      <c r="B85" s="459"/>
      <c r="C85" s="459"/>
      <c r="D85" s="459"/>
      <c r="E85" s="459"/>
      <c r="F85" s="459"/>
      <c r="G85" s="459"/>
      <c r="H85" s="459"/>
      <c r="I85" s="459"/>
      <c r="J85" s="459"/>
      <c r="K85" s="459"/>
      <c r="L85" s="476"/>
      <c r="M85" s="460"/>
      <c r="N85" s="459"/>
      <c r="O85" s="459"/>
      <c r="P85" s="459"/>
      <c r="Q85" s="459"/>
    </row>
    <row r="86" spans="1:17" ht="14.25" x14ac:dyDescent="0.2">
      <c r="A86" s="459"/>
      <c r="B86" s="459"/>
      <c r="C86" s="459"/>
      <c r="D86" s="459"/>
      <c r="E86" s="459"/>
      <c r="F86" s="459"/>
      <c r="G86" s="459"/>
      <c r="H86" s="459"/>
      <c r="I86" s="459"/>
      <c r="J86" s="459"/>
      <c r="K86" s="459"/>
      <c r="L86" s="476"/>
      <c r="M86" s="460"/>
      <c r="N86" s="459"/>
      <c r="O86" s="459"/>
      <c r="P86" s="459"/>
      <c r="Q86" s="459"/>
    </row>
    <row r="87" spans="1:17" ht="14.25" x14ac:dyDescent="0.2">
      <c r="A87" s="459"/>
      <c r="B87" s="459"/>
      <c r="C87" s="459"/>
      <c r="D87" s="459"/>
      <c r="E87" s="459"/>
      <c r="F87" s="459"/>
      <c r="G87" s="459"/>
      <c r="H87" s="459"/>
      <c r="I87" s="459"/>
      <c r="J87" s="459"/>
      <c r="K87" s="459"/>
      <c r="L87" s="476"/>
      <c r="M87" s="460"/>
      <c r="N87" s="459"/>
      <c r="O87" s="459"/>
      <c r="P87" s="459"/>
      <c r="Q87" s="459"/>
    </row>
    <row r="88" spans="1:17" ht="14.25" x14ac:dyDescent="0.2">
      <c r="A88" s="459"/>
      <c r="B88" s="459"/>
      <c r="C88" s="459"/>
      <c r="D88" s="459"/>
      <c r="E88" s="459"/>
      <c r="F88" s="459"/>
      <c r="G88" s="459"/>
      <c r="H88" s="459"/>
      <c r="I88" s="459"/>
      <c r="J88" s="459"/>
      <c r="K88" s="459"/>
      <c r="L88" s="476"/>
      <c r="M88" s="460"/>
      <c r="N88" s="459"/>
      <c r="O88" s="459"/>
      <c r="P88" s="459"/>
      <c r="Q88" s="459"/>
    </row>
    <row r="89" spans="1:17" ht="14.25" x14ac:dyDescent="0.2">
      <c r="A89" s="459"/>
      <c r="B89" s="459"/>
      <c r="C89" s="459"/>
      <c r="D89" s="459"/>
      <c r="E89" s="459"/>
      <c r="F89" s="459"/>
      <c r="G89" s="459"/>
      <c r="H89" s="459"/>
      <c r="I89" s="459"/>
      <c r="J89" s="459"/>
      <c r="K89" s="459"/>
      <c r="L89" s="476"/>
      <c r="M89" s="460"/>
      <c r="N89" s="459"/>
      <c r="O89" s="459"/>
      <c r="P89" s="459"/>
      <c r="Q89" s="459"/>
    </row>
    <row r="90" spans="1:17" ht="14.25" x14ac:dyDescent="0.2">
      <c r="A90" s="459"/>
      <c r="B90" s="459"/>
      <c r="C90" s="459"/>
      <c r="D90" s="459"/>
      <c r="E90" s="459"/>
      <c r="F90" s="459"/>
      <c r="G90" s="459"/>
      <c r="H90" s="459"/>
      <c r="I90" s="459"/>
      <c r="J90" s="459"/>
      <c r="K90" s="459"/>
      <c r="L90" s="476"/>
      <c r="M90" s="460"/>
      <c r="N90" s="459"/>
      <c r="O90" s="459"/>
      <c r="P90" s="459"/>
      <c r="Q90" s="459"/>
    </row>
    <row r="91" spans="1:17" ht="14.25" x14ac:dyDescent="0.2">
      <c r="A91" s="459"/>
      <c r="B91" s="459"/>
      <c r="C91" s="459"/>
      <c r="D91" s="459"/>
      <c r="E91" s="459"/>
      <c r="F91" s="459"/>
      <c r="G91" s="459"/>
      <c r="H91" s="459"/>
      <c r="I91" s="459"/>
      <c r="J91" s="459"/>
      <c r="K91" s="459"/>
      <c r="L91" s="476"/>
      <c r="M91" s="460"/>
      <c r="N91" s="459"/>
      <c r="O91" s="459"/>
      <c r="P91" s="459"/>
      <c r="Q91" s="459"/>
    </row>
    <row r="92" spans="1:17" ht="14.25" x14ac:dyDescent="0.2">
      <c r="A92" s="459"/>
      <c r="B92" s="459"/>
      <c r="C92" s="459"/>
      <c r="D92" s="459"/>
      <c r="E92" s="459"/>
      <c r="F92" s="459"/>
      <c r="G92" s="459"/>
      <c r="H92" s="459"/>
      <c r="I92" s="459"/>
      <c r="J92" s="459"/>
      <c r="K92" s="459"/>
      <c r="L92" s="476"/>
      <c r="M92" s="460"/>
      <c r="N92" s="459"/>
      <c r="O92" s="459"/>
      <c r="P92" s="459"/>
      <c r="Q92" s="459"/>
    </row>
    <row r="93" spans="1:17" ht="14.25" x14ac:dyDescent="0.2">
      <c r="A93" s="459"/>
      <c r="B93" s="459"/>
      <c r="C93" s="459"/>
      <c r="D93" s="459"/>
      <c r="E93" s="459"/>
      <c r="F93" s="459"/>
      <c r="G93" s="459"/>
      <c r="H93" s="459"/>
      <c r="I93" s="459"/>
      <c r="J93" s="459"/>
      <c r="K93" s="459"/>
      <c r="L93" s="476"/>
      <c r="M93" s="460"/>
      <c r="N93" s="459"/>
      <c r="O93" s="459"/>
      <c r="P93" s="459"/>
      <c r="Q93" s="459"/>
    </row>
    <row r="94" spans="1:17" ht="14.25" x14ac:dyDescent="0.2">
      <c r="A94" s="459"/>
      <c r="B94" s="459"/>
      <c r="C94" s="459"/>
      <c r="D94" s="459"/>
      <c r="E94" s="459"/>
      <c r="F94" s="459"/>
      <c r="G94" s="459"/>
      <c r="H94" s="459"/>
      <c r="I94" s="459"/>
      <c r="J94" s="459"/>
      <c r="K94" s="459"/>
      <c r="L94" s="476"/>
      <c r="M94" s="460"/>
      <c r="N94" s="459"/>
      <c r="O94" s="459"/>
      <c r="P94" s="459"/>
      <c r="Q94" s="459"/>
    </row>
    <row r="95" spans="1:17" ht="14.25" x14ac:dyDescent="0.2">
      <c r="A95" s="459"/>
      <c r="B95" s="459"/>
      <c r="C95" s="459"/>
      <c r="D95" s="459"/>
      <c r="E95" s="459"/>
      <c r="F95" s="459"/>
      <c r="G95" s="459"/>
      <c r="H95" s="459"/>
      <c r="I95" s="459"/>
      <c r="J95" s="459"/>
      <c r="K95" s="459"/>
      <c r="L95" s="476"/>
      <c r="M95" s="460"/>
      <c r="N95" s="459"/>
      <c r="O95" s="459"/>
      <c r="P95" s="459"/>
      <c r="Q95" s="459"/>
    </row>
    <row r="96" spans="1:17" ht="14.25" x14ac:dyDescent="0.2">
      <c r="A96" s="459"/>
      <c r="B96" s="459"/>
      <c r="C96" s="459"/>
      <c r="D96" s="459"/>
      <c r="E96" s="459"/>
      <c r="F96" s="459"/>
      <c r="G96" s="459"/>
      <c r="H96" s="459"/>
      <c r="I96" s="459"/>
      <c r="J96" s="459"/>
      <c r="K96" s="459"/>
      <c r="L96" s="476"/>
      <c r="M96" s="460"/>
      <c r="N96" s="459"/>
      <c r="O96" s="459"/>
      <c r="P96" s="459"/>
      <c r="Q96" s="459"/>
    </row>
    <row r="97" spans="1:17" ht="14.25" x14ac:dyDescent="0.2">
      <c r="A97" s="459"/>
      <c r="B97" s="459"/>
      <c r="C97" s="459"/>
      <c r="D97" s="459"/>
      <c r="E97" s="459"/>
      <c r="F97" s="459"/>
      <c r="G97" s="459"/>
      <c r="H97" s="459"/>
      <c r="I97" s="459"/>
      <c r="J97" s="459"/>
      <c r="K97" s="459"/>
      <c r="L97" s="476"/>
      <c r="M97" s="460"/>
      <c r="N97" s="459"/>
      <c r="O97" s="459"/>
      <c r="P97" s="459"/>
      <c r="Q97" s="459"/>
    </row>
    <row r="98" spans="1:17" ht="14.25" x14ac:dyDescent="0.2">
      <c r="A98" s="459"/>
      <c r="B98" s="459"/>
      <c r="C98" s="459"/>
      <c r="D98" s="459"/>
      <c r="E98" s="459"/>
      <c r="F98" s="459"/>
      <c r="G98" s="459"/>
      <c r="H98" s="459"/>
      <c r="I98" s="459"/>
      <c r="J98" s="459"/>
      <c r="K98" s="459"/>
      <c r="L98" s="476"/>
      <c r="M98" s="460"/>
      <c r="N98" s="459"/>
      <c r="O98" s="459"/>
      <c r="P98" s="459"/>
      <c r="Q98" s="459"/>
    </row>
    <row r="99" spans="1:17" ht="14.25" x14ac:dyDescent="0.2">
      <c r="A99" s="459"/>
      <c r="B99" s="459"/>
      <c r="C99" s="459"/>
      <c r="D99" s="459"/>
      <c r="E99" s="459"/>
      <c r="F99" s="459"/>
      <c r="G99" s="459"/>
      <c r="H99" s="459"/>
      <c r="I99" s="459"/>
      <c r="J99" s="459"/>
      <c r="K99" s="459"/>
      <c r="L99" s="476"/>
      <c r="M99" s="460"/>
      <c r="N99" s="459"/>
      <c r="O99" s="459"/>
      <c r="P99" s="459"/>
      <c r="Q99" s="459"/>
    </row>
    <row r="100" spans="1:17" ht="14.25" x14ac:dyDescent="0.2">
      <c r="A100" s="459"/>
      <c r="B100" s="459"/>
      <c r="C100" s="459"/>
      <c r="D100" s="459"/>
      <c r="E100" s="459"/>
      <c r="F100" s="459"/>
      <c r="G100" s="459"/>
      <c r="H100" s="459"/>
      <c r="I100" s="459"/>
      <c r="J100" s="459"/>
      <c r="K100" s="459"/>
      <c r="L100" s="476"/>
      <c r="M100" s="460"/>
      <c r="N100" s="459"/>
      <c r="O100" s="459"/>
      <c r="P100" s="459"/>
      <c r="Q100" s="459"/>
    </row>
    <row r="101" spans="1:17" ht="14.25" x14ac:dyDescent="0.2">
      <c r="A101" s="459"/>
      <c r="B101" s="459"/>
      <c r="C101" s="459"/>
      <c r="D101" s="459"/>
      <c r="E101" s="459"/>
      <c r="F101" s="459"/>
      <c r="G101" s="459"/>
      <c r="H101" s="459"/>
      <c r="I101" s="459"/>
      <c r="J101" s="459"/>
      <c r="K101" s="459"/>
      <c r="L101" s="476"/>
      <c r="M101" s="460"/>
      <c r="N101" s="459"/>
      <c r="O101" s="459"/>
      <c r="P101" s="459"/>
      <c r="Q101" s="459"/>
    </row>
    <row r="102" spans="1:17" ht="14.25" x14ac:dyDescent="0.2">
      <c r="A102" s="459"/>
      <c r="B102" s="459"/>
      <c r="C102" s="459"/>
      <c r="D102" s="459"/>
      <c r="E102" s="459"/>
      <c r="F102" s="459"/>
      <c r="G102" s="459"/>
      <c r="H102" s="459"/>
      <c r="I102" s="459"/>
      <c r="J102" s="459"/>
      <c r="K102" s="459"/>
      <c r="L102" s="476"/>
      <c r="M102" s="460"/>
      <c r="N102" s="459"/>
      <c r="O102" s="459"/>
      <c r="P102" s="459"/>
      <c r="Q102" s="459"/>
    </row>
    <row r="103" spans="1:17" ht="14.25" x14ac:dyDescent="0.2">
      <c r="A103" s="459"/>
      <c r="B103" s="459"/>
      <c r="C103" s="459"/>
      <c r="D103" s="459"/>
      <c r="E103" s="459"/>
      <c r="F103" s="459"/>
      <c r="G103" s="459"/>
      <c r="H103" s="459"/>
      <c r="I103" s="459"/>
      <c r="J103" s="459"/>
      <c r="K103" s="459"/>
      <c r="L103" s="476"/>
      <c r="M103" s="460"/>
      <c r="N103" s="459"/>
      <c r="O103" s="459"/>
      <c r="P103" s="459"/>
      <c r="Q103" s="459"/>
    </row>
    <row r="104" spans="1:17" ht="14.25" x14ac:dyDescent="0.2">
      <c r="A104" s="459"/>
      <c r="B104" s="459"/>
      <c r="C104" s="459"/>
      <c r="D104" s="459"/>
      <c r="E104" s="459"/>
      <c r="F104" s="459"/>
      <c r="G104" s="459"/>
      <c r="H104" s="459"/>
      <c r="I104" s="459"/>
      <c r="J104" s="459"/>
      <c r="K104" s="459"/>
      <c r="L104" s="476"/>
      <c r="M104" s="460"/>
      <c r="N104" s="459"/>
      <c r="O104" s="459"/>
      <c r="P104" s="459"/>
      <c r="Q104" s="459"/>
    </row>
    <row r="105" spans="1:17" ht="14.25" x14ac:dyDescent="0.2">
      <c r="A105" s="459"/>
      <c r="B105" s="459"/>
      <c r="C105" s="459"/>
      <c r="D105" s="459"/>
      <c r="E105" s="459"/>
      <c r="F105" s="459"/>
      <c r="G105" s="459"/>
      <c r="H105" s="459"/>
      <c r="I105" s="459"/>
      <c r="J105" s="459"/>
      <c r="K105" s="459"/>
      <c r="L105" s="476"/>
      <c r="M105" s="460"/>
      <c r="N105" s="459"/>
      <c r="O105" s="459"/>
      <c r="P105" s="459"/>
      <c r="Q105" s="459"/>
    </row>
    <row r="106" spans="1:17" ht="14.25" x14ac:dyDescent="0.2">
      <c r="A106" s="459"/>
      <c r="B106" s="459"/>
      <c r="C106" s="459"/>
      <c r="D106" s="459"/>
      <c r="E106" s="459"/>
      <c r="F106" s="459"/>
      <c r="G106" s="459"/>
      <c r="H106" s="459"/>
      <c r="I106" s="459"/>
      <c r="J106" s="459"/>
      <c r="K106" s="459"/>
      <c r="L106" s="476"/>
      <c r="M106" s="460"/>
      <c r="N106" s="459"/>
      <c r="O106" s="459"/>
      <c r="P106" s="459"/>
      <c r="Q106" s="459"/>
    </row>
    <row r="107" spans="1:17" ht="14.25" x14ac:dyDescent="0.2">
      <c r="A107" s="459"/>
      <c r="B107" s="459"/>
      <c r="C107" s="459"/>
      <c r="D107" s="459"/>
      <c r="E107" s="459"/>
      <c r="F107" s="459"/>
      <c r="G107" s="459"/>
      <c r="H107" s="459"/>
      <c r="I107" s="459"/>
      <c r="J107" s="459"/>
      <c r="K107" s="459"/>
      <c r="L107" s="476"/>
      <c r="M107" s="460"/>
      <c r="N107" s="459"/>
      <c r="O107" s="459"/>
      <c r="P107" s="459"/>
      <c r="Q107" s="459"/>
    </row>
    <row r="108" spans="1:17" ht="14.25" x14ac:dyDescent="0.2">
      <c r="A108" s="459"/>
      <c r="B108" s="459"/>
      <c r="C108" s="459"/>
      <c r="D108" s="459"/>
      <c r="E108" s="459"/>
      <c r="F108" s="459"/>
      <c r="G108" s="459"/>
      <c r="H108" s="459"/>
      <c r="I108" s="459"/>
      <c r="J108" s="459"/>
      <c r="K108" s="459"/>
      <c r="L108" s="476"/>
      <c r="M108" s="460"/>
      <c r="N108" s="459"/>
      <c r="O108" s="459"/>
      <c r="P108" s="459"/>
      <c r="Q108" s="459"/>
    </row>
    <row r="109" spans="1:17" ht="14.25" x14ac:dyDescent="0.2">
      <c r="A109" s="459"/>
      <c r="B109" s="459"/>
      <c r="C109" s="459"/>
      <c r="D109" s="459"/>
      <c r="E109" s="459"/>
      <c r="F109" s="459"/>
      <c r="G109" s="459"/>
      <c r="H109" s="459"/>
      <c r="I109" s="459"/>
      <c r="J109" s="459"/>
      <c r="K109" s="459"/>
      <c r="L109" s="476"/>
      <c r="M109" s="460"/>
      <c r="N109" s="459"/>
      <c r="O109" s="459"/>
      <c r="P109" s="459"/>
      <c r="Q109" s="459"/>
    </row>
    <row r="110" spans="1:17" ht="14.25" x14ac:dyDescent="0.2">
      <c r="A110" s="459"/>
      <c r="B110" s="459"/>
      <c r="C110" s="459"/>
      <c r="D110" s="459"/>
      <c r="E110" s="459"/>
      <c r="F110" s="459"/>
      <c r="G110" s="459"/>
      <c r="H110" s="459"/>
      <c r="I110" s="459"/>
      <c r="J110" s="459"/>
      <c r="K110" s="459"/>
      <c r="L110" s="476"/>
      <c r="M110" s="460"/>
      <c r="N110" s="459"/>
      <c r="O110" s="459"/>
      <c r="P110" s="459"/>
      <c r="Q110" s="459"/>
    </row>
    <row r="111" spans="1:17" ht="14.25" x14ac:dyDescent="0.2">
      <c r="A111" s="459"/>
      <c r="B111" s="459"/>
      <c r="C111" s="459"/>
      <c r="D111" s="459"/>
      <c r="E111" s="459"/>
      <c r="F111" s="459"/>
      <c r="G111" s="459"/>
      <c r="H111" s="459"/>
      <c r="I111" s="459"/>
      <c r="J111" s="459"/>
      <c r="K111" s="459"/>
      <c r="L111" s="476"/>
      <c r="M111" s="460"/>
      <c r="N111" s="459"/>
      <c r="O111" s="459"/>
      <c r="P111" s="459"/>
      <c r="Q111" s="459"/>
    </row>
    <row r="112" spans="1:17" ht="14.25" x14ac:dyDescent="0.2">
      <c r="A112" s="459"/>
      <c r="B112" s="459"/>
      <c r="C112" s="459"/>
      <c r="D112" s="459"/>
      <c r="E112" s="459"/>
      <c r="F112" s="459"/>
      <c r="G112" s="459"/>
      <c r="H112" s="459"/>
      <c r="I112" s="459"/>
      <c r="J112" s="459"/>
      <c r="K112" s="459"/>
      <c r="L112" s="476"/>
      <c r="M112" s="460"/>
      <c r="N112" s="459"/>
      <c r="O112" s="459"/>
      <c r="P112" s="459"/>
      <c r="Q112" s="459"/>
    </row>
    <row r="113" spans="1:17" ht="14.25" x14ac:dyDescent="0.2">
      <c r="A113" s="459"/>
      <c r="B113" s="459"/>
      <c r="C113" s="459"/>
      <c r="D113" s="459"/>
      <c r="E113" s="459"/>
      <c r="F113" s="459"/>
      <c r="G113" s="459"/>
      <c r="H113" s="459"/>
      <c r="I113" s="459"/>
      <c r="J113" s="459"/>
      <c r="K113" s="459"/>
      <c r="L113" s="476"/>
      <c r="M113" s="460"/>
      <c r="N113" s="459"/>
      <c r="O113" s="459"/>
      <c r="P113" s="459"/>
      <c r="Q113" s="459"/>
    </row>
    <row r="114" spans="1:17" ht="14.25" x14ac:dyDescent="0.2">
      <c r="A114" s="459"/>
      <c r="B114" s="459"/>
      <c r="C114" s="459"/>
      <c r="D114" s="459"/>
      <c r="E114" s="459"/>
      <c r="F114" s="459"/>
      <c r="G114" s="459"/>
      <c r="H114" s="459"/>
      <c r="I114" s="459"/>
      <c r="J114" s="459"/>
      <c r="K114" s="459"/>
      <c r="L114" s="476"/>
      <c r="M114" s="460"/>
      <c r="N114" s="459"/>
      <c r="O114" s="459"/>
      <c r="P114" s="459"/>
      <c r="Q114" s="459"/>
    </row>
    <row r="115" spans="1:17" ht="14.25" x14ac:dyDescent="0.2">
      <c r="A115" s="459"/>
      <c r="B115" s="459"/>
      <c r="C115" s="459"/>
      <c r="D115" s="459"/>
      <c r="E115" s="459"/>
      <c r="F115" s="459"/>
      <c r="G115" s="459"/>
      <c r="H115" s="459"/>
      <c r="I115" s="459"/>
      <c r="J115" s="459"/>
      <c r="K115" s="459"/>
      <c r="L115" s="476"/>
      <c r="M115" s="460"/>
      <c r="N115" s="459"/>
      <c r="O115" s="459"/>
      <c r="P115" s="459"/>
      <c r="Q115" s="459"/>
    </row>
    <row r="116" spans="1:17" ht="14.25" x14ac:dyDescent="0.2">
      <c r="A116" s="459"/>
      <c r="B116" s="459"/>
      <c r="C116" s="459"/>
      <c r="D116" s="459"/>
      <c r="E116" s="459"/>
      <c r="F116" s="459"/>
      <c r="G116" s="459"/>
      <c r="H116" s="459"/>
      <c r="I116" s="459"/>
      <c r="J116" s="459"/>
      <c r="K116" s="459"/>
      <c r="L116" s="476"/>
      <c r="M116" s="460"/>
      <c r="N116" s="459"/>
      <c r="O116" s="459"/>
      <c r="P116" s="459"/>
      <c r="Q116" s="459"/>
    </row>
    <row r="117" spans="1:17" ht="14.25" x14ac:dyDescent="0.2">
      <c r="A117" s="459"/>
      <c r="B117" s="459"/>
      <c r="C117" s="459"/>
      <c r="D117" s="459"/>
      <c r="E117" s="459"/>
      <c r="F117" s="459"/>
      <c r="G117" s="459"/>
      <c r="H117" s="459"/>
      <c r="I117" s="459"/>
      <c r="J117" s="459"/>
      <c r="K117" s="459"/>
      <c r="L117" s="476"/>
      <c r="M117" s="460"/>
      <c r="N117" s="459"/>
      <c r="O117" s="459"/>
      <c r="P117" s="459"/>
      <c r="Q117" s="459"/>
    </row>
    <row r="118" spans="1:17" ht="14.25" x14ac:dyDescent="0.2">
      <c r="A118" s="459"/>
      <c r="B118" s="459"/>
      <c r="C118" s="459"/>
      <c r="D118" s="459"/>
      <c r="E118" s="459"/>
      <c r="F118" s="459"/>
      <c r="G118" s="459"/>
      <c r="H118" s="459"/>
      <c r="I118" s="459"/>
      <c r="J118" s="459"/>
      <c r="K118" s="459"/>
      <c r="L118" s="476"/>
      <c r="M118" s="460"/>
      <c r="N118" s="459"/>
      <c r="O118" s="459"/>
      <c r="P118" s="459"/>
      <c r="Q118" s="459"/>
    </row>
    <row r="119" spans="1:17" ht="14.25" x14ac:dyDescent="0.2">
      <c r="A119" s="459"/>
      <c r="B119" s="459"/>
      <c r="C119" s="459"/>
      <c r="D119" s="459"/>
      <c r="E119" s="459"/>
      <c r="F119" s="459"/>
      <c r="G119" s="459"/>
      <c r="H119" s="459"/>
      <c r="I119" s="459"/>
      <c r="J119" s="459"/>
      <c r="K119" s="459"/>
      <c r="L119" s="476"/>
      <c r="M119" s="460"/>
      <c r="N119" s="459"/>
      <c r="O119" s="459"/>
      <c r="P119" s="459"/>
      <c r="Q119" s="459"/>
    </row>
    <row r="120" spans="1:17" ht="14.25" x14ac:dyDescent="0.2">
      <c r="A120" s="459"/>
      <c r="B120" s="459"/>
      <c r="C120" s="459"/>
      <c r="D120" s="459"/>
      <c r="E120" s="459"/>
      <c r="F120" s="459"/>
      <c r="G120" s="459"/>
      <c r="H120" s="459"/>
      <c r="I120" s="459"/>
      <c r="J120" s="459"/>
      <c r="K120" s="459"/>
      <c r="L120" s="476"/>
      <c r="M120" s="460"/>
      <c r="N120" s="459"/>
      <c r="O120" s="459"/>
      <c r="P120" s="459"/>
      <c r="Q120" s="459"/>
    </row>
    <row r="121" spans="1:17" ht="14.25" x14ac:dyDescent="0.2">
      <c r="A121" s="459"/>
      <c r="B121" s="459"/>
      <c r="C121" s="459"/>
      <c r="D121" s="459"/>
      <c r="E121" s="459"/>
      <c r="F121" s="459"/>
      <c r="G121" s="459"/>
      <c r="H121" s="459"/>
      <c r="I121" s="459"/>
      <c r="J121" s="459"/>
      <c r="K121" s="459"/>
      <c r="L121" s="476"/>
      <c r="M121" s="460"/>
      <c r="N121" s="459"/>
      <c r="O121" s="459"/>
      <c r="P121" s="459"/>
      <c r="Q121" s="459"/>
    </row>
    <row r="122" spans="1:17" ht="14.25" x14ac:dyDescent="0.2">
      <c r="A122" s="459"/>
      <c r="B122" s="459"/>
      <c r="C122" s="459"/>
      <c r="D122" s="459"/>
      <c r="E122" s="459"/>
      <c r="F122" s="459"/>
      <c r="G122" s="459"/>
      <c r="H122" s="459"/>
      <c r="I122" s="459"/>
      <c r="J122" s="459"/>
      <c r="K122" s="459"/>
      <c r="L122" s="476"/>
      <c r="M122" s="460"/>
      <c r="N122" s="459"/>
      <c r="O122" s="459"/>
      <c r="P122" s="459"/>
      <c r="Q122" s="459"/>
    </row>
    <row r="123" spans="1:17" ht="14.25" x14ac:dyDescent="0.2">
      <c r="A123" s="459"/>
      <c r="B123" s="459"/>
      <c r="C123" s="459"/>
      <c r="D123" s="459"/>
      <c r="E123" s="459"/>
      <c r="F123" s="459"/>
      <c r="G123" s="459"/>
      <c r="H123" s="459"/>
      <c r="I123" s="459"/>
      <c r="J123" s="459"/>
      <c r="K123" s="459"/>
      <c r="L123" s="476"/>
      <c r="M123" s="460"/>
      <c r="N123" s="459"/>
      <c r="O123" s="459"/>
      <c r="P123" s="459"/>
      <c r="Q123" s="459"/>
    </row>
    <row r="124" spans="1:17" ht="14.25" x14ac:dyDescent="0.2">
      <c r="A124" s="459"/>
      <c r="B124" s="459"/>
      <c r="C124" s="459"/>
      <c r="D124" s="459"/>
      <c r="E124" s="459"/>
      <c r="F124" s="459"/>
      <c r="G124" s="459"/>
      <c r="H124" s="459"/>
      <c r="I124" s="459"/>
      <c r="J124" s="459"/>
      <c r="K124" s="459"/>
      <c r="L124" s="476"/>
      <c r="M124" s="460"/>
      <c r="N124" s="459"/>
      <c r="O124" s="459"/>
      <c r="P124" s="459"/>
      <c r="Q124" s="459"/>
    </row>
    <row r="125" spans="1:17" ht="14.25" x14ac:dyDescent="0.2">
      <c r="A125" s="459"/>
      <c r="B125" s="459"/>
      <c r="C125" s="459"/>
      <c r="D125" s="459"/>
      <c r="E125" s="459"/>
      <c r="F125" s="459"/>
      <c r="G125" s="459"/>
      <c r="H125" s="459"/>
      <c r="I125" s="459"/>
      <c r="J125" s="459"/>
      <c r="K125" s="459"/>
      <c r="L125" s="476"/>
      <c r="M125" s="460"/>
      <c r="N125" s="459"/>
      <c r="O125" s="459"/>
      <c r="P125" s="459"/>
      <c r="Q125" s="459"/>
    </row>
    <row r="126" spans="1:17" ht="14.25" x14ac:dyDescent="0.2">
      <c r="A126" s="459"/>
      <c r="B126" s="459"/>
      <c r="C126" s="459"/>
      <c r="D126" s="459"/>
      <c r="E126" s="459"/>
      <c r="F126" s="459"/>
      <c r="G126" s="459"/>
      <c r="H126" s="459"/>
      <c r="I126" s="459"/>
      <c r="J126" s="459"/>
      <c r="K126" s="459"/>
      <c r="L126" s="476"/>
      <c r="M126" s="460"/>
      <c r="N126" s="459"/>
      <c r="O126" s="459"/>
      <c r="P126" s="459"/>
      <c r="Q126" s="459"/>
    </row>
    <row r="127" spans="1:17" ht="14.25" x14ac:dyDescent="0.2">
      <c r="A127" s="459"/>
      <c r="B127" s="459"/>
      <c r="C127" s="459"/>
      <c r="D127" s="459"/>
      <c r="E127" s="459"/>
      <c r="F127" s="459"/>
      <c r="G127" s="459"/>
      <c r="H127" s="459"/>
      <c r="I127" s="459"/>
      <c r="J127" s="459"/>
      <c r="K127" s="459"/>
      <c r="L127" s="476"/>
      <c r="M127" s="460"/>
      <c r="N127" s="459"/>
      <c r="O127" s="459"/>
      <c r="P127" s="459"/>
      <c r="Q127" s="459"/>
    </row>
    <row r="128" spans="1:17" ht="14.25" x14ac:dyDescent="0.2">
      <c r="A128" s="459"/>
      <c r="B128" s="459"/>
      <c r="C128" s="459"/>
      <c r="D128" s="459"/>
      <c r="E128" s="459"/>
      <c r="F128" s="459"/>
      <c r="G128" s="459"/>
      <c r="H128" s="459"/>
      <c r="I128" s="459"/>
      <c r="J128" s="459"/>
      <c r="K128" s="459"/>
      <c r="L128" s="476"/>
      <c r="M128" s="460"/>
      <c r="N128" s="459"/>
      <c r="O128" s="459"/>
      <c r="P128" s="459"/>
      <c r="Q128" s="459"/>
    </row>
    <row r="129" spans="1:17" ht="14.25" x14ac:dyDescent="0.2">
      <c r="A129" s="459"/>
      <c r="B129" s="459"/>
      <c r="C129" s="459"/>
      <c r="D129" s="459"/>
      <c r="E129" s="459"/>
      <c r="F129" s="459"/>
      <c r="G129" s="459"/>
      <c r="H129" s="459"/>
      <c r="I129" s="459"/>
      <c r="J129" s="459"/>
      <c r="K129" s="459"/>
      <c r="L129" s="476"/>
      <c r="M129" s="460"/>
      <c r="N129" s="459"/>
      <c r="O129" s="459"/>
      <c r="P129" s="459"/>
      <c r="Q129" s="459"/>
    </row>
    <row r="130" spans="1:17" ht="14.25" x14ac:dyDescent="0.2">
      <c r="A130" s="459"/>
      <c r="B130" s="459"/>
      <c r="C130" s="459"/>
      <c r="D130" s="459"/>
      <c r="E130" s="459"/>
      <c r="F130" s="459"/>
      <c r="G130" s="459"/>
      <c r="H130" s="459"/>
      <c r="I130" s="459"/>
      <c r="J130" s="459"/>
      <c r="K130" s="459"/>
      <c r="L130" s="476"/>
      <c r="M130" s="460"/>
      <c r="N130" s="459"/>
      <c r="O130" s="459"/>
      <c r="P130" s="459"/>
      <c r="Q130" s="459"/>
    </row>
    <row r="131" spans="1:17" ht="14.25" x14ac:dyDescent="0.2">
      <c r="A131" s="459"/>
      <c r="B131" s="459"/>
      <c r="C131" s="459"/>
      <c r="D131" s="459"/>
      <c r="E131" s="459"/>
      <c r="F131" s="459"/>
      <c r="G131" s="459"/>
      <c r="H131" s="459"/>
      <c r="I131" s="459"/>
      <c r="J131" s="459"/>
      <c r="K131" s="459"/>
      <c r="L131" s="476"/>
      <c r="M131" s="460"/>
      <c r="N131" s="459"/>
      <c r="O131" s="459"/>
      <c r="P131" s="459"/>
      <c r="Q131" s="459"/>
    </row>
    <row r="132" spans="1:17" ht="14.25" x14ac:dyDescent="0.2">
      <c r="A132" s="459"/>
      <c r="B132" s="459"/>
      <c r="C132" s="459"/>
      <c r="D132" s="459"/>
      <c r="E132" s="459"/>
      <c r="F132" s="459"/>
      <c r="G132" s="459"/>
      <c r="H132" s="459"/>
      <c r="I132" s="459"/>
      <c r="J132" s="459"/>
      <c r="K132" s="459"/>
      <c r="L132" s="476"/>
      <c r="M132" s="460"/>
      <c r="N132" s="459"/>
      <c r="O132" s="459"/>
      <c r="P132" s="459"/>
      <c r="Q132" s="459"/>
    </row>
    <row r="133" spans="1:17" ht="14.25" x14ac:dyDescent="0.2">
      <c r="A133" s="459"/>
      <c r="B133" s="459"/>
      <c r="C133" s="459"/>
      <c r="D133" s="459"/>
      <c r="E133" s="459"/>
      <c r="F133" s="459"/>
      <c r="G133" s="459"/>
      <c r="H133" s="459"/>
      <c r="I133" s="459"/>
      <c r="J133" s="459"/>
      <c r="K133" s="459"/>
      <c r="L133" s="476"/>
      <c r="M133" s="460"/>
      <c r="N133" s="459"/>
      <c r="O133" s="459"/>
      <c r="P133" s="459"/>
      <c r="Q133" s="459"/>
    </row>
    <row r="134" spans="1:17" ht="14.25" x14ac:dyDescent="0.2">
      <c r="A134" s="459"/>
      <c r="B134" s="459"/>
      <c r="C134" s="459"/>
      <c r="D134" s="459"/>
      <c r="E134" s="459"/>
      <c r="F134" s="459"/>
      <c r="G134" s="459"/>
      <c r="H134" s="459"/>
      <c r="I134" s="459"/>
      <c r="J134" s="459"/>
      <c r="K134" s="459"/>
      <c r="L134" s="476"/>
      <c r="M134" s="460"/>
      <c r="N134" s="459"/>
      <c r="O134" s="459"/>
      <c r="P134" s="459"/>
      <c r="Q134" s="459"/>
    </row>
    <row r="135" spans="1:17" ht="14.25" x14ac:dyDescent="0.2">
      <c r="A135" s="459"/>
      <c r="B135" s="459"/>
      <c r="C135" s="459"/>
      <c r="D135" s="459"/>
      <c r="E135" s="459"/>
      <c r="F135" s="459"/>
      <c r="G135" s="459"/>
      <c r="H135" s="459"/>
      <c r="I135" s="459"/>
      <c r="J135" s="459"/>
      <c r="K135" s="459"/>
      <c r="L135" s="476"/>
      <c r="M135" s="460"/>
      <c r="N135" s="459"/>
      <c r="O135" s="459"/>
      <c r="P135" s="459"/>
      <c r="Q135" s="459"/>
    </row>
    <row r="136" spans="1:17" ht="14.25" x14ac:dyDescent="0.2">
      <c r="A136" s="459"/>
      <c r="B136" s="459"/>
      <c r="C136" s="459"/>
      <c r="D136" s="459"/>
      <c r="E136" s="459"/>
      <c r="F136" s="459"/>
      <c r="G136" s="459"/>
      <c r="H136" s="459"/>
      <c r="I136" s="459"/>
      <c r="J136" s="459"/>
      <c r="K136" s="459"/>
      <c r="L136" s="476"/>
      <c r="M136" s="460"/>
      <c r="N136" s="459"/>
      <c r="O136" s="459"/>
      <c r="P136" s="459"/>
      <c r="Q136" s="459"/>
    </row>
    <row r="137" spans="1:17" ht="14.25" x14ac:dyDescent="0.2">
      <c r="A137" s="459"/>
      <c r="B137" s="459"/>
      <c r="C137" s="459"/>
      <c r="D137" s="459"/>
      <c r="E137" s="459"/>
      <c r="F137" s="459"/>
      <c r="G137" s="459"/>
      <c r="H137" s="459"/>
      <c r="I137" s="459"/>
      <c r="J137" s="459"/>
      <c r="K137" s="459"/>
      <c r="L137" s="476"/>
      <c r="M137" s="460"/>
      <c r="N137" s="459"/>
      <c r="O137" s="459"/>
      <c r="P137" s="459"/>
      <c r="Q137" s="459"/>
    </row>
    <row r="138" spans="1:17" ht="14.25" x14ac:dyDescent="0.2">
      <c r="A138" s="459"/>
      <c r="B138" s="459"/>
      <c r="C138" s="459"/>
      <c r="D138" s="459"/>
      <c r="E138" s="459"/>
      <c r="F138" s="459"/>
      <c r="G138" s="459"/>
      <c r="H138" s="459"/>
      <c r="I138" s="459"/>
      <c r="J138" s="459"/>
      <c r="K138" s="459"/>
      <c r="L138" s="476"/>
      <c r="M138" s="460"/>
      <c r="N138" s="459"/>
      <c r="O138" s="459"/>
      <c r="P138" s="459"/>
      <c r="Q138" s="459"/>
    </row>
    <row r="139" spans="1:17" ht="14.25" x14ac:dyDescent="0.2">
      <c r="A139" s="459"/>
      <c r="B139" s="459"/>
      <c r="C139" s="459"/>
      <c r="D139" s="459"/>
      <c r="E139" s="459"/>
      <c r="F139" s="459"/>
      <c r="G139" s="459"/>
      <c r="H139" s="459"/>
      <c r="I139" s="459"/>
      <c r="J139" s="459"/>
      <c r="K139" s="459"/>
      <c r="L139" s="476"/>
      <c r="M139" s="460"/>
      <c r="N139" s="459"/>
      <c r="O139" s="459"/>
      <c r="P139" s="459"/>
      <c r="Q139" s="459"/>
    </row>
    <row r="140" spans="1:17" ht="14.25" x14ac:dyDescent="0.2">
      <c r="A140" s="459"/>
      <c r="B140" s="459"/>
      <c r="C140" s="459"/>
      <c r="D140" s="459"/>
      <c r="E140" s="459"/>
      <c r="F140" s="459"/>
      <c r="G140" s="459"/>
      <c r="H140" s="459"/>
      <c r="I140" s="459"/>
      <c r="J140" s="459"/>
      <c r="K140" s="459"/>
      <c r="L140" s="476"/>
      <c r="M140" s="460"/>
      <c r="N140" s="459"/>
      <c r="O140" s="459"/>
      <c r="P140" s="459"/>
      <c r="Q140" s="459"/>
    </row>
    <row r="141" spans="1:17" ht="14.25" x14ac:dyDescent="0.2">
      <c r="A141" s="459"/>
      <c r="B141" s="459"/>
      <c r="C141" s="459"/>
      <c r="D141" s="459"/>
      <c r="E141" s="459"/>
      <c r="F141" s="459"/>
      <c r="G141" s="459"/>
      <c r="H141" s="459"/>
      <c r="I141" s="459"/>
      <c r="J141" s="459"/>
      <c r="K141" s="459"/>
      <c r="L141" s="476"/>
      <c r="M141" s="460"/>
      <c r="N141" s="459"/>
      <c r="O141" s="459"/>
      <c r="P141" s="459"/>
      <c r="Q141" s="459"/>
    </row>
    <row r="142" spans="1:17" ht="14.25" x14ac:dyDescent="0.2">
      <c r="A142" s="459"/>
      <c r="B142" s="459"/>
      <c r="C142" s="459"/>
      <c r="D142" s="459"/>
      <c r="E142" s="459"/>
      <c r="F142" s="459"/>
      <c r="G142" s="459"/>
      <c r="H142" s="459"/>
      <c r="I142" s="459"/>
      <c r="J142" s="459"/>
      <c r="K142" s="459"/>
      <c r="L142" s="476"/>
      <c r="M142" s="460"/>
      <c r="N142" s="459"/>
      <c r="O142" s="459"/>
      <c r="P142" s="459"/>
      <c r="Q142" s="459"/>
    </row>
    <row r="143" spans="1:17" ht="14.25" x14ac:dyDescent="0.2">
      <c r="A143" s="459"/>
      <c r="B143" s="459"/>
      <c r="C143" s="459"/>
      <c r="D143" s="459"/>
      <c r="E143" s="459"/>
      <c r="F143" s="459"/>
      <c r="G143" s="459"/>
      <c r="H143" s="459"/>
      <c r="I143" s="459"/>
      <c r="J143" s="459"/>
      <c r="K143" s="459"/>
      <c r="L143" s="476"/>
      <c r="M143" s="460"/>
      <c r="N143" s="459"/>
      <c r="O143" s="459"/>
      <c r="P143" s="459"/>
      <c r="Q143" s="459"/>
    </row>
    <row r="144" spans="1:17" ht="14.25" x14ac:dyDescent="0.2">
      <c r="A144" s="459"/>
      <c r="B144" s="459"/>
      <c r="C144" s="459"/>
      <c r="D144" s="459"/>
      <c r="E144" s="459"/>
      <c r="F144" s="459"/>
      <c r="G144" s="459"/>
      <c r="H144" s="459"/>
      <c r="I144" s="459"/>
      <c r="J144" s="459"/>
      <c r="K144" s="459"/>
      <c r="L144" s="476"/>
      <c r="M144" s="460"/>
      <c r="N144" s="459"/>
      <c r="O144" s="459"/>
      <c r="P144" s="459"/>
      <c r="Q144" s="459"/>
    </row>
    <row r="145" spans="1:17" ht="14.25" x14ac:dyDescent="0.2">
      <c r="A145" s="459"/>
      <c r="B145" s="459"/>
      <c r="C145" s="459"/>
      <c r="D145" s="459"/>
      <c r="E145" s="459"/>
      <c r="F145" s="459"/>
      <c r="G145" s="459"/>
      <c r="H145" s="459"/>
      <c r="I145" s="459"/>
      <c r="J145" s="459"/>
      <c r="K145" s="459"/>
      <c r="L145" s="476"/>
      <c r="M145" s="460"/>
      <c r="N145" s="459"/>
      <c r="O145" s="459"/>
      <c r="P145" s="459"/>
      <c r="Q145" s="459"/>
    </row>
    <row r="146" spans="1:17" ht="14.25" x14ac:dyDescent="0.2">
      <c r="A146" s="459"/>
      <c r="B146" s="459"/>
      <c r="C146" s="459"/>
      <c r="D146" s="459"/>
      <c r="E146" s="459"/>
      <c r="F146" s="459"/>
      <c r="G146" s="459"/>
      <c r="H146" s="459"/>
      <c r="I146" s="459"/>
      <c r="J146" s="459"/>
      <c r="K146" s="459"/>
      <c r="L146" s="476"/>
      <c r="M146" s="460"/>
      <c r="N146" s="459"/>
      <c r="O146" s="459"/>
      <c r="P146" s="459"/>
      <c r="Q146" s="459"/>
    </row>
    <row r="147" spans="1:17" ht="14.25" x14ac:dyDescent="0.2">
      <c r="A147" s="459"/>
      <c r="B147" s="459"/>
      <c r="C147" s="459"/>
      <c r="D147" s="459"/>
      <c r="E147" s="459"/>
      <c r="F147" s="459"/>
      <c r="G147" s="459"/>
      <c r="H147" s="459"/>
      <c r="I147" s="459"/>
      <c r="J147" s="459"/>
      <c r="K147" s="459"/>
      <c r="L147" s="476"/>
      <c r="M147" s="460"/>
      <c r="N147" s="459"/>
      <c r="O147" s="459"/>
      <c r="P147" s="459"/>
      <c r="Q147" s="459"/>
    </row>
    <row r="148" spans="1:17" ht="14.25" x14ac:dyDescent="0.2">
      <c r="A148" s="459"/>
      <c r="B148" s="459"/>
      <c r="C148" s="459"/>
      <c r="D148" s="459"/>
      <c r="E148" s="459"/>
      <c r="F148" s="459"/>
      <c r="G148" s="459"/>
      <c r="H148" s="459"/>
      <c r="I148" s="459"/>
      <c r="J148" s="459"/>
      <c r="K148" s="459"/>
      <c r="L148" s="476"/>
      <c r="M148" s="460"/>
      <c r="N148" s="459"/>
      <c r="O148" s="459"/>
      <c r="P148" s="459"/>
      <c r="Q148" s="459"/>
    </row>
    <row r="149" spans="1:17" ht="14.25" x14ac:dyDescent="0.2">
      <c r="A149" s="459"/>
      <c r="B149" s="459"/>
      <c r="C149" s="459"/>
      <c r="D149" s="459"/>
      <c r="E149" s="459"/>
      <c r="F149" s="459"/>
      <c r="G149" s="459"/>
      <c r="H149" s="459"/>
      <c r="I149" s="459"/>
      <c r="J149" s="459"/>
      <c r="K149" s="459"/>
      <c r="L149" s="476"/>
      <c r="M149" s="460"/>
      <c r="N149" s="459"/>
      <c r="O149" s="459"/>
      <c r="P149" s="459"/>
      <c r="Q149" s="459"/>
    </row>
    <row r="150" spans="1:17" ht="14.25" x14ac:dyDescent="0.2">
      <c r="A150" s="459"/>
      <c r="B150" s="459"/>
      <c r="C150" s="459"/>
      <c r="D150" s="459"/>
      <c r="E150" s="459"/>
      <c r="F150" s="459"/>
      <c r="G150" s="459"/>
      <c r="H150" s="459"/>
      <c r="I150" s="459"/>
      <c r="J150" s="459"/>
      <c r="K150" s="459"/>
      <c r="L150" s="476"/>
      <c r="M150" s="460"/>
      <c r="N150" s="459"/>
      <c r="O150" s="459"/>
      <c r="P150" s="459"/>
      <c r="Q150" s="459"/>
    </row>
    <row r="151" spans="1:17" ht="14.25" x14ac:dyDescent="0.2">
      <c r="A151" s="459"/>
      <c r="B151" s="459"/>
      <c r="C151" s="459"/>
      <c r="D151" s="459"/>
      <c r="E151" s="459"/>
      <c r="F151" s="459"/>
      <c r="G151" s="459"/>
      <c r="H151" s="459"/>
      <c r="I151" s="459"/>
      <c r="J151" s="459"/>
      <c r="K151" s="459"/>
      <c r="L151" s="476"/>
      <c r="M151" s="460"/>
      <c r="N151" s="459"/>
      <c r="O151" s="459"/>
      <c r="P151" s="459"/>
      <c r="Q151" s="459"/>
    </row>
    <row r="152" spans="1:17" ht="14.25" x14ac:dyDescent="0.2">
      <c r="A152" s="459"/>
      <c r="B152" s="459"/>
      <c r="C152" s="459"/>
      <c r="D152" s="459"/>
      <c r="E152" s="459"/>
      <c r="F152" s="459"/>
      <c r="G152" s="459"/>
      <c r="H152" s="459"/>
      <c r="I152" s="459"/>
      <c r="J152" s="459"/>
      <c r="K152" s="459"/>
      <c r="L152" s="476"/>
      <c r="M152" s="460"/>
      <c r="N152" s="459"/>
      <c r="O152" s="459"/>
      <c r="P152" s="459"/>
      <c r="Q152" s="459"/>
    </row>
    <row r="153" spans="1:17" ht="14.25" x14ac:dyDescent="0.2">
      <c r="A153" s="459"/>
      <c r="B153" s="459"/>
      <c r="C153" s="459"/>
      <c r="D153" s="459"/>
      <c r="E153" s="459"/>
      <c r="F153" s="459"/>
      <c r="G153" s="459"/>
      <c r="H153" s="459"/>
      <c r="I153" s="459"/>
      <c r="J153" s="459"/>
      <c r="K153" s="459"/>
      <c r="L153" s="476"/>
      <c r="M153" s="460"/>
      <c r="N153" s="459"/>
      <c r="O153" s="459"/>
      <c r="P153" s="459"/>
      <c r="Q153" s="459"/>
    </row>
    <row r="154" spans="1:17" ht="14.25" x14ac:dyDescent="0.2">
      <c r="A154" s="459"/>
      <c r="B154" s="459"/>
      <c r="C154" s="459"/>
      <c r="D154" s="459"/>
      <c r="E154" s="459"/>
      <c r="F154" s="459"/>
      <c r="G154" s="459"/>
      <c r="H154" s="459"/>
      <c r="I154" s="459"/>
      <c r="J154" s="459"/>
      <c r="K154" s="459"/>
      <c r="L154" s="476"/>
      <c r="M154" s="460"/>
      <c r="N154" s="459"/>
      <c r="O154" s="459"/>
      <c r="P154" s="459"/>
      <c r="Q154" s="459"/>
    </row>
    <row r="155" spans="1:17" ht="14.25" x14ac:dyDescent="0.2">
      <c r="A155" s="459"/>
      <c r="B155" s="459"/>
      <c r="C155" s="459"/>
      <c r="D155" s="459"/>
      <c r="E155" s="459"/>
      <c r="F155" s="459"/>
      <c r="G155" s="459"/>
      <c r="H155" s="459"/>
      <c r="I155" s="459"/>
      <c r="J155" s="459"/>
      <c r="K155" s="459"/>
      <c r="L155" s="476"/>
      <c r="M155" s="460"/>
      <c r="N155" s="459"/>
      <c r="O155" s="459"/>
      <c r="P155" s="459"/>
      <c r="Q155" s="459"/>
    </row>
    <row r="156" spans="1:17" ht="14.25" x14ac:dyDescent="0.2">
      <c r="A156" s="459"/>
      <c r="B156" s="459"/>
      <c r="C156" s="459"/>
      <c r="D156" s="459"/>
      <c r="E156" s="459"/>
      <c r="F156" s="459"/>
      <c r="G156" s="459"/>
      <c r="H156" s="459"/>
      <c r="I156" s="459"/>
      <c r="J156" s="459"/>
      <c r="K156" s="459"/>
      <c r="L156" s="476"/>
      <c r="M156" s="460"/>
      <c r="N156" s="459"/>
      <c r="O156" s="459"/>
      <c r="P156" s="459"/>
      <c r="Q156" s="459"/>
    </row>
    <row r="157" spans="1:17" ht="14.25" x14ac:dyDescent="0.2">
      <c r="A157" s="459"/>
      <c r="B157" s="459"/>
      <c r="C157" s="459"/>
      <c r="D157" s="459"/>
      <c r="E157" s="459"/>
      <c r="F157" s="459"/>
      <c r="G157" s="459"/>
      <c r="H157" s="459"/>
      <c r="I157" s="459"/>
      <c r="J157" s="459"/>
      <c r="K157" s="459"/>
      <c r="L157" s="476"/>
      <c r="M157" s="460"/>
      <c r="N157" s="459"/>
      <c r="O157" s="459"/>
      <c r="P157" s="459"/>
      <c r="Q157" s="459"/>
    </row>
    <row r="158" spans="1:17" ht="14.25" x14ac:dyDescent="0.2">
      <c r="A158" s="459"/>
      <c r="B158" s="459"/>
      <c r="C158" s="459"/>
      <c r="D158" s="459"/>
      <c r="E158" s="459"/>
      <c r="F158" s="459"/>
      <c r="G158" s="459"/>
      <c r="H158" s="459"/>
      <c r="I158" s="459"/>
      <c r="J158" s="459"/>
      <c r="K158" s="459"/>
      <c r="L158" s="476"/>
      <c r="M158" s="460"/>
      <c r="N158" s="459"/>
      <c r="O158" s="459"/>
      <c r="P158" s="459"/>
      <c r="Q158" s="459"/>
    </row>
    <row r="159" spans="1:17" ht="14.25" x14ac:dyDescent="0.2">
      <c r="A159" s="459"/>
      <c r="B159" s="459"/>
      <c r="C159" s="459"/>
      <c r="D159" s="459"/>
      <c r="E159" s="459"/>
      <c r="F159" s="459"/>
      <c r="G159" s="459"/>
      <c r="H159" s="459"/>
      <c r="I159" s="459"/>
      <c r="J159" s="459"/>
      <c r="K159" s="459"/>
      <c r="L159" s="476"/>
      <c r="M159" s="460"/>
      <c r="N159" s="459"/>
      <c r="O159" s="459"/>
      <c r="P159" s="459"/>
      <c r="Q159" s="459"/>
    </row>
    <row r="160" spans="1:17" ht="14.25" x14ac:dyDescent="0.2">
      <c r="A160" s="459"/>
      <c r="B160" s="459"/>
      <c r="C160" s="459"/>
      <c r="D160" s="459"/>
      <c r="E160" s="459"/>
      <c r="F160" s="459"/>
      <c r="G160" s="459"/>
      <c r="H160" s="459"/>
      <c r="I160" s="459"/>
      <c r="J160" s="459"/>
      <c r="K160" s="459"/>
      <c r="L160" s="476"/>
      <c r="M160" s="460"/>
      <c r="N160" s="459"/>
      <c r="O160" s="459"/>
      <c r="P160" s="459"/>
      <c r="Q160" s="459"/>
    </row>
    <row r="161" spans="1:17" ht="14.25" x14ac:dyDescent="0.2">
      <c r="A161" s="459"/>
      <c r="B161" s="459"/>
      <c r="C161" s="459"/>
      <c r="D161" s="459"/>
      <c r="E161" s="459"/>
      <c r="F161" s="459"/>
      <c r="G161" s="459"/>
      <c r="H161" s="459"/>
      <c r="I161" s="459"/>
      <c r="J161" s="459"/>
      <c r="K161" s="459"/>
      <c r="L161" s="476"/>
      <c r="M161" s="460"/>
      <c r="N161" s="459"/>
      <c r="O161" s="459"/>
      <c r="P161" s="459"/>
      <c r="Q161" s="459"/>
    </row>
    <row r="162" spans="1:17" ht="14.25" x14ac:dyDescent="0.2">
      <c r="A162" s="459"/>
      <c r="B162" s="459"/>
      <c r="C162" s="459"/>
      <c r="D162" s="459"/>
      <c r="E162" s="459"/>
      <c r="F162" s="459"/>
      <c r="G162" s="459"/>
      <c r="H162" s="459"/>
      <c r="I162" s="459"/>
      <c r="J162" s="459"/>
      <c r="K162" s="459"/>
      <c r="L162" s="476"/>
      <c r="M162" s="460"/>
      <c r="N162" s="459"/>
      <c r="O162" s="459"/>
      <c r="P162" s="459"/>
      <c r="Q162" s="459"/>
    </row>
    <row r="163" spans="1:17" ht="14.25" x14ac:dyDescent="0.2">
      <c r="A163" s="459"/>
      <c r="B163" s="459"/>
      <c r="C163" s="459"/>
      <c r="D163" s="459"/>
      <c r="E163" s="459"/>
      <c r="F163" s="459"/>
      <c r="G163" s="459"/>
      <c r="H163" s="459"/>
      <c r="I163" s="459"/>
      <c r="J163" s="459"/>
      <c r="K163" s="459"/>
      <c r="L163" s="476"/>
      <c r="M163" s="460"/>
      <c r="N163" s="459"/>
      <c r="O163" s="459"/>
      <c r="P163" s="459"/>
      <c r="Q163" s="459"/>
    </row>
    <row r="164" spans="1:17" ht="14.25" x14ac:dyDescent="0.2">
      <c r="A164" s="459"/>
      <c r="B164" s="459"/>
      <c r="C164" s="459"/>
      <c r="D164" s="459"/>
      <c r="E164" s="459"/>
      <c r="F164" s="459"/>
      <c r="G164" s="459"/>
      <c r="H164" s="459"/>
      <c r="I164" s="459"/>
      <c r="J164" s="459"/>
      <c r="K164" s="459"/>
      <c r="L164" s="476"/>
      <c r="M164" s="460"/>
      <c r="N164" s="459"/>
      <c r="O164" s="459"/>
      <c r="P164" s="459"/>
      <c r="Q164" s="459"/>
    </row>
    <row r="165" spans="1:17" ht="14.25" x14ac:dyDescent="0.2">
      <c r="A165" s="459"/>
      <c r="B165" s="459"/>
      <c r="C165" s="459"/>
      <c r="D165" s="459"/>
      <c r="E165" s="459"/>
      <c r="F165" s="459"/>
      <c r="G165" s="459"/>
      <c r="H165" s="459"/>
      <c r="I165" s="459"/>
      <c r="J165" s="459"/>
      <c r="K165" s="459"/>
      <c r="L165" s="476"/>
      <c r="M165" s="460"/>
      <c r="N165" s="459"/>
      <c r="O165" s="459"/>
      <c r="P165" s="459"/>
      <c r="Q165" s="459"/>
    </row>
    <row r="166" spans="1:17" ht="14.25" x14ac:dyDescent="0.2">
      <c r="A166" s="459"/>
      <c r="B166" s="459"/>
      <c r="C166" s="459"/>
      <c r="D166" s="459"/>
      <c r="E166" s="459"/>
      <c r="F166" s="459"/>
      <c r="G166" s="459"/>
      <c r="H166" s="459"/>
      <c r="I166" s="459"/>
      <c r="J166" s="459"/>
      <c r="K166" s="459"/>
      <c r="L166" s="476"/>
      <c r="M166" s="460"/>
      <c r="N166" s="459"/>
      <c r="O166" s="459"/>
      <c r="P166" s="459"/>
      <c r="Q166" s="459"/>
    </row>
    <row r="167" spans="1:17" ht="14.25" x14ac:dyDescent="0.2">
      <c r="A167" s="459"/>
      <c r="B167" s="459"/>
      <c r="C167" s="459"/>
      <c r="D167" s="459"/>
      <c r="E167" s="459"/>
      <c r="F167" s="459"/>
      <c r="G167" s="459"/>
      <c r="H167" s="459"/>
      <c r="I167" s="459"/>
      <c r="J167" s="459"/>
      <c r="K167" s="459"/>
      <c r="L167" s="476"/>
      <c r="M167" s="460"/>
      <c r="N167" s="459"/>
      <c r="O167" s="459"/>
      <c r="P167" s="459"/>
      <c r="Q167" s="459"/>
    </row>
    <row r="168" spans="1:17" ht="14.25" x14ac:dyDescent="0.2">
      <c r="A168" s="459"/>
      <c r="B168" s="459"/>
      <c r="C168" s="459"/>
      <c r="D168" s="459"/>
      <c r="E168" s="459"/>
      <c r="F168" s="459"/>
      <c r="G168" s="459"/>
      <c r="H168" s="459"/>
      <c r="I168" s="459"/>
      <c r="J168" s="459"/>
      <c r="K168" s="459"/>
      <c r="L168" s="476"/>
      <c r="M168" s="460"/>
      <c r="N168" s="459"/>
      <c r="O168" s="459"/>
      <c r="P168" s="459"/>
      <c r="Q168" s="459"/>
    </row>
    <row r="169" spans="1:17" ht="14.25" x14ac:dyDescent="0.2">
      <c r="A169" s="459"/>
      <c r="B169" s="459"/>
      <c r="C169" s="459"/>
      <c r="D169" s="459"/>
      <c r="E169" s="459"/>
      <c r="F169" s="459"/>
      <c r="G169" s="459"/>
      <c r="H169" s="459"/>
      <c r="I169" s="459"/>
      <c r="J169" s="459"/>
      <c r="K169" s="459"/>
      <c r="L169" s="476"/>
      <c r="M169" s="460"/>
      <c r="N169" s="459"/>
      <c r="O169" s="459"/>
      <c r="P169" s="459"/>
      <c r="Q169" s="459"/>
    </row>
    <row r="170" spans="1:17" ht="14.25" x14ac:dyDescent="0.2">
      <c r="A170" s="459"/>
      <c r="B170" s="459"/>
      <c r="C170" s="459"/>
      <c r="D170" s="459"/>
      <c r="E170" s="459"/>
      <c r="F170" s="459"/>
      <c r="G170" s="459"/>
      <c r="H170" s="459"/>
      <c r="I170" s="459"/>
      <c r="J170" s="459"/>
      <c r="K170" s="459"/>
      <c r="L170" s="476"/>
      <c r="M170" s="460"/>
      <c r="N170" s="459"/>
      <c r="O170" s="459"/>
      <c r="P170" s="459"/>
      <c r="Q170" s="459"/>
    </row>
    <row r="171" spans="1:17" ht="14.25" x14ac:dyDescent="0.2">
      <c r="A171" s="459"/>
      <c r="B171" s="459"/>
      <c r="C171" s="459"/>
      <c r="D171" s="459"/>
      <c r="E171" s="459"/>
      <c r="F171" s="459"/>
      <c r="G171" s="459"/>
      <c r="H171" s="459"/>
      <c r="I171" s="459"/>
      <c r="J171" s="459"/>
      <c r="K171" s="459"/>
      <c r="L171" s="476"/>
      <c r="M171" s="460"/>
      <c r="N171" s="459"/>
      <c r="O171" s="459"/>
      <c r="P171" s="459"/>
      <c r="Q171" s="459"/>
    </row>
    <row r="172" spans="1:17" ht="14.25" x14ac:dyDescent="0.2">
      <c r="A172" s="459"/>
      <c r="B172" s="459"/>
      <c r="C172" s="459"/>
      <c r="D172" s="459"/>
      <c r="E172" s="459"/>
      <c r="F172" s="459"/>
      <c r="G172" s="459"/>
      <c r="H172" s="459"/>
      <c r="I172" s="459"/>
      <c r="J172" s="459"/>
      <c r="K172" s="459"/>
      <c r="L172" s="476"/>
      <c r="M172" s="460"/>
      <c r="N172" s="459"/>
      <c r="O172" s="459"/>
      <c r="P172" s="459"/>
      <c r="Q172" s="459"/>
    </row>
    <row r="173" spans="1:17" ht="14.25" x14ac:dyDescent="0.2">
      <c r="A173" s="459"/>
      <c r="B173" s="459"/>
      <c r="C173" s="459"/>
      <c r="D173" s="459"/>
      <c r="E173" s="459"/>
      <c r="F173" s="459"/>
      <c r="G173" s="459"/>
      <c r="H173" s="459"/>
      <c r="I173" s="459"/>
      <c r="J173" s="459"/>
      <c r="K173" s="459"/>
      <c r="L173" s="476"/>
      <c r="M173" s="460"/>
      <c r="N173" s="459"/>
      <c r="O173" s="459"/>
      <c r="P173" s="459"/>
      <c r="Q173" s="459"/>
    </row>
    <row r="174" spans="1:17" ht="14.25" x14ac:dyDescent="0.2">
      <c r="A174" s="459"/>
      <c r="B174" s="459"/>
      <c r="C174" s="459"/>
      <c r="D174" s="459"/>
      <c r="E174" s="459"/>
      <c r="F174" s="459"/>
      <c r="G174" s="459"/>
      <c r="H174" s="459"/>
      <c r="I174" s="459"/>
      <c r="J174" s="459"/>
      <c r="K174" s="459"/>
      <c r="L174" s="476"/>
      <c r="M174" s="460"/>
      <c r="N174" s="459"/>
      <c r="O174" s="459"/>
      <c r="P174" s="459"/>
      <c r="Q174" s="459"/>
    </row>
    <row r="175" spans="1:17" ht="14.25" x14ac:dyDescent="0.2">
      <c r="A175" s="459"/>
      <c r="B175" s="459"/>
      <c r="C175" s="459"/>
      <c r="D175" s="459"/>
      <c r="E175" s="459"/>
      <c r="F175" s="459"/>
      <c r="G175" s="459"/>
      <c r="H175" s="459"/>
      <c r="I175" s="459"/>
      <c r="J175" s="459"/>
      <c r="K175" s="459"/>
      <c r="L175" s="476"/>
      <c r="M175" s="460"/>
      <c r="N175" s="459"/>
      <c r="O175" s="459"/>
      <c r="P175" s="459"/>
      <c r="Q175" s="459"/>
    </row>
    <row r="176" spans="1:17" ht="14.25" x14ac:dyDescent="0.2">
      <c r="A176" s="459"/>
      <c r="B176" s="459"/>
      <c r="C176" s="459"/>
      <c r="D176" s="459"/>
      <c r="E176" s="459"/>
      <c r="F176" s="459"/>
      <c r="G176" s="459"/>
      <c r="H176" s="459"/>
      <c r="I176" s="459"/>
      <c r="J176" s="459"/>
      <c r="K176" s="459"/>
      <c r="L176" s="476"/>
      <c r="M176" s="460"/>
      <c r="N176" s="459"/>
      <c r="O176" s="459"/>
      <c r="P176" s="459"/>
      <c r="Q176" s="459"/>
    </row>
    <row r="177" spans="1:17" ht="14.25" x14ac:dyDescent="0.2">
      <c r="A177" s="459"/>
      <c r="B177" s="459"/>
      <c r="C177" s="459"/>
      <c r="D177" s="459"/>
      <c r="E177" s="459"/>
      <c r="F177" s="459"/>
      <c r="G177" s="459"/>
      <c r="H177" s="459"/>
      <c r="I177" s="459"/>
      <c r="J177" s="459"/>
      <c r="K177" s="459"/>
      <c r="L177" s="476"/>
      <c r="M177" s="460"/>
      <c r="N177" s="459"/>
      <c r="O177" s="459"/>
      <c r="P177" s="459"/>
      <c r="Q177" s="459"/>
    </row>
    <row r="178" spans="1:17" ht="14.25" x14ac:dyDescent="0.2">
      <c r="A178" s="459"/>
      <c r="B178" s="459"/>
      <c r="C178" s="459"/>
      <c r="D178" s="459"/>
      <c r="E178" s="459"/>
      <c r="F178" s="459"/>
      <c r="G178" s="459"/>
      <c r="H178" s="459"/>
      <c r="I178" s="459"/>
      <c r="J178" s="459"/>
      <c r="K178" s="459"/>
      <c r="L178" s="476"/>
      <c r="M178" s="460"/>
      <c r="N178" s="459"/>
      <c r="O178" s="459"/>
      <c r="P178" s="459"/>
      <c r="Q178" s="459"/>
    </row>
    <row r="179" spans="1:17" ht="14.25" x14ac:dyDescent="0.2">
      <c r="A179" s="459"/>
      <c r="B179" s="459"/>
      <c r="C179" s="459"/>
      <c r="D179" s="459"/>
      <c r="E179" s="459"/>
      <c r="F179" s="459"/>
      <c r="G179" s="459"/>
      <c r="H179" s="459"/>
      <c r="I179" s="459"/>
      <c r="J179" s="459"/>
      <c r="K179" s="459"/>
      <c r="L179" s="476"/>
      <c r="M179" s="460"/>
      <c r="N179" s="459"/>
      <c r="O179" s="459"/>
      <c r="P179" s="459"/>
      <c r="Q179" s="459"/>
    </row>
    <row r="180" spans="1:17" ht="14.25" x14ac:dyDescent="0.2">
      <c r="A180" s="459"/>
      <c r="B180" s="459"/>
      <c r="C180" s="459"/>
      <c r="D180" s="459"/>
      <c r="E180" s="459"/>
      <c r="F180" s="459"/>
      <c r="G180" s="459"/>
      <c r="H180" s="459"/>
      <c r="I180" s="459"/>
      <c r="J180" s="459"/>
      <c r="K180" s="459"/>
      <c r="L180" s="476"/>
      <c r="M180" s="460"/>
      <c r="N180" s="459"/>
      <c r="O180" s="459"/>
      <c r="P180" s="459"/>
      <c r="Q180" s="459"/>
    </row>
    <row r="181" spans="1:17" ht="14.25" x14ac:dyDescent="0.2">
      <c r="A181" s="459"/>
      <c r="B181" s="459"/>
      <c r="C181" s="459"/>
      <c r="D181" s="459"/>
      <c r="E181" s="459"/>
      <c r="F181" s="459"/>
      <c r="G181" s="459"/>
      <c r="H181" s="459"/>
      <c r="I181" s="459"/>
      <c r="J181" s="459"/>
      <c r="K181" s="459"/>
      <c r="L181" s="476"/>
      <c r="M181" s="460"/>
      <c r="N181" s="459"/>
      <c r="O181" s="459"/>
      <c r="P181" s="459"/>
      <c r="Q181" s="459"/>
    </row>
    <row r="182" spans="1:17" ht="14.25" x14ac:dyDescent="0.2">
      <c r="A182" s="459"/>
      <c r="B182" s="459"/>
      <c r="C182" s="459"/>
      <c r="D182" s="459"/>
      <c r="E182" s="459"/>
      <c r="F182" s="459"/>
      <c r="G182" s="459"/>
      <c r="H182" s="459"/>
      <c r="I182" s="459"/>
      <c r="J182" s="459"/>
      <c r="K182" s="459"/>
      <c r="L182" s="476"/>
      <c r="M182" s="460"/>
      <c r="N182" s="459"/>
      <c r="O182" s="459"/>
      <c r="P182" s="459"/>
      <c r="Q182" s="459"/>
    </row>
    <row r="183" spans="1:17" ht="14.25" x14ac:dyDescent="0.2">
      <c r="A183" s="459"/>
      <c r="B183" s="459"/>
      <c r="C183" s="459"/>
      <c r="D183" s="459"/>
      <c r="E183" s="459"/>
      <c r="F183" s="459"/>
      <c r="G183" s="459"/>
      <c r="H183" s="459"/>
      <c r="I183" s="459"/>
      <c r="J183" s="459"/>
      <c r="K183" s="459"/>
      <c r="L183" s="476"/>
      <c r="M183" s="460"/>
      <c r="N183" s="459"/>
      <c r="O183" s="459"/>
      <c r="P183" s="459"/>
      <c r="Q183" s="459"/>
    </row>
    <row r="184" spans="1:17" ht="14.25" x14ac:dyDescent="0.2">
      <c r="A184" s="459"/>
      <c r="B184" s="459"/>
      <c r="C184" s="459"/>
      <c r="D184" s="459"/>
      <c r="E184" s="459"/>
      <c r="F184" s="459"/>
      <c r="G184" s="459"/>
      <c r="H184" s="459"/>
      <c r="I184" s="459"/>
      <c r="J184" s="459"/>
      <c r="K184" s="459"/>
      <c r="L184" s="476"/>
      <c r="M184" s="460"/>
      <c r="N184" s="459"/>
      <c r="O184" s="459"/>
      <c r="P184" s="459"/>
      <c r="Q184" s="459"/>
    </row>
    <row r="185" spans="1:17" ht="14.25" x14ac:dyDescent="0.2">
      <c r="A185" s="459"/>
      <c r="B185" s="459"/>
      <c r="C185" s="459"/>
      <c r="D185" s="459"/>
      <c r="E185" s="459"/>
      <c r="F185" s="459"/>
      <c r="G185" s="459"/>
      <c r="H185" s="459"/>
      <c r="I185" s="459"/>
      <c r="J185" s="459"/>
      <c r="K185" s="459"/>
      <c r="L185" s="476"/>
      <c r="M185" s="460"/>
      <c r="N185" s="459"/>
      <c r="O185" s="459"/>
      <c r="P185" s="459"/>
      <c r="Q185" s="459"/>
    </row>
    <row r="186" spans="1:17" ht="14.25" x14ac:dyDescent="0.2">
      <c r="A186" s="459"/>
      <c r="B186" s="459"/>
      <c r="C186" s="459"/>
      <c r="D186" s="459"/>
      <c r="E186" s="459"/>
      <c r="F186" s="459"/>
      <c r="G186" s="459"/>
      <c r="H186" s="459"/>
      <c r="I186" s="459"/>
      <c r="J186" s="459"/>
      <c r="K186" s="459"/>
      <c r="L186" s="476"/>
      <c r="M186" s="460"/>
      <c r="N186" s="459"/>
      <c r="O186" s="459"/>
      <c r="P186" s="459"/>
      <c r="Q186" s="459"/>
    </row>
    <row r="187" spans="1:17" ht="14.25" x14ac:dyDescent="0.2">
      <c r="A187" s="459"/>
      <c r="B187" s="459"/>
      <c r="C187" s="459"/>
      <c r="D187" s="459"/>
      <c r="E187" s="459"/>
      <c r="F187" s="459"/>
      <c r="G187" s="459"/>
      <c r="H187" s="459"/>
      <c r="I187" s="459"/>
      <c r="J187" s="459"/>
      <c r="K187" s="459"/>
      <c r="L187" s="476"/>
      <c r="M187" s="460"/>
      <c r="N187" s="459"/>
      <c r="O187" s="459"/>
      <c r="P187" s="459"/>
      <c r="Q187" s="459"/>
    </row>
    <row r="188" spans="1:17" ht="14.25" x14ac:dyDescent="0.2">
      <c r="A188" s="459"/>
      <c r="B188" s="459"/>
      <c r="C188" s="459"/>
      <c r="D188" s="459"/>
      <c r="E188" s="459"/>
      <c r="F188" s="459"/>
      <c r="G188" s="459"/>
      <c r="H188" s="459"/>
      <c r="I188" s="459"/>
      <c r="J188" s="459"/>
      <c r="K188" s="459"/>
      <c r="L188" s="476"/>
      <c r="M188" s="460"/>
      <c r="N188" s="459"/>
      <c r="O188" s="459"/>
      <c r="P188" s="459"/>
      <c r="Q188" s="459"/>
    </row>
    <row r="189" spans="1:17" ht="14.25" x14ac:dyDescent="0.2">
      <c r="A189" s="459"/>
      <c r="B189" s="459"/>
      <c r="C189" s="459"/>
      <c r="D189" s="459"/>
      <c r="E189" s="459"/>
      <c r="F189" s="459"/>
      <c r="G189" s="459"/>
      <c r="H189" s="459"/>
      <c r="I189" s="459"/>
      <c r="J189" s="459"/>
      <c r="K189" s="459"/>
      <c r="L189" s="476"/>
      <c r="M189" s="460"/>
      <c r="N189" s="459"/>
      <c r="O189" s="459"/>
      <c r="P189" s="459"/>
      <c r="Q189" s="459"/>
    </row>
    <row r="190" spans="1:17" ht="14.25" x14ac:dyDescent="0.2">
      <c r="A190" s="459"/>
      <c r="B190" s="459"/>
      <c r="C190" s="459"/>
      <c r="D190" s="459"/>
      <c r="E190" s="459"/>
      <c r="F190" s="459"/>
      <c r="G190" s="459"/>
      <c r="H190" s="459"/>
      <c r="I190" s="459"/>
      <c r="J190" s="459"/>
      <c r="K190" s="459"/>
      <c r="L190" s="476"/>
      <c r="M190" s="460"/>
      <c r="N190" s="459"/>
      <c r="O190" s="459"/>
      <c r="P190" s="459"/>
      <c r="Q190" s="459"/>
    </row>
    <row r="191" spans="1:17" ht="14.25" x14ac:dyDescent="0.2">
      <c r="A191" s="459"/>
      <c r="B191" s="459"/>
      <c r="C191" s="459"/>
      <c r="D191" s="459"/>
      <c r="E191" s="459"/>
      <c r="F191" s="459"/>
      <c r="G191" s="459"/>
      <c r="H191" s="459"/>
      <c r="I191" s="459"/>
      <c r="J191" s="459"/>
      <c r="K191" s="459"/>
      <c r="L191" s="476"/>
      <c r="M191" s="460"/>
      <c r="N191" s="459"/>
      <c r="O191" s="459"/>
      <c r="P191" s="459"/>
      <c r="Q191" s="459"/>
    </row>
    <row r="192" spans="1:17" ht="14.25" x14ac:dyDescent="0.2">
      <c r="A192" s="459"/>
      <c r="B192" s="459"/>
      <c r="C192" s="459"/>
      <c r="D192" s="459"/>
      <c r="E192" s="459"/>
      <c r="F192" s="459"/>
      <c r="G192" s="459"/>
      <c r="H192" s="459"/>
      <c r="I192" s="459"/>
      <c r="J192" s="459"/>
      <c r="K192" s="459"/>
      <c r="L192" s="476"/>
      <c r="M192" s="460"/>
      <c r="N192" s="459"/>
      <c r="O192" s="459"/>
      <c r="P192" s="459"/>
      <c r="Q192" s="459"/>
    </row>
    <row r="193" spans="1:17" ht="14.25" x14ac:dyDescent="0.2">
      <c r="A193" s="459"/>
      <c r="B193" s="459"/>
      <c r="C193" s="459"/>
      <c r="D193" s="459"/>
      <c r="E193" s="459"/>
      <c r="F193" s="459"/>
      <c r="G193" s="459"/>
      <c r="H193" s="459"/>
      <c r="I193" s="459"/>
      <c r="J193" s="459"/>
      <c r="K193" s="459"/>
      <c r="L193" s="476"/>
      <c r="M193" s="460"/>
      <c r="N193" s="459"/>
      <c r="O193" s="459"/>
      <c r="P193" s="459"/>
      <c r="Q193" s="459"/>
    </row>
    <row r="194" spans="1:17" ht="14.25" x14ac:dyDescent="0.2">
      <c r="A194" s="459"/>
      <c r="B194" s="459"/>
      <c r="C194" s="459"/>
      <c r="D194" s="459"/>
      <c r="E194" s="459"/>
      <c r="F194" s="459"/>
      <c r="G194" s="459"/>
      <c r="H194" s="459"/>
      <c r="I194" s="459"/>
      <c r="J194" s="459"/>
      <c r="K194" s="459"/>
      <c r="L194" s="476"/>
      <c r="M194" s="460"/>
      <c r="N194" s="459"/>
      <c r="O194" s="459"/>
      <c r="P194" s="459"/>
      <c r="Q194" s="459"/>
    </row>
    <row r="195" spans="1:17" ht="14.25" x14ac:dyDescent="0.2">
      <c r="A195" s="459"/>
      <c r="B195" s="459"/>
      <c r="C195" s="459"/>
      <c r="D195" s="459"/>
      <c r="E195" s="459"/>
      <c r="F195" s="459"/>
      <c r="G195" s="459"/>
      <c r="H195" s="459"/>
      <c r="I195" s="459"/>
      <c r="J195" s="459"/>
      <c r="K195" s="459"/>
      <c r="L195" s="476"/>
      <c r="M195" s="460"/>
      <c r="N195" s="459"/>
      <c r="O195" s="459"/>
      <c r="P195" s="459"/>
      <c r="Q195" s="459"/>
    </row>
    <row r="196" spans="1:17" ht="14.25" x14ac:dyDescent="0.2">
      <c r="A196" s="459"/>
      <c r="B196" s="459"/>
      <c r="C196" s="459"/>
      <c r="D196" s="459"/>
      <c r="E196" s="459"/>
      <c r="F196" s="459"/>
      <c r="G196" s="459"/>
      <c r="H196" s="459"/>
      <c r="I196" s="459"/>
      <c r="J196" s="459"/>
      <c r="K196" s="459"/>
      <c r="L196" s="476"/>
      <c r="M196" s="460"/>
      <c r="N196" s="459"/>
      <c r="O196" s="459"/>
      <c r="P196" s="459"/>
      <c r="Q196" s="459"/>
    </row>
    <row r="197" spans="1:17" ht="14.25" x14ac:dyDescent="0.2">
      <c r="A197" s="459"/>
      <c r="B197" s="459"/>
      <c r="C197" s="459"/>
      <c r="D197" s="459"/>
      <c r="E197" s="459"/>
      <c r="F197" s="459"/>
      <c r="G197" s="459"/>
      <c r="H197" s="459"/>
      <c r="I197" s="459"/>
      <c r="J197" s="459"/>
      <c r="K197" s="459"/>
      <c r="L197" s="476"/>
      <c r="M197" s="460"/>
      <c r="N197" s="459"/>
      <c r="O197" s="459"/>
      <c r="P197" s="459"/>
      <c r="Q197" s="459"/>
    </row>
    <row r="198" spans="1:17" ht="14.25" x14ac:dyDescent="0.2">
      <c r="A198" s="459"/>
      <c r="B198" s="459"/>
      <c r="C198" s="459"/>
      <c r="D198" s="459"/>
      <c r="E198" s="459"/>
      <c r="F198" s="459"/>
      <c r="G198" s="459"/>
      <c r="H198" s="459"/>
      <c r="I198" s="459"/>
      <c r="J198" s="459"/>
      <c r="K198" s="459"/>
      <c r="L198" s="476"/>
      <c r="M198" s="460"/>
      <c r="N198" s="459"/>
      <c r="O198" s="459"/>
      <c r="P198" s="459"/>
      <c r="Q198" s="459"/>
    </row>
    <row r="199" spans="1:17" ht="14.25" x14ac:dyDescent="0.2">
      <c r="A199" s="459"/>
      <c r="B199" s="459"/>
      <c r="C199" s="459"/>
      <c r="D199" s="459"/>
      <c r="E199" s="459"/>
      <c r="F199" s="459"/>
      <c r="G199" s="459"/>
      <c r="H199" s="459"/>
      <c r="I199" s="459"/>
      <c r="J199" s="459"/>
      <c r="K199" s="459"/>
      <c r="L199" s="476"/>
      <c r="M199" s="460"/>
      <c r="N199" s="459"/>
      <c r="O199" s="459"/>
      <c r="P199" s="459"/>
      <c r="Q199" s="459"/>
    </row>
    <row r="200" spans="1:17" ht="14.25" x14ac:dyDescent="0.2">
      <c r="A200" s="459"/>
      <c r="B200" s="459"/>
      <c r="C200" s="459"/>
      <c r="D200" s="459"/>
      <c r="E200" s="459"/>
      <c r="F200" s="459"/>
      <c r="G200" s="459"/>
      <c r="H200" s="459"/>
      <c r="I200" s="459"/>
      <c r="J200" s="459"/>
      <c r="K200" s="459"/>
      <c r="L200" s="476"/>
      <c r="M200" s="460"/>
      <c r="N200" s="459"/>
      <c r="O200" s="459"/>
      <c r="P200" s="459"/>
      <c r="Q200" s="459"/>
    </row>
    <row r="201" spans="1:17" ht="14.25" x14ac:dyDescent="0.2">
      <c r="A201" s="459"/>
      <c r="B201" s="459"/>
      <c r="C201" s="459"/>
      <c r="D201" s="459"/>
      <c r="E201" s="459"/>
      <c r="F201" s="459"/>
      <c r="G201" s="459"/>
      <c r="H201" s="459"/>
      <c r="I201" s="459"/>
      <c r="J201" s="459"/>
      <c r="K201" s="459"/>
      <c r="L201" s="476"/>
      <c r="M201" s="460"/>
      <c r="N201" s="459"/>
      <c r="O201" s="459"/>
      <c r="P201" s="459"/>
      <c r="Q201" s="459"/>
    </row>
    <row r="202" spans="1:17" ht="14.25" x14ac:dyDescent="0.2">
      <c r="A202" s="459"/>
      <c r="B202" s="459"/>
      <c r="C202" s="459"/>
      <c r="D202" s="459"/>
      <c r="E202" s="459"/>
      <c r="F202" s="459"/>
      <c r="G202" s="459"/>
      <c r="H202" s="459"/>
      <c r="I202" s="459"/>
      <c r="J202" s="459"/>
      <c r="K202" s="459"/>
      <c r="L202" s="476"/>
      <c r="M202" s="460"/>
      <c r="N202" s="459"/>
      <c r="O202" s="459"/>
      <c r="P202" s="459"/>
      <c r="Q202" s="459"/>
    </row>
    <row r="203" spans="1:17" ht="14.25" x14ac:dyDescent="0.2">
      <c r="A203" s="459"/>
      <c r="B203" s="459"/>
      <c r="C203" s="459"/>
      <c r="D203" s="459"/>
      <c r="E203" s="459"/>
      <c r="F203" s="459"/>
      <c r="G203" s="459"/>
      <c r="H203" s="459"/>
      <c r="I203" s="459"/>
      <c r="J203" s="459"/>
      <c r="K203" s="459"/>
      <c r="L203" s="476"/>
      <c r="M203" s="460"/>
      <c r="N203" s="459"/>
      <c r="O203" s="459"/>
      <c r="P203" s="459"/>
      <c r="Q203" s="459"/>
    </row>
    <row r="204" spans="1:17" ht="14.25" x14ac:dyDescent="0.2">
      <c r="A204" s="459"/>
      <c r="B204" s="459"/>
      <c r="C204" s="459"/>
      <c r="D204" s="459"/>
      <c r="E204" s="459"/>
      <c r="F204" s="459"/>
      <c r="G204" s="459"/>
      <c r="H204" s="459"/>
      <c r="I204" s="459"/>
      <c r="J204" s="459"/>
      <c r="K204" s="459"/>
      <c r="L204" s="476"/>
      <c r="M204" s="460"/>
      <c r="N204" s="459"/>
      <c r="O204" s="459"/>
      <c r="P204" s="459"/>
      <c r="Q204" s="459"/>
    </row>
    <row r="205" spans="1:17" ht="14.25" x14ac:dyDescent="0.2">
      <c r="A205" s="459"/>
      <c r="B205" s="459"/>
      <c r="C205" s="459"/>
      <c r="D205" s="459"/>
      <c r="E205" s="459"/>
      <c r="F205" s="459"/>
      <c r="G205" s="459"/>
      <c r="H205" s="459"/>
      <c r="I205" s="459"/>
      <c r="J205" s="459"/>
      <c r="K205" s="459"/>
      <c r="L205" s="476"/>
      <c r="M205" s="460"/>
      <c r="N205" s="459"/>
      <c r="O205" s="459"/>
      <c r="P205" s="459"/>
      <c r="Q205" s="459"/>
    </row>
    <row r="206" spans="1:17" ht="14.25" x14ac:dyDescent="0.2">
      <c r="A206" s="459"/>
      <c r="B206" s="459"/>
      <c r="C206" s="459"/>
      <c r="D206" s="459"/>
      <c r="E206" s="459"/>
      <c r="F206" s="459"/>
      <c r="G206" s="459"/>
      <c r="H206" s="459"/>
      <c r="I206" s="459"/>
      <c r="J206" s="459"/>
      <c r="K206" s="459"/>
      <c r="L206" s="476"/>
      <c r="M206" s="460"/>
      <c r="N206" s="459"/>
      <c r="O206" s="459"/>
      <c r="P206" s="459"/>
      <c r="Q206" s="459"/>
    </row>
    <row r="207" spans="1:17" ht="14.25" x14ac:dyDescent="0.2">
      <c r="A207" s="459"/>
      <c r="B207" s="459"/>
      <c r="C207" s="459"/>
      <c r="D207" s="459"/>
      <c r="E207" s="459"/>
      <c r="F207" s="459"/>
      <c r="G207" s="459"/>
      <c r="H207" s="459"/>
      <c r="I207" s="459"/>
      <c r="J207" s="459"/>
      <c r="K207" s="459"/>
      <c r="L207" s="476"/>
      <c r="M207" s="460"/>
      <c r="N207" s="459"/>
      <c r="O207" s="459"/>
      <c r="P207" s="459"/>
      <c r="Q207" s="459"/>
    </row>
    <row r="208" spans="1:17" ht="14.25" x14ac:dyDescent="0.2">
      <c r="A208" s="459"/>
      <c r="B208" s="459"/>
      <c r="C208" s="459"/>
      <c r="D208" s="459"/>
      <c r="E208" s="459"/>
      <c r="F208" s="459"/>
      <c r="G208" s="459"/>
      <c r="H208" s="459"/>
      <c r="I208" s="459"/>
      <c r="J208" s="459"/>
      <c r="K208" s="459"/>
      <c r="L208" s="476"/>
      <c r="M208" s="460"/>
      <c r="N208" s="459"/>
      <c r="O208" s="459"/>
      <c r="P208" s="459"/>
      <c r="Q208" s="459"/>
    </row>
    <row r="209" spans="1:17" ht="14.25" x14ac:dyDescent="0.2">
      <c r="A209" s="459"/>
      <c r="B209" s="459"/>
      <c r="C209" s="459"/>
      <c r="D209" s="459"/>
      <c r="E209" s="459"/>
      <c r="F209" s="459"/>
      <c r="G209" s="459"/>
      <c r="H209" s="459"/>
      <c r="I209" s="459"/>
      <c r="J209" s="459"/>
      <c r="K209" s="459"/>
      <c r="L209" s="476"/>
      <c r="M209" s="460"/>
      <c r="N209" s="459"/>
      <c r="O209" s="459"/>
      <c r="P209" s="459"/>
      <c r="Q209" s="459"/>
    </row>
    <row r="210" spans="1:17" ht="14.25" x14ac:dyDescent="0.2">
      <c r="A210" s="459"/>
      <c r="B210" s="459"/>
      <c r="C210" s="459"/>
      <c r="D210" s="459"/>
      <c r="E210" s="459"/>
      <c r="F210" s="459"/>
      <c r="G210" s="459"/>
      <c r="H210" s="459"/>
      <c r="I210" s="459"/>
      <c r="J210" s="459"/>
      <c r="K210" s="459"/>
      <c r="L210" s="476"/>
      <c r="M210" s="460"/>
      <c r="N210" s="459"/>
      <c r="O210" s="459"/>
      <c r="P210" s="459"/>
      <c r="Q210" s="459"/>
    </row>
    <row r="211" spans="1:17" ht="14.25" x14ac:dyDescent="0.2">
      <c r="A211" s="459"/>
      <c r="B211" s="459"/>
      <c r="C211" s="459"/>
      <c r="D211" s="459"/>
      <c r="E211" s="459"/>
      <c r="F211" s="459"/>
      <c r="G211" s="459"/>
      <c r="H211" s="459"/>
      <c r="I211" s="459"/>
      <c r="J211" s="459"/>
      <c r="K211" s="459"/>
      <c r="L211" s="476"/>
      <c r="M211" s="460"/>
      <c r="N211" s="459"/>
      <c r="O211" s="459"/>
      <c r="P211" s="459"/>
      <c r="Q211" s="459"/>
    </row>
    <row r="212" spans="1:17" ht="14.25" x14ac:dyDescent="0.2">
      <c r="A212" s="459"/>
      <c r="B212" s="459"/>
      <c r="C212" s="459"/>
      <c r="D212" s="459"/>
      <c r="E212" s="459"/>
      <c r="F212" s="459"/>
      <c r="G212" s="459"/>
      <c r="H212" s="459"/>
      <c r="I212" s="459"/>
      <c r="J212" s="459"/>
      <c r="K212" s="459"/>
      <c r="L212" s="476"/>
      <c r="M212" s="460"/>
      <c r="N212" s="459"/>
      <c r="O212" s="459"/>
      <c r="P212" s="459"/>
      <c r="Q212" s="459"/>
    </row>
    <row r="213" spans="1:17" ht="14.25" x14ac:dyDescent="0.2">
      <c r="A213" s="459"/>
      <c r="B213" s="459"/>
      <c r="C213" s="459"/>
      <c r="D213" s="459"/>
      <c r="E213" s="459"/>
      <c r="F213" s="459"/>
      <c r="G213" s="459"/>
      <c r="H213" s="459"/>
      <c r="I213" s="459"/>
      <c r="J213" s="459"/>
      <c r="K213" s="459"/>
      <c r="L213" s="476"/>
      <c r="M213" s="460"/>
      <c r="N213" s="459"/>
      <c r="O213" s="459"/>
      <c r="P213" s="459"/>
      <c r="Q213" s="459"/>
    </row>
    <row r="214" spans="1:17" ht="14.25" x14ac:dyDescent="0.2">
      <c r="A214" s="459"/>
      <c r="B214" s="459"/>
      <c r="C214" s="459"/>
      <c r="D214" s="459"/>
      <c r="E214" s="459"/>
      <c r="F214" s="459"/>
      <c r="G214" s="459"/>
      <c r="H214" s="459"/>
      <c r="I214" s="459"/>
      <c r="J214" s="459"/>
      <c r="K214" s="459"/>
      <c r="L214" s="476"/>
      <c r="M214" s="460"/>
      <c r="N214" s="459"/>
      <c r="O214" s="459"/>
      <c r="P214" s="459"/>
      <c r="Q214" s="459"/>
    </row>
    <row r="215" spans="1:17" ht="14.25" x14ac:dyDescent="0.2">
      <c r="A215" s="459"/>
      <c r="B215" s="459"/>
      <c r="C215" s="459"/>
      <c r="D215" s="459"/>
      <c r="E215" s="459"/>
      <c r="F215" s="459"/>
      <c r="G215" s="459"/>
      <c r="H215" s="459"/>
      <c r="I215" s="459"/>
      <c r="J215" s="459"/>
      <c r="K215" s="459"/>
      <c r="L215" s="476"/>
      <c r="M215" s="460"/>
      <c r="N215" s="459"/>
      <c r="O215" s="459"/>
      <c r="P215" s="459"/>
      <c r="Q215" s="459"/>
    </row>
    <row r="216" spans="1:17" ht="14.25" x14ac:dyDescent="0.2">
      <c r="A216" s="459"/>
      <c r="B216" s="459"/>
      <c r="C216" s="459"/>
      <c r="D216" s="459"/>
      <c r="E216" s="459"/>
      <c r="F216" s="459"/>
      <c r="G216" s="459"/>
      <c r="H216" s="459"/>
      <c r="I216" s="459"/>
      <c r="J216" s="459"/>
      <c r="K216" s="459"/>
      <c r="L216" s="476"/>
      <c r="M216" s="460"/>
      <c r="N216" s="459"/>
      <c r="O216" s="459"/>
      <c r="P216" s="459"/>
      <c r="Q216" s="459"/>
    </row>
    <row r="217" spans="1:17" ht="14.25" x14ac:dyDescent="0.2">
      <c r="A217" s="459"/>
      <c r="B217" s="459"/>
      <c r="C217" s="459"/>
      <c r="D217" s="459"/>
      <c r="E217" s="459"/>
      <c r="F217" s="459"/>
      <c r="G217" s="459"/>
      <c r="H217" s="459"/>
      <c r="I217" s="459"/>
      <c r="J217" s="459"/>
      <c r="K217" s="459"/>
      <c r="L217" s="476"/>
      <c r="M217" s="460"/>
      <c r="N217" s="459"/>
      <c r="O217" s="459"/>
      <c r="P217" s="459"/>
      <c r="Q217" s="459"/>
    </row>
    <row r="218" spans="1:17" ht="14.25" x14ac:dyDescent="0.2">
      <c r="A218" s="459"/>
      <c r="B218" s="459"/>
      <c r="C218" s="459"/>
      <c r="D218" s="459"/>
      <c r="E218" s="459"/>
      <c r="F218" s="459"/>
      <c r="G218" s="459"/>
      <c r="H218" s="459"/>
      <c r="I218" s="459"/>
      <c r="J218" s="459"/>
      <c r="K218" s="459"/>
      <c r="L218" s="476"/>
      <c r="M218" s="460"/>
      <c r="N218" s="459"/>
      <c r="O218" s="459"/>
      <c r="P218" s="459"/>
      <c r="Q218" s="459"/>
    </row>
    <row r="219" spans="1:17" ht="14.25" x14ac:dyDescent="0.2">
      <c r="A219" s="459"/>
      <c r="B219" s="459"/>
      <c r="C219" s="459"/>
      <c r="D219" s="459"/>
      <c r="E219" s="459"/>
      <c r="F219" s="459"/>
      <c r="G219" s="459"/>
      <c r="H219" s="459"/>
      <c r="I219" s="459"/>
      <c r="J219" s="459"/>
      <c r="K219" s="459"/>
      <c r="L219" s="476"/>
      <c r="M219" s="460"/>
      <c r="N219" s="459"/>
      <c r="O219" s="459"/>
      <c r="P219" s="459"/>
      <c r="Q219" s="459"/>
    </row>
    <row r="220" spans="1:17" ht="14.25" x14ac:dyDescent="0.2">
      <c r="A220" s="459"/>
      <c r="B220" s="459"/>
      <c r="C220" s="459"/>
      <c r="D220" s="459"/>
      <c r="E220" s="459"/>
      <c r="F220" s="459"/>
      <c r="G220" s="459"/>
      <c r="H220" s="459"/>
      <c r="I220" s="459"/>
      <c r="J220" s="459"/>
      <c r="K220" s="459"/>
      <c r="L220" s="476"/>
      <c r="M220" s="460"/>
      <c r="N220" s="459"/>
      <c r="O220" s="459"/>
      <c r="P220" s="459"/>
      <c r="Q220" s="459"/>
    </row>
    <row r="221" spans="1:17" ht="14.25" x14ac:dyDescent="0.2">
      <c r="A221" s="459"/>
      <c r="B221" s="459"/>
      <c r="C221" s="459"/>
      <c r="D221" s="459"/>
      <c r="E221" s="459"/>
      <c r="F221" s="459"/>
      <c r="G221" s="459"/>
      <c r="H221" s="459"/>
      <c r="I221" s="459"/>
      <c r="J221" s="459"/>
      <c r="K221" s="459"/>
      <c r="L221" s="476"/>
      <c r="M221" s="460"/>
      <c r="N221" s="459"/>
      <c r="O221" s="459"/>
      <c r="P221" s="459"/>
      <c r="Q221" s="459"/>
    </row>
    <row r="222" spans="1:17" ht="14.25" x14ac:dyDescent="0.2">
      <c r="A222" s="459"/>
      <c r="B222" s="459"/>
      <c r="C222" s="459"/>
      <c r="D222" s="459"/>
      <c r="E222" s="459"/>
      <c r="F222" s="459"/>
      <c r="G222" s="459"/>
      <c r="H222" s="459"/>
      <c r="I222" s="459"/>
      <c r="J222" s="459"/>
      <c r="K222" s="459"/>
      <c r="L222" s="476"/>
      <c r="M222" s="460"/>
      <c r="N222" s="459"/>
      <c r="O222" s="459"/>
      <c r="P222" s="459"/>
      <c r="Q222" s="459"/>
    </row>
    <row r="223" spans="1:17" ht="14.25" x14ac:dyDescent="0.2">
      <c r="A223" s="459"/>
      <c r="B223" s="459"/>
      <c r="C223" s="459"/>
      <c r="D223" s="459"/>
      <c r="E223" s="459"/>
      <c r="F223" s="459"/>
      <c r="G223" s="459"/>
      <c r="H223" s="459"/>
      <c r="I223" s="459"/>
      <c r="J223" s="459"/>
      <c r="K223" s="459"/>
      <c r="L223" s="477"/>
      <c r="M223" s="459"/>
      <c r="N223" s="459"/>
      <c r="O223" s="459"/>
      <c r="P223" s="459"/>
      <c r="Q223" s="459"/>
    </row>
    <row r="224" spans="1:17" ht="14.25" x14ac:dyDescent="0.2">
      <c r="A224" s="459"/>
      <c r="B224" s="459"/>
      <c r="C224" s="459"/>
      <c r="D224" s="459"/>
      <c r="E224" s="459"/>
      <c r="F224" s="459"/>
      <c r="G224" s="459"/>
      <c r="H224" s="459"/>
      <c r="I224" s="459"/>
      <c r="J224" s="459"/>
      <c r="K224" s="459"/>
      <c r="L224" s="477"/>
      <c r="M224" s="459"/>
      <c r="N224" s="459"/>
      <c r="O224" s="459"/>
      <c r="P224" s="459"/>
      <c r="Q224" s="459"/>
    </row>
    <row r="225" spans="1:17" ht="14.25" x14ac:dyDescent="0.2">
      <c r="A225" s="459"/>
      <c r="B225" s="459"/>
      <c r="C225" s="459"/>
      <c r="D225" s="459"/>
      <c r="E225" s="459"/>
      <c r="F225" s="459"/>
      <c r="G225" s="459"/>
      <c r="H225" s="459"/>
      <c r="I225" s="459"/>
      <c r="J225" s="459"/>
      <c r="K225" s="459"/>
      <c r="L225" s="477"/>
      <c r="M225" s="459"/>
      <c r="N225" s="459"/>
      <c r="O225" s="459"/>
      <c r="P225" s="459"/>
      <c r="Q225" s="459"/>
    </row>
    <row r="226" spans="1:17" ht="14.25" x14ac:dyDescent="0.2">
      <c r="A226" s="459"/>
      <c r="B226" s="459"/>
      <c r="C226" s="459"/>
      <c r="D226" s="459"/>
      <c r="E226" s="459"/>
      <c r="F226" s="459"/>
      <c r="G226" s="459"/>
      <c r="H226" s="459"/>
      <c r="I226" s="459"/>
      <c r="J226" s="459"/>
      <c r="K226" s="459"/>
      <c r="L226" s="477"/>
      <c r="M226" s="459"/>
      <c r="N226" s="459"/>
      <c r="O226" s="459"/>
      <c r="P226" s="459"/>
      <c r="Q226" s="459"/>
    </row>
  </sheetData>
  <sheetProtection sheet="1" objects="1" scenarios="1"/>
  <sortState xmlns:xlrd2="http://schemas.microsoft.com/office/spreadsheetml/2017/richdata2" ref="A3:WVY76">
    <sortCondition descending="1" ref="G3:G76"/>
  </sortState>
  <conditionalFormatting sqref="C227:C65492 C1:C2 E1 G1 I1 K1 M1 O1 Q1">
    <cfRule type="duplicateValues" dxfId="5" priority="1"/>
    <cfRule type="duplicateValues" dxfId="4" priority="2"/>
  </conditionalFormatting>
  <pageMargins left="0.75" right="0.75" top="1" bottom="1" header="0.5" footer="0.5"/>
  <pageSetup scale="43" fitToWidth="2" fitToHeight="3" orientation="landscape"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41"/>
  </sheetPr>
  <dimension ref="A1:W111"/>
  <sheetViews>
    <sheetView showGridLines="0" zoomScaleNormal="100" workbookViewId="0">
      <selection activeCell="D5" sqref="D5"/>
    </sheetView>
  </sheetViews>
  <sheetFormatPr defaultRowHeight="12.75" x14ac:dyDescent="0.2"/>
  <cols>
    <col min="1" max="3" width="9.140625" style="104"/>
    <col min="4" max="4" width="9.7109375" style="104" bestFit="1" customWidth="1"/>
    <col min="5" max="5" width="9.140625" style="104"/>
    <col min="6" max="6" width="10.28515625" style="104" bestFit="1" customWidth="1"/>
    <col min="7" max="8" width="9.140625" style="104"/>
    <col min="9" max="10" width="9.140625" style="237"/>
    <col min="11" max="13" width="9.140625" style="104"/>
    <col min="14" max="14" width="10.42578125" style="104" bestFit="1" customWidth="1"/>
    <col min="15" max="15" width="9.140625" style="104"/>
    <col min="16" max="16" width="9.140625" style="105" customWidth="1"/>
    <col min="17" max="17" width="10.42578125" style="105" customWidth="1"/>
    <col min="18" max="20" width="9.140625" style="106" hidden="1" customWidth="1"/>
    <col min="21" max="21" width="9.85546875" style="108" hidden="1" customWidth="1"/>
    <col min="22" max="23" width="9.140625" style="108" hidden="1" customWidth="1"/>
    <col min="24" max="16384" width="9.140625" style="104"/>
  </cols>
  <sheetData>
    <row r="1" spans="1:23" ht="49.5" customHeight="1" x14ac:dyDescent="0.2">
      <c r="A1" s="587" t="s">
        <v>139</v>
      </c>
      <c r="B1" s="588"/>
      <c r="C1" s="588"/>
      <c r="D1" s="588"/>
      <c r="E1" s="588"/>
      <c r="F1" s="588"/>
      <c r="G1" s="588"/>
      <c r="H1" s="588"/>
      <c r="I1" s="588"/>
      <c r="J1" s="588"/>
      <c r="K1" s="588"/>
      <c r="L1" s="102"/>
      <c r="M1" s="102"/>
      <c r="N1" s="103">
        <v>2022</v>
      </c>
      <c r="R1" s="106" t="s">
        <v>112</v>
      </c>
      <c r="U1" s="106"/>
      <c r="V1" s="106"/>
      <c r="W1" s="106"/>
    </row>
    <row r="2" spans="1:23" ht="20.100000000000001" customHeight="1" thickBot="1" x14ac:dyDescent="0.25">
      <c r="A2" s="589" t="str">
        <f>CONCATENATE("Commitments Made in ",N1," Fiscal Year")</f>
        <v>Commitments Made in 2022 Fiscal Year</v>
      </c>
      <c r="B2" s="590"/>
      <c r="C2" s="590"/>
      <c r="D2" s="590"/>
      <c r="E2" s="590"/>
      <c r="F2" s="590"/>
      <c r="G2" s="590"/>
      <c r="H2" s="590"/>
      <c r="I2" s="590"/>
      <c r="J2" s="590"/>
      <c r="K2" s="590"/>
      <c r="L2" s="4"/>
      <c r="M2" s="4"/>
      <c r="N2" s="4"/>
      <c r="O2" s="4"/>
      <c r="P2" s="107"/>
      <c r="Q2" s="107"/>
    </row>
    <row r="3" spans="1:23" ht="30" customHeight="1" x14ac:dyDescent="0.2">
      <c r="A3" s="597" t="s">
        <v>683</v>
      </c>
      <c r="B3" s="598"/>
      <c r="C3" s="598"/>
      <c r="D3" s="598"/>
      <c r="E3" s="598"/>
      <c r="F3" s="598"/>
      <c r="G3" s="598"/>
      <c r="H3" s="598"/>
      <c r="I3" s="598"/>
      <c r="J3" s="598"/>
      <c r="K3" s="599"/>
      <c r="L3" s="109"/>
      <c r="M3" s="56"/>
      <c r="N3" s="83"/>
      <c r="O3" s="83"/>
      <c r="P3" s="56"/>
      <c r="Q3" s="83"/>
      <c r="R3" s="110"/>
      <c r="S3" s="110"/>
      <c r="T3" s="110"/>
    </row>
    <row r="4" spans="1:23" ht="30" customHeight="1" x14ac:dyDescent="0.2">
      <c r="A4" s="594" t="s">
        <v>137</v>
      </c>
      <c r="B4" s="595"/>
      <c r="C4" s="595"/>
      <c r="D4" s="595"/>
      <c r="E4" s="595"/>
      <c r="F4" s="595"/>
      <c r="G4" s="595"/>
      <c r="H4" s="595"/>
      <c r="I4" s="595"/>
      <c r="J4" s="595"/>
      <c r="K4" s="596"/>
      <c r="L4" s="109"/>
      <c r="M4" s="56"/>
      <c r="N4" s="83"/>
      <c r="O4" s="83"/>
      <c r="P4" s="56"/>
      <c r="Q4" s="83"/>
      <c r="R4" s="110"/>
      <c r="S4" s="110"/>
      <c r="T4" s="110"/>
    </row>
    <row r="5" spans="1:23" ht="41.25" customHeight="1" x14ac:dyDescent="0.2">
      <c r="A5" s="600" t="s">
        <v>138</v>
      </c>
      <c r="B5" s="601"/>
      <c r="C5" s="601"/>
      <c r="D5" s="111"/>
      <c r="E5" s="602"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This is the unique ID assigned to your System for the reporting of Capital Expenditures for a Health Care System.  Please click on the System ID link, select your ID from the list, and enter it here.</v>
      </c>
      <c r="F5" s="603"/>
      <c r="G5" s="603"/>
      <c r="H5" s="603"/>
      <c r="I5" s="603"/>
      <c r="J5" s="603"/>
      <c r="K5" s="604"/>
      <c r="L5" s="109"/>
      <c r="M5" s="56"/>
      <c r="N5" s="83"/>
      <c r="O5" s="83"/>
      <c r="P5" s="56"/>
      <c r="Q5" s="83"/>
      <c r="R5" s="110"/>
      <c r="S5" s="110"/>
      <c r="T5" s="110"/>
    </row>
    <row r="6" spans="1:23" ht="30" customHeight="1" x14ac:dyDescent="0.2">
      <c r="A6" s="556" t="s">
        <v>25</v>
      </c>
      <c r="B6" s="557"/>
      <c r="C6" s="557"/>
      <c r="D6" s="558" t="e">
        <f>VLOOKUP($D$5,ID_list,2,FALSE)</f>
        <v>#N/A</v>
      </c>
      <c r="E6" s="558"/>
      <c r="F6" s="558"/>
      <c r="G6" s="558"/>
      <c r="H6" s="112" t="s">
        <v>64</v>
      </c>
      <c r="I6" s="682" t="e">
        <f>VLOOKUP($D$5,ID_list,91,FALSE)</f>
        <v>#N/A</v>
      </c>
      <c r="J6" s="682"/>
      <c r="K6" s="683"/>
      <c r="L6" s="679" t="e">
        <f>IF(I6=0,"Please enter NPI."," ")</f>
        <v>#N/A</v>
      </c>
      <c r="M6" s="680"/>
      <c r="N6" s="680"/>
      <c r="O6" s="109"/>
      <c r="P6" s="56"/>
      <c r="Q6" s="83"/>
      <c r="R6" s="113"/>
      <c r="S6" s="114"/>
      <c r="T6" s="113"/>
      <c r="V6" s="113"/>
    </row>
    <row r="7" spans="1:23" ht="30" customHeight="1" x14ac:dyDescent="0.2">
      <c r="A7" s="612" t="s">
        <v>642</v>
      </c>
      <c r="B7" s="605" t="s">
        <v>49</v>
      </c>
      <c r="C7" s="606"/>
      <c r="D7" s="593" t="e">
        <f>CONCATENATE(VLOOKUP($D$5,ID_list,10,FALSE)," ",VLOOKUP($D$5,ID_list,11,FALSE))</f>
        <v>#N/A</v>
      </c>
      <c r="E7" s="593"/>
      <c r="F7" s="593"/>
      <c r="G7" s="593"/>
      <c r="H7" s="115" t="s">
        <v>278</v>
      </c>
      <c r="I7" s="686" t="e">
        <f>VLOOKUP($D$5,ID_list,99,FALSE)</f>
        <v>#N/A</v>
      </c>
      <c r="J7" s="687"/>
      <c r="K7" s="116"/>
      <c r="L7" s="117"/>
      <c r="M7" s="102"/>
      <c r="N7" s="685"/>
      <c r="O7" s="685"/>
      <c r="P7" s="685"/>
      <c r="Q7" s="118"/>
      <c r="R7" s="119" t="s">
        <v>0</v>
      </c>
      <c r="S7" s="102" t="e">
        <f>VLOOKUP($D$5,ID_list,92,FALSE)</f>
        <v>#N/A</v>
      </c>
      <c r="T7" s="113"/>
      <c r="U7" s="120"/>
      <c r="V7" s="113"/>
    </row>
    <row r="8" spans="1:23" ht="30" customHeight="1" x14ac:dyDescent="0.2">
      <c r="A8" s="613"/>
      <c r="B8" s="605" t="s">
        <v>50</v>
      </c>
      <c r="C8" s="606"/>
      <c r="D8" s="593" t="e">
        <f>VLOOKUP($D$5,ID_list,12,FALSE)</f>
        <v>#N/A</v>
      </c>
      <c r="E8" s="593"/>
      <c r="F8" s="593"/>
      <c r="G8" s="593"/>
      <c r="H8" s="607" t="s">
        <v>279</v>
      </c>
      <c r="I8" s="608"/>
      <c r="J8" s="608"/>
      <c r="K8" s="609"/>
      <c r="L8" s="117"/>
      <c r="M8" s="83"/>
      <c r="N8" s="685"/>
      <c r="O8" s="685"/>
      <c r="P8" s="685"/>
      <c r="Q8" s="109"/>
      <c r="R8" s="113"/>
      <c r="T8" s="113"/>
      <c r="V8" s="113"/>
    </row>
    <row r="9" spans="1:23" ht="30" customHeight="1" x14ac:dyDescent="0.2">
      <c r="A9" s="613"/>
      <c r="B9" s="605" t="s">
        <v>56</v>
      </c>
      <c r="C9" s="606"/>
      <c r="D9" s="593" t="e">
        <f>VLOOKUP($D$5,ID_list,13,FALSE)</f>
        <v>#N/A</v>
      </c>
      <c r="E9" s="593"/>
      <c r="F9" s="593"/>
      <c r="G9" s="593"/>
      <c r="H9" s="121"/>
      <c r="I9" s="122"/>
      <c r="J9" s="122"/>
      <c r="K9" s="123"/>
      <c r="L9" s="117"/>
      <c r="M9" s="83"/>
      <c r="N9" s="109"/>
      <c r="O9" s="109"/>
      <c r="P9" s="109"/>
      <c r="Q9" s="109"/>
      <c r="R9" s="113"/>
      <c r="S9" s="114"/>
      <c r="T9" s="113"/>
      <c r="V9" s="124"/>
    </row>
    <row r="10" spans="1:23" ht="30" customHeight="1" x14ac:dyDescent="0.2">
      <c r="A10" s="613"/>
      <c r="B10" s="605" t="s">
        <v>58</v>
      </c>
      <c r="C10" s="606"/>
      <c r="D10" s="593" t="e">
        <f>VLOOKUP($D$5,ID_list,14,FALSE)</f>
        <v>#N/A</v>
      </c>
      <c r="E10" s="593"/>
      <c r="F10" s="593"/>
      <c r="G10" s="593"/>
      <c r="H10" s="610"/>
      <c r="I10" s="610"/>
      <c r="J10" s="610"/>
      <c r="K10" s="611"/>
      <c r="L10" s="117"/>
      <c r="M10" s="83"/>
      <c r="N10" s="125"/>
      <c r="O10" s="109"/>
      <c r="P10" s="109"/>
      <c r="Q10" s="125"/>
      <c r="R10" s="113"/>
      <c r="S10" s="114"/>
      <c r="T10" s="113"/>
    </row>
    <row r="11" spans="1:23" ht="30" customHeight="1" x14ac:dyDescent="0.2">
      <c r="A11" s="613"/>
      <c r="B11" s="605" t="s">
        <v>51</v>
      </c>
      <c r="C11" s="606"/>
      <c r="D11" s="593" t="e">
        <f>CONCATENATE(VLOOKUP($D$5,ID_list,15,FALSE),"-",VLOOKUP($D$5,ID_list,16,FALSE))</f>
        <v>#N/A</v>
      </c>
      <c r="E11" s="593"/>
      <c r="F11" s="593"/>
      <c r="G11" s="593"/>
      <c r="H11" s="610"/>
      <c r="I11" s="610"/>
      <c r="J11" s="610"/>
      <c r="K11" s="611"/>
      <c r="L11" s="117"/>
      <c r="M11" s="102"/>
      <c r="P11" s="109"/>
      <c r="Q11" s="125"/>
      <c r="R11" s="113"/>
      <c r="S11" s="110"/>
      <c r="T11" s="113"/>
    </row>
    <row r="12" spans="1:23" ht="30" customHeight="1" x14ac:dyDescent="0.2">
      <c r="A12" s="556" t="s">
        <v>135</v>
      </c>
      <c r="B12" s="557"/>
      <c r="C12" s="557"/>
      <c r="D12" s="614" t="e">
        <f>VLOOKUP($D$5,ID_list,17,FALSE)</f>
        <v>#N/A</v>
      </c>
      <c r="E12" s="614"/>
      <c r="F12" s="614"/>
      <c r="G12" s="614"/>
      <c r="H12" s="591" t="s">
        <v>48</v>
      </c>
      <c r="I12" s="591"/>
      <c r="J12" s="591"/>
      <c r="K12" s="592"/>
      <c r="L12" s="109"/>
      <c r="M12" s="109"/>
      <c r="N12" s="125"/>
      <c r="O12" s="109"/>
      <c r="P12" s="109"/>
      <c r="Q12" s="70"/>
      <c r="R12" s="113"/>
      <c r="S12" s="110"/>
      <c r="T12" s="113"/>
      <c r="V12" s="113"/>
    </row>
    <row r="13" spans="1:23" ht="30" customHeight="1" x14ac:dyDescent="0.2">
      <c r="A13" s="556" t="s">
        <v>136</v>
      </c>
      <c r="B13" s="557"/>
      <c r="C13" s="557"/>
      <c r="D13" s="615" t="e">
        <f>VLOOKUP($D$5,ID_list,18,FALSE)</f>
        <v>#N/A</v>
      </c>
      <c r="E13" s="615"/>
      <c r="F13" s="615"/>
      <c r="G13" s="615"/>
      <c r="H13" s="616" t="str">
        <f>CONCATENATE(N1," Fiscal Year End Date")</f>
        <v>2022 Fiscal Year End Date</v>
      </c>
      <c r="I13" s="616"/>
      <c r="J13" s="617" t="e">
        <f>VLOOKUP($D$5,ID_list,97,FALSE)</f>
        <v>#N/A</v>
      </c>
      <c r="K13" s="618"/>
      <c r="L13" s="679" t="e">
        <f>IF(J13=0,"Please enter FY end date."," ")</f>
        <v>#N/A</v>
      </c>
      <c r="M13" s="680"/>
      <c r="N13" s="680"/>
      <c r="P13" s="109"/>
      <c r="Q13" s="70"/>
      <c r="R13" s="113"/>
      <c r="S13" s="110"/>
      <c r="T13" s="113"/>
      <c r="V13" s="113"/>
    </row>
    <row r="14" spans="1:23" ht="30" customHeight="1" x14ac:dyDescent="0.2">
      <c r="A14" s="556" t="s">
        <v>62</v>
      </c>
      <c r="B14" s="557"/>
      <c r="C14" s="557"/>
      <c r="D14" s="558" t="e">
        <f>CONCATENATE(VLOOKUP($D$5,ID_list,19,FALSE)," ",VLOOKUP($D$5,ID_list,20,FALSE))</f>
        <v>#N/A</v>
      </c>
      <c r="E14" s="558"/>
      <c r="F14" s="558"/>
      <c r="G14" s="558"/>
      <c r="H14" s="626" t="s">
        <v>41</v>
      </c>
      <c r="I14" s="627"/>
      <c r="J14" s="624" t="e">
        <f>VLOOKUP($D$5,ID_list,98,FALSE)</f>
        <v>#N/A</v>
      </c>
      <c r="K14" s="625"/>
      <c r="L14" s="679" t="e">
        <f>IF(J14=0,"Please enter # of months Reporting Entity was open during the FY."," ")</f>
        <v>#N/A</v>
      </c>
      <c r="M14" s="684"/>
      <c r="N14" s="684"/>
      <c r="O14" s="684"/>
      <c r="P14" s="109"/>
      <c r="Q14" s="70"/>
      <c r="R14" s="113"/>
      <c r="S14" s="126"/>
      <c r="T14" s="113"/>
      <c r="U14" s="126"/>
      <c r="V14" s="113"/>
    </row>
    <row r="15" spans="1:23" ht="30" customHeight="1" x14ac:dyDescent="0.2">
      <c r="A15" s="556" t="s">
        <v>63</v>
      </c>
      <c r="B15" s="557"/>
      <c r="C15" s="557"/>
      <c r="D15" s="558" t="e">
        <f>VLOOKUP($D$5,ID_list,21,FALSE)</f>
        <v>#N/A</v>
      </c>
      <c r="E15" s="558"/>
      <c r="F15" s="558"/>
      <c r="G15" s="558"/>
      <c r="H15" s="628"/>
      <c r="I15" s="628"/>
      <c r="J15" s="622"/>
      <c r="K15" s="623"/>
      <c r="P15" s="109"/>
      <c r="Q15" s="70"/>
      <c r="R15" s="113"/>
      <c r="S15" s="126"/>
      <c r="T15" s="113"/>
      <c r="V15" s="113"/>
    </row>
    <row r="16" spans="1:23" ht="30" customHeight="1" x14ac:dyDescent="0.2">
      <c r="A16" s="556" t="s">
        <v>125</v>
      </c>
      <c r="B16" s="605"/>
      <c r="C16" s="635"/>
      <c r="D16" s="667" t="e">
        <f>VLOOKUP($D$5,ID_list,22,FALSE)</f>
        <v>#N/A</v>
      </c>
      <c r="E16" s="558"/>
      <c r="F16" s="645"/>
      <c r="G16" s="645"/>
      <c r="H16" s="127"/>
      <c r="I16" s="127"/>
      <c r="J16" s="128"/>
      <c r="K16" s="129"/>
      <c r="L16" s="679" t="str">
        <f>IF(ISBLANK(D16),"Please enter the Administrator's e-mail address"," ")</f>
        <v xml:space="preserve"> </v>
      </c>
      <c r="M16" s="680"/>
      <c r="N16" s="680"/>
      <c r="O16" s="681"/>
      <c r="P16" s="109"/>
      <c r="Q16" s="70"/>
      <c r="R16" s="113"/>
      <c r="S16" s="126"/>
      <c r="T16" s="113"/>
      <c r="V16" s="113"/>
    </row>
    <row r="17" spans="1:23" ht="30" customHeight="1" x14ac:dyDescent="0.2">
      <c r="A17" s="556" t="s">
        <v>81</v>
      </c>
      <c r="B17" s="557"/>
      <c r="C17" s="557"/>
      <c r="D17" s="558" t="e">
        <f>VLOOKUP($D$5,ID_list,23,FALSE)</f>
        <v>#N/A</v>
      </c>
      <c r="E17" s="558"/>
      <c r="F17" s="558"/>
      <c r="G17" s="558"/>
      <c r="H17" s="127"/>
      <c r="I17" s="127"/>
      <c r="J17" s="128"/>
      <c r="K17" s="129"/>
      <c r="L17" s="130"/>
      <c r="M17" s="131"/>
      <c r="N17" s="131"/>
      <c r="P17" s="109"/>
      <c r="Q17" s="70"/>
      <c r="R17" s="113"/>
      <c r="S17" s="126"/>
      <c r="T17" s="113"/>
      <c r="V17" s="113"/>
    </row>
    <row r="18" spans="1:23" ht="30" customHeight="1" x14ac:dyDescent="0.2">
      <c r="A18" s="556" t="s">
        <v>140</v>
      </c>
      <c r="B18" s="557"/>
      <c r="C18" s="557"/>
      <c r="D18" s="636" t="e">
        <f>VLOOKUP($D$5,ID_list,84,FALSE)</f>
        <v>#N/A</v>
      </c>
      <c r="E18" s="637"/>
      <c r="F18" s="637"/>
      <c r="G18" s="638"/>
      <c r="I18" s="127"/>
      <c r="J18" s="128"/>
      <c r="K18" s="129"/>
      <c r="L18" s="130"/>
      <c r="M18" s="131"/>
      <c r="N18" s="131"/>
      <c r="P18" s="109"/>
      <c r="Q18" s="70"/>
      <c r="R18" s="113"/>
      <c r="S18" s="126"/>
      <c r="T18" s="113"/>
      <c r="V18" s="113"/>
    </row>
    <row r="19" spans="1:23" ht="20.100000000000001" customHeight="1" x14ac:dyDescent="0.2">
      <c r="A19" s="556"/>
      <c r="B19" s="557"/>
      <c r="C19" s="557"/>
      <c r="D19" s="629" t="s">
        <v>124</v>
      </c>
      <c r="E19" s="630"/>
      <c r="F19" s="630"/>
      <c r="G19" s="631"/>
      <c r="H19" s="619" t="s">
        <v>52</v>
      </c>
      <c r="I19" s="620"/>
      <c r="J19" s="620"/>
      <c r="K19" s="621"/>
      <c r="L19" s="82"/>
      <c r="M19" s="82"/>
      <c r="N19" s="82"/>
      <c r="O19" s="82"/>
      <c r="P19" s="82"/>
      <c r="Q19" s="132"/>
      <c r="R19" s="133"/>
      <c r="S19" s="134"/>
      <c r="T19" s="113"/>
      <c r="V19" s="113"/>
    </row>
    <row r="20" spans="1:23" ht="20.100000000000001" customHeight="1" x14ac:dyDescent="0.2">
      <c r="A20" s="556"/>
      <c r="B20" s="557"/>
      <c r="C20" s="557"/>
      <c r="D20" s="632"/>
      <c r="E20" s="633"/>
      <c r="F20" s="633"/>
      <c r="G20" s="634"/>
      <c r="H20" s="135" t="s">
        <v>53</v>
      </c>
      <c r="I20" s="135" t="s">
        <v>54</v>
      </c>
      <c r="J20" s="135" t="s">
        <v>55</v>
      </c>
      <c r="K20" s="136" t="s">
        <v>39</v>
      </c>
      <c r="L20" s="137"/>
      <c r="M20" s="138"/>
      <c r="N20" s="138"/>
      <c r="O20" s="102"/>
      <c r="P20" s="104"/>
      <c r="Q20" s="104"/>
      <c r="R20" s="113"/>
      <c r="S20" s="108"/>
      <c r="T20" s="113"/>
      <c r="V20" s="113"/>
    </row>
    <row r="21" spans="1:23" ht="30" customHeight="1" x14ac:dyDescent="0.2">
      <c r="A21" s="639"/>
      <c r="B21" s="557"/>
      <c r="C21" s="557"/>
      <c r="D21" s="558" t="e">
        <f>VLOOKUP($D$5,ID_list,85,FALSE)</f>
        <v>#N/A</v>
      </c>
      <c r="E21" s="558"/>
      <c r="F21" s="558"/>
      <c r="G21" s="558"/>
      <c r="H21" s="139" t="e">
        <f>IF(EXACT(VLOOKUP($D$5,ID_list,86,FALSE),"Owned"),"X","")</f>
        <v>#N/A</v>
      </c>
      <c r="I21" s="139" t="e">
        <f>IF(EXACT(VLOOKUP($D$5,ID_list,86,FALSE),"Managed"),"X","")</f>
        <v>#N/A</v>
      </c>
      <c r="J21" s="139" t="e">
        <f>IF(EXACT(VLOOKUP($D$5,ID_list,86,FALSE),"Leased"),"X","")</f>
        <v>#N/A</v>
      </c>
      <c r="K21" s="140" t="e">
        <f>IF(EXACT(VLOOKUP($D$5,ID_list,86,FALSE),"N/A"),"X","")</f>
        <v>#N/A</v>
      </c>
      <c r="L21" s="102"/>
      <c r="M21" s="102"/>
      <c r="N21" s="141"/>
      <c r="P21" s="104"/>
      <c r="Q21" s="104"/>
      <c r="R21" s="142" t="e">
        <f>IF(LEN(T21)&gt;0,"Owned",IF(LEN(U21)&gt;0,"Managed",IF(LEN(V21)&gt;0,"Leased",IF(LEN(W21)&gt;0,"N/A",""))))</f>
        <v>#N/A</v>
      </c>
      <c r="S21" s="143" t="e">
        <f>R21</f>
        <v>#N/A</v>
      </c>
      <c r="T21" s="110" t="e">
        <f t="shared" ref="T21:W23" si="0">IF(OR(H21=0,ISBLANK(H21)),"",H21)</f>
        <v>#N/A</v>
      </c>
      <c r="U21" s="110" t="e">
        <f t="shared" si="0"/>
        <v>#N/A</v>
      </c>
      <c r="V21" s="110" t="e">
        <f t="shared" si="0"/>
        <v>#N/A</v>
      </c>
      <c r="W21" s="110" t="e">
        <f t="shared" si="0"/>
        <v>#N/A</v>
      </c>
    </row>
    <row r="22" spans="1:23" ht="30" customHeight="1" x14ac:dyDescent="0.2">
      <c r="A22" s="639"/>
      <c r="B22" s="557"/>
      <c r="C22" s="557"/>
      <c r="D22" s="642" t="e">
        <f>VLOOKUP($D$5,ID_list,87,FALSE)</f>
        <v>#N/A</v>
      </c>
      <c r="E22" s="642"/>
      <c r="F22" s="642"/>
      <c r="G22" s="642"/>
      <c r="H22" s="139" t="e">
        <f>IF(EXACT(VLOOKUP($D$5,ID_list,88,FALSE),"Owned"),"X","")</f>
        <v>#N/A</v>
      </c>
      <c r="I22" s="139" t="e">
        <f>IF(EXACT(VLOOKUP($D$5,ID_list,88,FALSE),"Managed"),"X","")</f>
        <v>#N/A</v>
      </c>
      <c r="J22" s="139" t="e">
        <f>IF(EXACT(VLOOKUP($D$5,ID_list,88,FALSE),"Leased"),"X","")</f>
        <v>#N/A</v>
      </c>
      <c r="K22" s="144" t="e">
        <f>IF(EXACT(VLOOKUP($D$5,ID_list,88,FALSE),"N/A"),"X","")</f>
        <v>#N/A</v>
      </c>
      <c r="L22" s="102"/>
      <c r="M22" s="102"/>
      <c r="N22" s="141"/>
      <c r="P22" s="104"/>
      <c r="Q22" s="104"/>
      <c r="R22" s="142" t="e">
        <f>IF(LEN(T22)&gt;0,"Owned",IF(LEN(U22)&gt;0,"Managed",IF(LEN(V22)&gt;0,"Leased",IF(LEN(W22)&gt;0,"N/A",""))))</f>
        <v>#N/A</v>
      </c>
      <c r="S22" s="145" t="e">
        <f>R22</f>
        <v>#N/A</v>
      </c>
      <c r="T22" s="110" t="e">
        <f t="shared" si="0"/>
        <v>#N/A</v>
      </c>
      <c r="U22" s="110" t="e">
        <f t="shared" si="0"/>
        <v>#N/A</v>
      </c>
      <c r="V22" s="110" t="e">
        <f t="shared" si="0"/>
        <v>#N/A</v>
      </c>
      <c r="W22" s="110" t="e">
        <f t="shared" si="0"/>
        <v>#N/A</v>
      </c>
    </row>
    <row r="23" spans="1:23" ht="30" customHeight="1" thickBot="1" x14ac:dyDescent="0.25">
      <c r="A23" s="661"/>
      <c r="B23" s="662"/>
      <c r="C23" s="662"/>
      <c r="D23" s="666" t="e">
        <f>VLOOKUP($D$5,ID_list,89,FALSE)</f>
        <v>#N/A</v>
      </c>
      <c r="E23" s="666"/>
      <c r="F23" s="666"/>
      <c r="G23" s="666"/>
      <c r="H23" s="146" t="e">
        <f>IF(EXACT(VLOOKUP($D$5,ID_list,90,FALSE),"Owned"),"X","")</f>
        <v>#N/A</v>
      </c>
      <c r="I23" s="146" t="e">
        <f>IF(EXACT(VLOOKUP($D$5,ID_list,90,FALSE),"Managed"),"X","")</f>
        <v>#N/A</v>
      </c>
      <c r="J23" s="146" t="e">
        <f>IF(EXACT(VLOOKUP($D$5,ID_list,90,FALSE),"Leased"),"X","")</f>
        <v>#N/A</v>
      </c>
      <c r="K23" s="147" t="e">
        <f>IF(EXACT(VLOOKUP($D$5,ID_list,90,FALSE),"N/A"),"X","")</f>
        <v>#N/A</v>
      </c>
      <c r="L23" s="102"/>
      <c r="M23" s="102"/>
      <c r="N23" s="141"/>
      <c r="P23" s="104"/>
      <c r="Q23" s="104"/>
      <c r="R23" s="142" t="e">
        <f>IF(LEN(T23)&gt;0,"Owned",IF(LEN(U23)&gt;0,"Managed",IF(LEN(V23)&gt;0,"Leased",IF(LEN(W23)&gt;0,"N/A",""))))</f>
        <v>#N/A</v>
      </c>
      <c r="S23" s="145" t="e">
        <f>R23</f>
        <v>#N/A</v>
      </c>
      <c r="T23" s="110" t="e">
        <f t="shared" si="0"/>
        <v>#N/A</v>
      </c>
      <c r="U23" s="110" t="e">
        <f t="shared" si="0"/>
        <v>#N/A</v>
      </c>
      <c r="V23" s="110" t="e">
        <f t="shared" si="0"/>
        <v>#N/A</v>
      </c>
      <c r="W23" s="110" t="e">
        <f t="shared" si="0"/>
        <v>#N/A</v>
      </c>
    </row>
    <row r="24" spans="1:23" ht="30" customHeight="1" thickBot="1" x14ac:dyDescent="0.25">
      <c r="A24" s="73"/>
      <c r="B24" s="78"/>
      <c r="C24" s="78"/>
      <c r="D24" s="679" t="str">
        <f>IF(ISBLANK(D21),"Please enter System Affiliation.  If no affilitaion, enter ""none""."," ")</f>
        <v xml:space="preserve"> </v>
      </c>
      <c r="E24" s="557"/>
      <c r="F24" s="557"/>
      <c r="G24" s="557"/>
      <c r="H24" s="648" t="str">
        <f>IF(COUNTBLANK(H21:K21)=4,"Please enter Type of Affiliation.",IF(COUNTBLANK(H21:K21)&lt;&gt;3,"Please VERIFY Type of Affiliation.",""))</f>
        <v>Please VERIFY Type of Affiliation.</v>
      </c>
      <c r="I24" s="648"/>
      <c r="J24" s="648"/>
      <c r="K24" s="648"/>
      <c r="L24" s="102"/>
      <c r="M24" s="102"/>
      <c r="N24" s="102"/>
      <c r="P24" s="104"/>
      <c r="Q24" s="104"/>
      <c r="R24" s="113"/>
      <c r="S24" s="108"/>
      <c r="T24" s="113"/>
      <c r="V24" s="113"/>
    </row>
    <row r="25" spans="1:23" ht="30" customHeight="1" x14ac:dyDescent="0.2">
      <c r="A25" s="663" t="s">
        <v>759</v>
      </c>
      <c r="B25" s="664"/>
      <c r="C25" s="664"/>
      <c r="D25" s="664"/>
      <c r="E25" s="664"/>
      <c r="F25" s="664"/>
      <c r="G25" s="664"/>
      <c r="H25" s="664"/>
      <c r="I25" s="664"/>
      <c r="J25" s="664"/>
      <c r="K25" s="665"/>
      <c r="L25" s="83"/>
      <c r="M25" s="83"/>
      <c r="N25" s="83"/>
      <c r="O25" s="83"/>
      <c r="P25" s="83"/>
      <c r="Q25" s="83"/>
      <c r="R25" s="113"/>
      <c r="T25" s="113"/>
      <c r="V25" s="113"/>
    </row>
    <row r="26" spans="1:23" ht="30" customHeight="1" x14ac:dyDescent="0.2">
      <c r="A26" s="649" t="s">
        <v>656</v>
      </c>
      <c r="B26" s="650"/>
      <c r="C26" s="650"/>
      <c r="D26" s="650"/>
      <c r="E26" s="650"/>
      <c r="F26" s="650"/>
      <c r="G26" s="650"/>
      <c r="H26" s="650"/>
      <c r="I26" s="650"/>
      <c r="J26" s="650"/>
      <c r="K26" s="651"/>
      <c r="L26" s="148"/>
      <c r="M26" s="148"/>
      <c r="N26" s="148"/>
      <c r="O26" s="148"/>
      <c r="P26" s="148"/>
      <c r="Q26" s="148"/>
      <c r="R26" s="133"/>
      <c r="T26" s="113"/>
      <c r="V26" s="113"/>
    </row>
    <row r="27" spans="1:23" ht="30" customHeight="1" x14ac:dyDescent="0.2">
      <c r="A27" s="652"/>
      <c r="B27" s="653"/>
      <c r="C27" s="653"/>
      <c r="D27" s="653"/>
      <c r="E27" s="653"/>
      <c r="F27" s="653"/>
      <c r="G27" s="653"/>
      <c r="H27" s="653"/>
      <c r="I27" s="653"/>
      <c r="J27" s="653"/>
      <c r="K27" s="654"/>
      <c r="L27" s="149"/>
      <c r="M27" s="150"/>
      <c r="N27" s="150"/>
      <c r="O27" s="150"/>
      <c r="P27" s="151"/>
      <c r="Q27" s="49"/>
      <c r="R27" s="113"/>
      <c r="T27" s="113"/>
      <c r="V27" s="113"/>
    </row>
    <row r="28" spans="1:23" ht="30" customHeight="1" x14ac:dyDescent="0.2">
      <c r="A28" s="643" t="s">
        <v>45</v>
      </c>
      <c r="B28" s="644"/>
      <c r="C28" s="645"/>
      <c r="D28" s="645"/>
      <c r="E28" s="645"/>
      <c r="F28" s="645"/>
      <c r="G28" s="645"/>
      <c r="H28" s="645"/>
      <c r="I28" s="152" t="s">
        <v>46</v>
      </c>
      <c r="J28" s="646"/>
      <c r="K28" s="647"/>
      <c r="L28" s="153"/>
      <c r="M28" s="141"/>
      <c r="N28" s="141"/>
      <c r="O28" s="141"/>
      <c r="P28" s="49"/>
      <c r="Q28" s="49"/>
      <c r="R28" s="113"/>
      <c r="T28" s="113"/>
      <c r="V28" s="113"/>
    </row>
    <row r="29" spans="1:23" ht="30" customHeight="1" thickBot="1" x14ac:dyDescent="0.25">
      <c r="A29" s="640" t="s">
        <v>47</v>
      </c>
      <c r="B29" s="641"/>
      <c r="C29" s="677"/>
      <c r="D29" s="677"/>
      <c r="E29" s="677"/>
      <c r="F29" s="677"/>
      <c r="G29" s="677"/>
      <c r="H29" s="677"/>
      <c r="I29" s="677"/>
      <c r="J29" s="677"/>
      <c r="K29" s="678"/>
      <c r="L29" s="154"/>
      <c r="M29" s="141"/>
      <c r="N29" s="155"/>
      <c r="O29" s="141"/>
      <c r="P29" s="49"/>
      <c r="Q29" s="156"/>
      <c r="R29" s="113"/>
      <c r="T29" s="113"/>
      <c r="V29" s="113"/>
    </row>
    <row r="30" spans="1:23" ht="30" customHeight="1" x14ac:dyDescent="0.2">
      <c r="A30" s="553" t="str">
        <f>IF(OR(SUM('Capital Expend Project Specific'!AL15:AL26)&gt;0,R101="X",T101="X"),"Warning! There is an error which will result in your report being rejected. Please review Capital Expenditure Reporting and correct any errors before submitting.","")</f>
        <v/>
      </c>
      <c r="B30" s="553"/>
      <c r="C30" s="553"/>
      <c r="D30" s="553"/>
      <c r="E30" s="553"/>
      <c r="F30" s="553"/>
      <c r="G30" s="553"/>
      <c r="H30" s="553"/>
      <c r="I30" s="553"/>
      <c r="J30" s="553"/>
      <c r="K30" s="553"/>
      <c r="L30" s="554"/>
      <c r="M30" s="555"/>
      <c r="N30" s="555"/>
      <c r="O30" s="555"/>
      <c r="P30" s="49"/>
      <c r="Q30" s="156"/>
      <c r="R30" s="142" t="str">
        <f>IF(LEN(A30)&gt;0,"X","")</f>
        <v/>
      </c>
      <c r="T30" s="113"/>
      <c r="V30" s="113"/>
    </row>
    <row r="31" spans="1:23" ht="30" customHeight="1" x14ac:dyDescent="0.2">
      <c r="A31" s="585" t="str">
        <f>IF(R30="X","Capital Expenditure Section 2","")</f>
        <v/>
      </c>
      <c r="B31" s="586"/>
      <c r="C31" s="586"/>
      <c r="D31" s="586"/>
      <c r="E31" s="586"/>
      <c r="F31" s="584" t="str">
        <f>IF(R30="X","Capital Expenditure Project Specific Tab","")</f>
        <v/>
      </c>
      <c r="G31" s="584"/>
      <c r="H31" s="584"/>
      <c r="I31" s="584"/>
      <c r="J31" s="584"/>
      <c r="K31" s="584"/>
      <c r="L31" s="154"/>
      <c r="M31" s="141"/>
      <c r="N31" s="155"/>
      <c r="O31" s="141"/>
      <c r="P31" s="49"/>
      <c r="Q31" s="156"/>
      <c r="R31" s="113"/>
      <c r="T31" s="113"/>
      <c r="V31" s="113"/>
    </row>
    <row r="32" spans="1:23" ht="30" customHeight="1" thickBot="1" x14ac:dyDescent="0.25">
      <c r="A32" s="157" t="e">
        <f>CONCATENATE(D$5," ",(UPPER(D$6)))</f>
        <v>#N/A</v>
      </c>
      <c r="B32" s="158"/>
      <c r="C32" s="127"/>
      <c r="D32" s="127"/>
      <c r="E32" s="127"/>
      <c r="F32" s="127"/>
      <c r="G32" s="127"/>
      <c r="H32" s="127"/>
      <c r="I32" s="127"/>
      <c r="J32" s="127"/>
      <c r="K32" s="127"/>
      <c r="L32" s="154"/>
      <c r="M32" s="141"/>
      <c r="N32" s="155"/>
      <c r="O32" s="141"/>
      <c r="P32" s="49"/>
      <c r="Q32" s="156"/>
      <c r="R32" s="113"/>
      <c r="T32" s="113"/>
      <c r="V32" s="113"/>
    </row>
    <row r="33" spans="1:22" ht="30" customHeight="1" x14ac:dyDescent="0.2">
      <c r="A33" s="672" t="s">
        <v>122</v>
      </c>
      <c r="B33" s="673"/>
      <c r="C33" s="673"/>
      <c r="D33" s="673"/>
      <c r="E33" s="673"/>
      <c r="F33" s="673"/>
      <c r="G33" s="673"/>
      <c r="H33" s="673"/>
      <c r="I33" s="673"/>
      <c r="J33" s="673"/>
      <c r="K33" s="674"/>
      <c r="L33" s="154"/>
      <c r="M33" s="141"/>
      <c r="N33" s="155"/>
      <c r="O33" s="141"/>
      <c r="P33" s="49"/>
      <c r="Q33" s="156"/>
      <c r="R33" s="113"/>
      <c r="T33" s="113"/>
      <c r="V33" s="113"/>
    </row>
    <row r="34" spans="1:22" ht="30" customHeight="1" x14ac:dyDescent="0.2">
      <c r="A34" s="559" t="s">
        <v>326</v>
      </c>
      <c r="B34" s="560"/>
      <c r="C34" s="560"/>
      <c r="D34" s="560"/>
      <c r="E34" s="560"/>
      <c r="F34" s="560"/>
      <c r="G34" s="560"/>
      <c r="H34" s="560"/>
      <c r="I34" s="561"/>
      <c r="J34" s="561"/>
      <c r="K34" s="562"/>
      <c r="L34" s="154"/>
      <c r="M34" s="141"/>
      <c r="N34" s="155"/>
      <c r="O34" s="141"/>
      <c r="P34" s="49"/>
      <c r="Q34" s="156"/>
      <c r="R34" s="142" t="s">
        <v>4</v>
      </c>
      <c r="S34" s="159" t="e">
        <f>VLOOKUP($D$5,ID_list,96,FALSE)</f>
        <v>#N/A</v>
      </c>
      <c r="T34" s="113"/>
      <c r="V34" s="113"/>
    </row>
    <row r="35" spans="1:22" ht="30" customHeight="1" x14ac:dyDescent="0.2">
      <c r="A35" s="675" t="s">
        <v>61</v>
      </c>
      <c r="B35" s="676"/>
      <c r="C35" s="676"/>
      <c r="D35" s="558" t="e">
        <f>CONCATENATE(VLOOKUP($D$5,ID_list,69,FALSE)," ",VLOOKUP($D$5,ID_list,70,FALSE))</f>
        <v>#N/A</v>
      </c>
      <c r="E35" s="558"/>
      <c r="F35" s="558"/>
      <c r="G35" s="558"/>
      <c r="H35" s="160" t="s">
        <v>57</v>
      </c>
      <c r="I35" s="558" t="e">
        <f>VLOOKUP($D$5,ID_list,71,FALSE)</f>
        <v>#N/A</v>
      </c>
      <c r="J35" s="670"/>
      <c r="K35" s="671"/>
      <c r="L35" s="553" t="e">
        <f>IF(OR(D35=0,D35=" "),"Please complete contact information for person completing the formset.", " ")</f>
        <v>#N/A</v>
      </c>
      <c r="M35" s="512"/>
      <c r="N35" s="512"/>
      <c r="O35" s="512"/>
      <c r="P35" s="49"/>
      <c r="Q35" s="156"/>
      <c r="R35" s="113"/>
      <c r="T35" s="113"/>
      <c r="V35" s="113"/>
    </row>
    <row r="36" spans="1:22" ht="30" customHeight="1" x14ac:dyDescent="0.2">
      <c r="A36" s="556" t="s">
        <v>123</v>
      </c>
      <c r="B36" s="557"/>
      <c r="C36" s="557"/>
      <c r="D36" s="669" t="e">
        <f>VLOOKUP($D$5,ID_list,72,FALSE)</f>
        <v>#N/A</v>
      </c>
      <c r="E36" s="669"/>
      <c r="F36" s="669"/>
      <c r="G36" s="669"/>
      <c r="H36" s="127"/>
      <c r="I36" s="161"/>
      <c r="J36" s="162"/>
      <c r="K36" s="163"/>
      <c r="L36" s="164"/>
      <c r="M36" s="131"/>
      <c r="N36" s="131"/>
      <c r="O36" s="131"/>
      <c r="P36" s="49"/>
      <c r="Q36" s="156"/>
      <c r="R36" s="113"/>
      <c r="T36" s="113"/>
      <c r="V36" s="113"/>
    </row>
    <row r="37" spans="1:22" ht="30" customHeight="1" x14ac:dyDescent="0.2">
      <c r="A37" s="556" t="s">
        <v>49</v>
      </c>
      <c r="B37" s="557"/>
      <c r="C37" s="557"/>
      <c r="D37" s="642" t="e">
        <f>CONCATENATE(VLOOKUP($D$5,ID_list,77,FALSE)," ",VLOOKUP($D$5,ID_list,78,FALSE))</f>
        <v>#N/A</v>
      </c>
      <c r="E37" s="642"/>
      <c r="F37" s="642"/>
      <c r="G37" s="642"/>
      <c r="H37" s="165" t="s">
        <v>13</v>
      </c>
      <c r="I37" s="667" t="e">
        <f>VLOOKUP($D$5,ID_list,76,FALSE)</f>
        <v>#N/A</v>
      </c>
      <c r="J37" s="558"/>
      <c r="K37" s="668"/>
      <c r="L37" s="130"/>
      <c r="M37" s="138"/>
      <c r="N37" s="138"/>
      <c r="O37" s="102"/>
      <c r="P37" s="49"/>
      <c r="Q37" s="156"/>
      <c r="R37" s="113"/>
      <c r="T37" s="113"/>
      <c r="V37" s="113"/>
    </row>
    <row r="38" spans="1:22" ht="30" customHeight="1" x14ac:dyDescent="0.2">
      <c r="A38" s="556" t="s">
        <v>127</v>
      </c>
      <c r="B38" s="557"/>
      <c r="C38" s="557"/>
      <c r="D38" s="558" t="e">
        <f>VLOOKUP($D$5,ID_list,79,FALSE)</f>
        <v>#N/A</v>
      </c>
      <c r="E38" s="558"/>
      <c r="F38" s="558"/>
      <c r="G38" s="558"/>
      <c r="H38" s="166" t="s">
        <v>59</v>
      </c>
      <c r="I38" s="655" t="e">
        <f>VLOOKUP($D$5,ID_list,73,FALSE)</f>
        <v>#N/A</v>
      </c>
      <c r="J38" s="656"/>
      <c r="K38" s="657"/>
      <c r="L38" s="141"/>
      <c r="M38" s="138"/>
      <c r="N38" s="138"/>
      <c r="O38" s="138"/>
      <c r="P38" s="49"/>
      <c r="Q38" s="156"/>
      <c r="R38" s="113"/>
      <c r="T38" s="113"/>
      <c r="V38" s="113"/>
    </row>
    <row r="39" spans="1:22" ht="30" customHeight="1" x14ac:dyDescent="0.2">
      <c r="A39" s="556" t="s">
        <v>56</v>
      </c>
      <c r="B39" s="557"/>
      <c r="C39" s="557"/>
      <c r="D39" s="558" t="e">
        <f>VLOOKUP($D$5,ID_list,80,FALSE)</f>
        <v>#N/A</v>
      </c>
      <c r="E39" s="558"/>
      <c r="F39" s="558"/>
      <c r="G39" s="558"/>
      <c r="H39" s="160" t="s">
        <v>325</v>
      </c>
      <c r="I39" s="658" t="e">
        <f>VLOOKUP($D$5,ID_list,74,FALSE)</f>
        <v>#N/A</v>
      </c>
      <c r="J39" s="659"/>
      <c r="K39" s="660"/>
      <c r="L39" s="132"/>
      <c r="N39" s="132"/>
      <c r="O39" s="132"/>
      <c r="P39" s="49"/>
      <c r="Q39" s="156"/>
      <c r="R39" s="113"/>
      <c r="T39" s="113"/>
      <c r="V39" s="113"/>
    </row>
    <row r="40" spans="1:22" ht="30" customHeight="1" x14ac:dyDescent="0.2">
      <c r="A40" s="556" t="s">
        <v>58</v>
      </c>
      <c r="B40" s="557"/>
      <c r="C40" s="557"/>
      <c r="D40" s="689" t="e">
        <f>VLOOKUP($D$5,ID_list,81,FALSE)</f>
        <v>#N/A</v>
      </c>
      <c r="E40" s="689"/>
      <c r="F40" s="689"/>
      <c r="G40" s="689"/>
      <c r="H40" s="160" t="s">
        <v>60</v>
      </c>
      <c r="I40" s="658" t="e">
        <f>VLOOKUP($D$5,ID_list,75,FALSE)</f>
        <v>#N/A</v>
      </c>
      <c r="J40" s="659"/>
      <c r="K40" s="660"/>
      <c r="L40" s="132"/>
      <c r="M40" s="132"/>
      <c r="N40" s="82"/>
      <c r="O40" s="82"/>
      <c r="P40" s="49"/>
      <c r="Q40" s="156"/>
      <c r="R40" s="113"/>
      <c r="T40" s="113"/>
      <c r="V40" s="113"/>
    </row>
    <row r="41" spans="1:22" ht="30" customHeight="1" x14ac:dyDescent="0.2">
      <c r="A41" s="696" t="s">
        <v>51</v>
      </c>
      <c r="B41" s="697"/>
      <c r="C41" s="697"/>
      <c r="D41" s="558" t="e">
        <f>CONCATENATE(VLOOKUP($D$5,ID_list,82,FALSE),"-",VLOOKUP($D$5,ID_list,83,FALSE))</f>
        <v>#N/A</v>
      </c>
      <c r="E41" s="558"/>
      <c r="F41" s="558"/>
      <c r="G41" s="558"/>
      <c r="H41" s="167"/>
      <c r="I41" s="167"/>
      <c r="J41" s="167"/>
      <c r="K41" s="168"/>
      <c r="L41" s="137"/>
      <c r="M41" s="138"/>
      <c r="N41" s="138"/>
      <c r="O41" s="102"/>
      <c r="P41" s="49"/>
      <c r="Q41" s="156"/>
      <c r="R41" s="113"/>
      <c r="T41" s="113"/>
      <c r="V41" s="113"/>
    </row>
    <row r="42" spans="1:22" ht="30" customHeight="1" x14ac:dyDescent="0.2">
      <c r="A42" s="690" t="s">
        <v>327</v>
      </c>
      <c r="B42" s="691"/>
      <c r="C42" s="691"/>
      <c r="D42" s="691"/>
      <c r="E42" s="691"/>
      <c r="F42" s="691"/>
      <c r="G42" s="691"/>
      <c r="H42" s="691"/>
      <c r="I42" s="692"/>
      <c r="J42" s="692"/>
      <c r="K42" s="693"/>
      <c r="L42" s="169"/>
      <c r="M42" s="150"/>
      <c r="N42" s="170"/>
      <c r="O42" s="150"/>
      <c r="P42" s="49"/>
      <c r="Q42" s="156"/>
      <c r="R42" s="142" t="s">
        <v>2</v>
      </c>
      <c r="S42" s="159" t="e">
        <f>VLOOKUP($D$5,ID_list,94,FALSE)</f>
        <v>#N/A</v>
      </c>
      <c r="T42" s="113"/>
      <c r="V42" s="113"/>
    </row>
    <row r="43" spans="1:22" ht="30" customHeight="1" x14ac:dyDescent="0.2">
      <c r="A43" s="556" t="s">
        <v>128</v>
      </c>
      <c r="B43" s="557"/>
      <c r="C43" s="557"/>
      <c r="D43" s="642" t="e">
        <f>CONCATENATE(VLOOKUP($D$5,ID_list,39,FALSE)," ",VLOOKUP($D$5,ID_list,40,FALSE))</f>
        <v>#N/A</v>
      </c>
      <c r="E43" s="642"/>
      <c r="F43" s="642"/>
      <c r="G43" s="642"/>
      <c r="H43" s="166" t="s">
        <v>57</v>
      </c>
      <c r="I43" s="642" t="e">
        <f>VLOOKUP($D$5,ID_list,41,FALSE)</f>
        <v>#N/A</v>
      </c>
      <c r="J43" s="694"/>
      <c r="K43" s="695"/>
      <c r="L43" s="169"/>
      <c r="M43" s="150"/>
      <c r="N43" s="171"/>
      <c r="O43" s="150"/>
      <c r="P43" s="49"/>
      <c r="Q43" s="156"/>
      <c r="R43" s="113"/>
      <c r="T43" s="113"/>
      <c r="V43" s="113"/>
    </row>
    <row r="44" spans="1:22" ht="30" customHeight="1" x14ac:dyDescent="0.2">
      <c r="A44" s="556" t="s">
        <v>123</v>
      </c>
      <c r="B44" s="557"/>
      <c r="C44" s="557"/>
      <c r="D44" s="688" t="e">
        <f>VLOOKUP($D$5,ID_list,42,FALSE)</f>
        <v>#N/A</v>
      </c>
      <c r="E44" s="688"/>
      <c r="F44" s="688"/>
      <c r="G44" s="688"/>
      <c r="H44" s="127"/>
      <c r="I44" s="161"/>
      <c r="J44" s="162"/>
      <c r="K44" s="163"/>
      <c r="L44" s="172"/>
      <c r="M44" s="150"/>
      <c r="N44" s="170"/>
      <c r="O44" s="150"/>
      <c r="P44" s="49"/>
      <c r="Q44" s="156"/>
      <c r="R44" s="113"/>
      <c r="T44" s="113"/>
      <c r="V44" s="113"/>
    </row>
    <row r="45" spans="1:22" ht="30" customHeight="1" x14ac:dyDescent="0.2">
      <c r="A45" s="556" t="s">
        <v>49</v>
      </c>
      <c r="B45" s="557"/>
      <c r="C45" s="557"/>
      <c r="D45" s="642" t="e">
        <f>CONCATENATE(VLOOKUP($D$5,ID_list,47,FALSE)," ",VLOOKUP($D$5,ID_list,48,FALSE))</f>
        <v>#N/A</v>
      </c>
      <c r="E45" s="642"/>
      <c r="F45" s="642"/>
      <c r="G45" s="642"/>
      <c r="H45" s="165" t="s">
        <v>13</v>
      </c>
      <c r="I45" s="667" t="e">
        <f>VLOOKUP($D$5,ID_list,46,FALSE)</f>
        <v>#N/A</v>
      </c>
      <c r="J45" s="558"/>
      <c r="K45" s="668"/>
      <c r="L45" s="154"/>
      <c r="M45" s="141"/>
      <c r="N45" s="155"/>
      <c r="O45" s="141"/>
      <c r="P45" s="49"/>
      <c r="Q45" s="156"/>
      <c r="R45" s="113"/>
      <c r="T45" s="113"/>
      <c r="V45" s="113"/>
    </row>
    <row r="46" spans="1:22" ht="30" customHeight="1" x14ac:dyDescent="0.2">
      <c r="A46" s="556" t="s">
        <v>127</v>
      </c>
      <c r="B46" s="557"/>
      <c r="C46" s="557"/>
      <c r="D46" s="558" t="e">
        <f>VLOOKUP($D$5,ID_list,49,FALSE)</f>
        <v>#N/A</v>
      </c>
      <c r="E46" s="558"/>
      <c r="F46" s="558"/>
      <c r="G46" s="558"/>
      <c r="H46" s="166" t="s">
        <v>59</v>
      </c>
      <c r="I46" s="655" t="e">
        <f>VLOOKUP($D$5,ID_list,43,FALSE)</f>
        <v>#N/A</v>
      </c>
      <c r="J46" s="656"/>
      <c r="K46" s="657"/>
      <c r="L46" s="154"/>
      <c r="M46" s="141"/>
      <c r="N46" s="155"/>
      <c r="O46" s="141"/>
      <c r="P46" s="49"/>
      <c r="Q46" s="156"/>
      <c r="R46" s="113"/>
      <c r="T46" s="113"/>
      <c r="V46" s="113"/>
    </row>
    <row r="47" spans="1:22" ht="30" customHeight="1" x14ac:dyDescent="0.2">
      <c r="A47" s="556" t="s">
        <v>56</v>
      </c>
      <c r="B47" s="557"/>
      <c r="C47" s="557"/>
      <c r="D47" s="558" t="e">
        <f>VLOOKUP($D$5,ID_list,50,FALSE)</f>
        <v>#N/A</v>
      </c>
      <c r="E47" s="558"/>
      <c r="F47" s="558"/>
      <c r="G47" s="558"/>
      <c r="H47" s="160" t="s">
        <v>325</v>
      </c>
      <c r="I47" s="658" t="e">
        <f>VLOOKUP($D$5,ID_list,44,FALSE)</f>
        <v>#N/A</v>
      </c>
      <c r="J47" s="659"/>
      <c r="K47" s="660"/>
      <c r="L47" s="154"/>
      <c r="M47" s="141"/>
      <c r="N47" s="155"/>
      <c r="O47" s="141"/>
      <c r="P47" s="49"/>
      <c r="Q47" s="156"/>
      <c r="R47" s="113"/>
      <c r="T47" s="113"/>
      <c r="V47" s="113"/>
    </row>
    <row r="48" spans="1:22" ht="30" customHeight="1" x14ac:dyDescent="0.2">
      <c r="A48" s="556" t="s">
        <v>58</v>
      </c>
      <c r="B48" s="557"/>
      <c r="C48" s="557"/>
      <c r="D48" s="558" t="e">
        <f>VLOOKUP($D$5,ID_list,51,FALSE)</f>
        <v>#N/A</v>
      </c>
      <c r="E48" s="558"/>
      <c r="F48" s="558"/>
      <c r="G48" s="558"/>
      <c r="H48" s="160" t="s">
        <v>60</v>
      </c>
      <c r="I48" s="658" t="e">
        <f>VLOOKUP($D$5,ID_list,45,FALSE)</f>
        <v>#N/A</v>
      </c>
      <c r="J48" s="659"/>
      <c r="K48" s="660"/>
      <c r="L48" s="154"/>
      <c r="M48" s="141"/>
      <c r="N48" s="155"/>
      <c r="O48" s="141"/>
      <c r="P48" s="49"/>
      <c r="Q48" s="156"/>
      <c r="R48" s="113"/>
      <c r="T48" s="113"/>
      <c r="V48" s="113"/>
    </row>
    <row r="49" spans="1:22" ht="30" customHeight="1" x14ac:dyDescent="0.2">
      <c r="A49" s="556" t="s">
        <v>51</v>
      </c>
      <c r="B49" s="557"/>
      <c r="C49" s="557"/>
      <c r="D49" s="689" t="e">
        <f>CONCATENATE(VLOOKUP($D$5,ID_list,52,FALSE),"-",VLOOKUP($D$5,ID_list,53,FALSE))</f>
        <v>#N/A</v>
      </c>
      <c r="E49" s="689"/>
      <c r="F49" s="689"/>
      <c r="G49" s="689"/>
      <c r="H49" s="173"/>
      <c r="I49" s="173"/>
      <c r="J49" s="173"/>
      <c r="K49" s="174"/>
      <c r="L49" s="154"/>
      <c r="M49" s="141"/>
      <c r="N49" s="155"/>
      <c r="O49" s="141"/>
      <c r="P49" s="49"/>
      <c r="Q49" s="156"/>
      <c r="R49" s="113"/>
      <c r="T49" s="113"/>
      <c r="V49" s="113"/>
    </row>
    <row r="50" spans="1:22" ht="30" customHeight="1" x14ac:dyDescent="0.2">
      <c r="A50" s="690" t="s">
        <v>328</v>
      </c>
      <c r="B50" s="691"/>
      <c r="C50" s="691"/>
      <c r="D50" s="691"/>
      <c r="E50" s="691"/>
      <c r="F50" s="691"/>
      <c r="G50" s="691"/>
      <c r="H50" s="691"/>
      <c r="I50" s="692"/>
      <c r="J50" s="692"/>
      <c r="K50" s="693"/>
      <c r="L50" s="154"/>
      <c r="M50" s="141"/>
      <c r="N50" s="155"/>
      <c r="O50" s="141"/>
      <c r="P50" s="49"/>
      <c r="Q50" s="156"/>
      <c r="R50" s="142" t="s">
        <v>3</v>
      </c>
      <c r="S50" s="159" t="e">
        <f>VLOOKUP($D$5,ID_list,95,FALSE)</f>
        <v>#N/A</v>
      </c>
      <c r="T50" s="113"/>
      <c r="V50" s="113"/>
    </row>
    <row r="51" spans="1:22" ht="30" customHeight="1" x14ac:dyDescent="0.2">
      <c r="A51" s="556" t="s">
        <v>128</v>
      </c>
      <c r="B51" s="557"/>
      <c r="C51" s="557"/>
      <c r="D51" s="642" t="e">
        <f>CONCATENATE(VLOOKUP($D$5,ID_list,54,FALSE)," ",VLOOKUP($D$5,ID_list,55,FALSE))</f>
        <v>#N/A</v>
      </c>
      <c r="E51" s="642"/>
      <c r="F51" s="642"/>
      <c r="G51" s="642"/>
      <c r="H51" s="166" t="s">
        <v>57</v>
      </c>
      <c r="I51" s="642" t="e">
        <f>VLOOKUP($D$5,ID_list,56,FALSE)</f>
        <v>#N/A</v>
      </c>
      <c r="J51" s="694"/>
      <c r="K51" s="695"/>
      <c r="L51" s="154"/>
      <c r="M51" s="141"/>
      <c r="N51" s="155"/>
      <c r="O51" s="141"/>
      <c r="P51" s="49"/>
      <c r="Q51" s="156"/>
      <c r="R51" s="113"/>
      <c r="T51" s="113"/>
      <c r="V51" s="113"/>
    </row>
    <row r="52" spans="1:22" ht="30" customHeight="1" x14ac:dyDescent="0.2">
      <c r="A52" s="556" t="s">
        <v>123</v>
      </c>
      <c r="B52" s="557"/>
      <c r="C52" s="557"/>
      <c r="D52" s="688" t="e">
        <f>VLOOKUP($D$5,ID_list,57,FALSE)</f>
        <v>#N/A</v>
      </c>
      <c r="E52" s="688"/>
      <c r="F52" s="688"/>
      <c r="G52" s="688"/>
      <c r="H52" s="127"/>
      <c r="I52" s="161"/>
      <c r="J52" s="162"/>
      <c r="K52" s="163"/>
      <c r="L52" s="154"/>
      <c r="M52" s="141"/>
      <c r="N52" s="155"/>
      <c r="O52" s="141"/>
      <c r="P52" s="49"/>
      <c r="Q52" s="156"/>
      <c r="R52" s="113"/>
      <c r="T52" s="113"/>
      <c r="V52" s="113"/>
    </row>
    <row r="53" spans="1:22" ht="30" customHeight="1" x14ac:dyDescent="0.2">
      <c r="A53" s="556" t="s">
        <v>49</v>
      </c>
      <c r="B53" s="557"/>
      <c r="C53" s="557"/>
      <c r="D53" s="642" t="e">
        <f>CONCATENATE(VLOOKUP($D$5,ID_list,62,FALSE)," ",VLOOKUP($D$5,ID_list,63,FALSE))</f>
        <v>#N/A</v>
      </c>
      <c r="E53" s="642"/>
      <c r="F53" s="642"/>
      <c r="G53" s="642"/>
      <c r="H53" s="165" t="s">
        <v>13</v>
      </c>
      <c r="I53" s="667" t="e">
        <f>VLOOKUP($D$5,ID_list,61,FALSE)</f>
        <v>#N/A</v>
      </c>
      <c r="J53" s="558"/>
      <c r="K53" s="668"/>
      <c r="L53" s="154"/>
      <c r="M53" s="141"/>
      <c r="N53" s="155"/>
      <c r="O53" s="141"/>
      <c r="P53" s="49"/>
      <c r="Q53" s="156"/>
      <c r="R53" s="113"/>
      <c r="T53" s="113"/>
      <c r="V53" s="113"/>
    </row>
    <row r="54" spans="1:22" ht="30" customHeight="1" x14ac:dyDescent="0.2">
      <c r="A54" s="556" t="s">
        <v>127</v>
      </c>
      <c r="B54" s="557"/>
      <c r="C54" s="557"/>
      <c r="D54" s="558" t="e">
        <f>VLOOKUP($D$5,ID_list,64,FALSE)</f>
        <v>#N/A</v>
      </c>
      <c r="E54" s="558"/>
      <c r="F54" s="558"/>
      <c r="G54" s="558"/>
      <c r="H54" s="166" t="s">
        <v>59</v>
      </c>
      <c r="I54" s="655" t="e">
        <f>VLOOKUP($D$5,ID_list,58,FALSE)</f>
        <v>#N/A</v>
      </c>
      <c r="J54" s="656"/>
      <c r="K54" s="657"/>
      <c r="L54" s="154"/>
      <c r="M54" s="141"/>
      <c r="N54" s="155"/>
      <c r="O54" s="141"/>
      <c r="P54" s="49"/>
      <c r="Q54" s="156"/>
      <c r="R54" s="113"/>
      <c r="T54" s="113"/>
      <c r="V54" s="113"/>
    </row>
    <row r="55" spans="1:22" ht="30" customHeight="1" x14ac:dyDescent="0.2">
      <c r="A55" s="556" t="s">
        <v>56</v>
      </c>
      <c r="B55" s="557"/>
      <c r="C55" s="557"/>
      <c r="D55" s="558" t="e">
        <f>VLOOKUP($D$5,ID_list,65,FALSE)</f>
        <v>#N/A</v>
      </c>
      <c r="E55" s="558"/>
      <c r="F55" s="558"/>
      <c r="G55" s="558"/>
      <c r="H55" s="160" t="s">
        <v>325</v>
      </c>
      <c r="I55" s="658" t="e">
        <f>VLOOKUP($D$5,ID_list,59,FALSE)</f>
        <v>#N/A</v>
      </c>
      <c r="J55" s="659"/>
      <c r="K55" s="660"/>
      <c r="L55" s="154"/>
      <c r="M55" s="141"/>
      <c r="N55" s="155"/>
      <c r="O55" s="141"/>
      <c r="P55" s="49"/>
      <c r="Q55" s="156"/>
      <c r="R55" s="113"/>
      <c r="T55" s="113"/>
      <c r="V55" s="113"/>
    </row>
    <row r="56" spans="1:22" ht="30" customHeight="1" x14ac:dyDescent="0.2">
      <c r="A56" s="556" t="s">
        <v>58</v>
      </c>
      <c r="B56" s="557"/>
      <c r="C56" s="557"/>
      <c r="D56" s="558" t="e">
        <f>VLOOKUP($D$5,ID_list,66,FALSE)</f>
        <v>#N/A</v>
      </c>
      <c r="E56" s="558"/>
      <c r="F56" s="558"/>
      <c r="G56" s="558"/>
      <c r="H56" s="160" t="s">
        <v>60</v>
      </c>
      <c r="I56" s="658" t="e">
        <f>VLOOKUP($D$5,ID_list,60,FALSE)</f>
        <v>#N/A</v>
      </c>
      <c r="J56" s="659"/>
      <c r="K56" s="660"/>
      <c r="L56" s="154"/>
      <c r="M56" s="141"/>
      <c r="N56" s="155"/>
      <c r="O56" s="141"/>
      <c r="P56" s="49"/>
      <c r="Q56" s="156"/>
      <c r="R56" s="113"/>
      <c r="T56" s="113"/>
      <c r="V56" s="113"/>
    </row>
    <row r="57" spans="1:22" ht="30" customHeight="1" thickBot="1" x14ac:dyDescent="0.25">
      <c r="A57" s="757" t="s">
        <v>51</v>
      </c>
      <c r="B57" s="662"/>
      <c r="C57" s="662"/>
      <c r="D57" s="758" t="e">
        <f>CONCATENATE(VLOOKUP($D$5,ID_list,67,FALSE),"-",VLOOKUP($D$5,ID_list,68,FALSE))</f>
        <v>#N/A</v>
      </c>
      <c r="E57" s="758"/>
      <c r="F57" s="758"/>
      <c r="G57" s="758"/>
      <c r="H57" s="175"/>
      <c r="I57" s="175"/>
      <c r="J57" s="175"/>
      <c r="K57" s="176"/>
      <c r="L57" s="154"/>
      <c r="M57" s="141"/>
      <c r="N57" s="155"/>
      <c r="O57" s="141"/>
      <c r="P57" s="49"/>
      <c r="Q57" s="156"/>
      <c r="R57" s="113"/>
      <c r="T57" s="113"/>
      <c r="V57" s="113"/>
    </row>
    <row r="58" spans="1:22" ht="30" customHeight="1" x14ac:dyDescent="0.2">
      <c r="A58" s="177"/>
      <c r="B58" s="178"/>
      <c r="C58" s="178"/>
      <c r="D58" s="178"/>
      <c r="E58" s="178"/>
      <c r="F58" s="178"/>
      <c r="G58" s="178"/>
      <c r="H58" s="178"/>
      <c r="I58" s="179"/>
      <c r="J58" s="179"/>
      <c r="K58" s="179"/>
      <c r="L58" s="154"/>
      <c r="M58" s="141"/>
      <c r="N58" s="155"/>
      <c r="O58" s="141"/>
      <c r="P58" s="49"/>
      <c r="Q58" s="156"/>
      <c r="R58" s="113"/>
      <c r="T58" s="113"/>
      <c r="V58" s="113"/>
    </row>
    <row r="59" spans="1:22" ht="30" hidden="1" customHeight="1" x14ac:dyDescent="0.2">
      <c r="A59" s="180"/>
      <c r="B59" s="181"/>
      <c r="C59" s="181"/>
      <c r="D59" s="182"/>
      <c r="E59" s="182"/>
      <c r="F59" s="182"/>
      <c r="G59" s="182"/>
      <c r="H59" s="183"/>
      <c r="I59" s="182"/>
      <c r="J59" s="184"/>
      <c r="K59" s="184"/>
      <c r="L59" s="554"/>
      <c r="M59" s="681"/>
      <c r="N59" s="681"/>
      <c r="O59" s="681"/>
      <c r="P59" s="49"/>
      <c r="Q59" s="156"/>
      <c r="R59" s="113"/>
      <c r="T59" s="113"/>
      <c r="V59" s="113"/>
    </row>
    <row r="60" spans="1:22" ht="30" hidden="1" customHeight="1" x14ac:dyDescent="0.2">
      <c r="A60" s="181"/>
      <c r="B60" s="185"/>
      <c r="C60" s="185"/>
      <c r="D60" s="182"/>
      <c r="E60" s="182"/>
      <c r="F60" s="182"/>
      <c r="G60" s="182"/>
      <c r="H60" s="186"/>
      <c r="I60" s="187"/>
      <c r="J60" s="188"/>
      <c r="K60" s="188"/>
      <c r="L60" s="189"/>
      <c r="M60" s="190"/>
      <c r="N60" s="190"/>
      <c r="O60" s="190"/>
      <c r="P60" s="191"/>
      <c r="Q60" s="156"/>
      <c r="R60" s="113"/>
      <c r="T60" s="113"/>
      <c r="V60" s="113"/>
    </row>
    <row r="61" spans="1:22" ht="30" hidden="1" customHeight="1" x14ac:dyDescent="0.2">
      <c r="A61" s="181"/>
      <c r="B61" s="185"/>
      <c r="C61" s="185"/>
      <c r="D61" s="182"/>
      <c r="E61" s="182"/>
      <c r="F61" s="182"/>
      <c r="G61" s="182"/>
      <c r="H61" s="185"/>
      <c r="I61" s="192"/>
      <c r="J61" s="182"/>
      <c r="K61" s="183"/>
      <c r="L61" s="154"/>
      <c r="M61" s="141"/>
      <c r="N61" s="155"/>
      <c r="O61" s="141"/>
      <c r="P61" s="49"/>
      <c r="Q61" s="156"/>
      <c r="R61" s="113"/>
      <c r="T61" s="113"/>
      <c r="V61" s="113"/>
    </row>
    <row r="62" spans="1:22" ht="30" hidden="1" customHeight="1" x14ac:dyDescent="0.2">
      <c r="A62" s="181"/>
      <c r="B62" s="185"/>
      <c r="C62" s="185"/>
      <c r="D62" s="182"/>
      <c r="E62" s="182"/>
      <c r="F62" s="182"/>
      <c r="G62" s="182"/>
      <c r="H62" s="183"/>
      <c r="I62" s="182"/>
      <c r="J62" s="184"/>
      <c r="K62" s="184"/>
      <c r="L62" s="154"/>
      <c r="M62" s="141"/>
      <c r="N62" s="155"/>
      <c r="O62" s="141"/>
      <c r="P62" s="49"/>
      <c r="Q62" s="156"/>
      <c r="R62" s="113"/>
      <c r="T62" s="113"/>
      <c r="V62" s="113"/>
    </row>
    <row r="63" spans="1:22" ht="34.5" hidden="1" customHeight="1" x14ac:dyDescent="0.2">
      <c r="A63" s="181"/>
      <c r="B63" s="185"/>
      <c r="C63" s="185"/>
      <c r="D63" s="182"/>
      <c r="E63" s="182"/>
      <c r="F63" s="182"/>
      <c r="G63" s="182"/>
      <c r="H63" s="183"/>
      <c r="I63" s="182"/>
      <c r="J63" s="184"/>
      <c r="K63" s="184"/>
      <c r="L63" s="154"/>
      <c r="M63" s="141"/>
      <c r="N63" s="155"/>
      <c r="O63" s="141"/>
      <c r="P63" s="49"/>
      <c r="Q63" s="156"/>
      <c r="R63" s="113"/>
      <c r="T63" s="113"/>
      <c r="V63" s="113"/>
    </row>
    <row r="64" spans="1:22" ht="30" hidden="1" customHeight="1" x14ac:dyDescent="0.2">
      <c r="A64" s="181"/>
      <c r="B64" s="185"/>
      <c r="C64" s="185"/>
      <c r="D64" s="182"/>
      <c r="E64" s="182"/>
      <c r="F64" s="182"/>
      <c r="G64" s="182"/>
      <c r="H64" s="193"/>
      <c r="I64" s="194"/>
      <c r="J64" s="194"/>
      <c r="K64" s="194"/>
      <c r="L64" s="154"/>
      <c r="M64" s="141"/>
      <c r="N64" s="155"/>
      <c r="O64" s="141"/>
      <c r="P64" s="49"/>
      <c r="Q64" s="156"/>
      <c r="R64" s="113"/>
      <c r="T64" s="113"/>
      <c r="V64" s="113"/>
    </row>
    <row r="65" spans="1:23" ht="30" customHeight="1" x14ac:dyDescent="0.2">
      <c r="A65" s="181"/>
      <c r="B65" s="185"/>
      <c r="C65" s="185"/>
      <c r="D65" s="187"/>
      <c r="E65" s="187"/>
      <c r="F65" s="187"/>
      <c r="G65" s="187"/>
      <c r="H65" s="195"/>
      <c r="I65" s="195"/>
      <c r="J65" s="195"/>
      <c r="K65" s="195"/>
      <c r="L65" s="154"/>
      <c r="M65" s="141"/>
      <c r="N65" s="155"/>
      <c r="O65" s="141"/>
      <c r="R65" s="113"/>
      <c r="T65" s="113"/>
      <c r="V65" s="113"/>
    </row>
    <row r="66" spans="1:23" ht="30" customHeight="1" thickBot="1" x14ac:dyDescent="0.25">
      <c r="A66" s="196" t="e">
        <f>A32</f>
        <v>#N/A</v>
      </c>
      <c r="B66" s="197"/>
      <c r="C66" s="197"/>
      <c r="D66" s="197"/>
      <c r="E66" s="197"/>
      <c r="F66" s="197"/>
      <c r="G66" s="197"/>
      <c r="H66" s="197"/>
      <c r="I66" s="197"/>
      <c r="J66" s="197"/>
      <c r="K66" s="197"/>
      <c r="L66" s="197"/>
      <c r="M66" s="197"/>
      <c r="N66" s="197"/>
      <c r="O66" s="197"/>
      <c r="P66" s="197"/>
      <c r="Q66" s="197"/>
      <c r="R66" s="198"/>
      <c r="S66" s="198"/>
      <c r="T66" s="198"/>
      <c r="U66" s="198"/>
      <c r="V66" s="198"/>
    </row>
    <row r="67" spans="1:23" ht="30" customHeight="1" x14ac:dyDescent="0.2">
      <c r="A67" s="716" t="s">
        <v>296</v>
      </c>
      <c r="B67" s="717"/>
      <c r="C67" s="717"/>
      <c r="D67" s="717"/>
      <c r="E67" s="717"/>
      <c r="F67" s="717"/>
      <c r="G67" s="717"/>
      <c r="H67" s="717"/>
      <c r="I67" s="717"/>
      <c r="J67" s="717"/>
      <c r="K67" s="718"/>
      <c r="L67" s="704"/>
      <c r="M67" s="705"/>
      <c r="N67" s="705"/>
      <c r="O67" s="705"/>
      <c r="P67" s="197"/>
      <c r="Q67" s="197"/>
      <c r="R67" s="198"/>
      <c r="S67" s="198"/>
      <c r="T67" s="198"/>
      <c r="U67" s="198"/>
      <c r="V67" s="198"/>
    </row>
    <row r="68" spans="1:23" ht="30" customHeight="1" x14ac:dyDescent="0.25">
      <c r="A68" s="719" t="s">
        <v>5</v>
      </c>
      <c r="B68" s="720"/>
      <c r="C68" s="720"/>
      <c r="D68" s="720"/>
      <c r="E68" s="720"/>
      <c r="F68" s="720"/>
      <c r="G68" s="720"/>
      <c r="H68" s="720"/>
      <c r="I68" s="720"/>
      <c r="J68" s="721" t="str">
        <f>CONCATENATE("FY ",N1)</f>
        <v>FY 2022</v>
      </c>
      <c r="K68" s="722"/>
      <c r="N68" s="186"/>
      <c r="O68" s="186"/>
      <c r="P68" s="186"/>
      <c r="Q68" s="186"/>
      <c r="R68" s="199">
        <f>A69</f>
        <v>7594</v>
      </c>
      <c r="S68" s="200" t="str">
        <f>IF(AND(ISBLANK(J70),ISBLANK(K70)),"",IF(ISBLANK(J70),"0","1"))</f>
        <v>1</v>
      </c>
      <c r="T68" s="198"/>
      <c r="U68" s="550" t="s">
        <v>8</v>
      </c>
      <c r="V68" s="551"/>
      <c r="W68" s="552"/>
    </row>
    <row r="69" spans="1:23" ht="30" customHeight="1" x14ac:dyDescent="0.25">
      <c r="A69" s="759">
        <v>7594</v>
      </c>
      <c r="B69" s="751" t="str">
        <f>CONCATENATE("Did your Reporting Entity have any Major Capital Expenditure Commitments in FY ",N1," that were over $1 million dollars each?")</f>
        <v>Did your Reporting Entity have any Major Capital Expenditure Commitments in FY 2022 that were over $1 million dollars each?</v>
      </c>
      <c r="C69" s="752"/>
      <c r="D69" s="752"/>
      <c r="E69" s="752"/>
      <c r="F69" s="752"/>
      <c r="G69" s="752"/>
      <c r="H69" s="752"/>
      <c r="I69" s="753"/>
      <c r="J69" s="201" t="s">
        <v>43</v>
      </c>
      <c r="K69" s="202" t="s">
        <v>44</v>
      </c>
      <c r="N69" s="197"/>
      <c r="O69" s="197"/>
      <c r="P69" s="197"/>
      <c r="Q69" s="197"/>
      <c r="R69" s="199">
        <f>A71</f>
        <v>7595</v>
      </c>
      <c r="S69" s="203" t="str">
        <f>IF(ISBLANK(J71),"",J71)</f>
        <v/>
      </c>
      <c r="T69" s="198"/>
      <c r="U69" s="204" t="s">
        <v>9</v>
      </c>
      <c r="V69" s="205" t="s">
        <v>10</v>
      </c>
      <c r="W69" s="206" t="s">
        <v>11</v>
      </c>
    </row>
    <row r="70" spans="1:23" ht="30" customHeight="1" x14ac:dyDescent="0.25">
      <c r="A70" s="760"/>
      <c r="B70" s="754"/>
      <c r="C70" s="755"/>
      <c r="D70" s="755"/>
      <c r="E70" s="755"/>
      <c r="F70" s="755"/>
      <c r="G70" s="755"/>
      <c r="H70" s="755"/>
      <c r="I70" s="756"/>
      <c r="J70" s="207" t="s">
        <v>321</v>
      </c>
      <c r="K70" s="208"/>
      <c r="L70" s="711" t="str">
        <f>IF(COUNTBLANK(J70:K70)=2,"Please enter response.",IF(COUNTBLANK(J70:K70)&lt;&gt;1,"Please VERIFY response.",""))</f>
        <v/>
      </c>
      <c r="M70" s="512"/>
      <c r="N70" s="512"/>
      <c r="O70" s="512"/>
      <c r="R70" s="209">
        <f>A72</f>
        <v>7596</v>
      </c>
      <c r="S70" s="203" t="str">
        <f>IF(ISBLANK(J72),"",J72)</f>
        <v/>
      </c>
      <c r="T70" s="198"/>
      <c r="U70" s="210">
        <f>code_7596</f>
        <v>0</v>
      </c>
      <c r="V70" s="210">
        <f>N99</f>
        <v>0</v>
      </c>
      <c r="W70" s="211">
        <f>'Capital Expend Project Specific'!P1</f>
        <v>0</v>
      </c>
    </row>
    <row r="71" spans="1:23" ht="30" customHeight="1" x14ac:dyDescent="0.25">
      <c r="A71" s="212">
        <v>7595</v>
      </c>
      <c r="B71" s="748" t="s">
        <v>643</v>
      </c>
      <c r="C71" s="749"/>
      <c r="D71" s="749"/>
      <c r="E71" s="749"/>
      <c r="F71" s="749"/>
      <c r="G71" s="749"/>
      <c r="H71" s="749"/>
      <c r="I71" s="750"/>
      <c r="J71" s="712"/>
      <c r="K71" s="713"/>
      <c r="L71" s="622"/>
      <c r="M71" s="706"/>
      <c r="N71" s="706"/>
      <c r="O71" s="706"/>
      <c r="R71" s="209"/>
      <c r="S71" s="203"/>
      <c r="T71" s="198"/>
      <c r="U71" s="198"/>
      <c r="V71" s="198"/>
    </row>
    <row r="72" spans="1:23" ht="30" customHeight="1" thickBot="1" x14ac:dyDescent="0.25">
      <c r="A72" s="213">
        <v>7596</v>
      </c>
      <c r="B72" s="740" t="s">
        <v>82</v>
      </c>
      <c r="C72" s="741"/>
      <c r="D72" s="741"/>
      <c r="E72" s="741"/>
      <c r="F72" s="741"/>
      <c r="G72" s="741"/>
      <c r="H72" s="741"/>
      <c r="I72" s="742"/>
      <c r="J72" s="761"/>
      <c r="K72" s="762"/>
      <c r="L72" s="622"/>
      <c r="M72" s="706"/>
      <c r="N72" s="706"/>
      <c r="O72" s="706"/>
      <c r="P72" s="197"/>
      <c r="Q72" s="197"/>
      <c r="R72" s="198"/>
      <c r="S72" s="198"/>
      <c r="T72" s="198"/>
      <c r="U72" s="198"/>
      <c r="V72" s="198"/>
    </row>
    <row r="73" spans="1:23" ht="42.75" customHeight="1" thickBot="1" x14ac:dyDescent="0.25">
      <c r="A73" s="739"/>
      <c r="B73" s="579"/>
      <c r="C73" s="579"/>
      <c r="D73" s="579"/>
      <c r="E73" s="579"/>
      <c r="F73" s="579"/>
      <c r="G73" s="579"/>
      <c r="H73" s="579"/>
      <c r="I73" s="714" t="e">
        <f>IF(AND(OR(ISNA(cap_exp_contact),TRIM(cap_exp_contact)=""),NOT(ISBLANK(code_7594))),"The Capital Expenditure Contact information has NOT been provided.  Click here to go to Capital Expenditure Contact Section to fill in this information now.","")</f>
        <v>#N/A</v>
      </c>
      <c r="J73" s="714"/>
      <c r="K73" s="714"/>
      <c r="L73" s="715"/>
      <c r="M73" s="715"/>
      <c r="N73" s="715"/>
      <c r="O73" s="715"/>
      <c r="P73" s="197"/>
      <c r="Q73" s="197"/>
      <c r="R73" s="214"/>
      <c r="S73" s="215"/>
      <c r="T73" s="215"/>
      <c r="U73" s="215"/>
      <c r="V73" s="215"/>
    </row>
    <row r="74" spans="1:23" ht="43.5" customHeight="1" x14ac:dyDescent="0.2">
      <c r="A74" s="707" t="s">
        <v>644</v>
      </c>
      <c r="B74" s="708"/>
      <c r="C74" s="708"/>
      <c r="D74" s="708"/>
      <c r="E74" s="708"/>
      <c r="F74" s="708"/>
      <c r="G74" s="708"/>
      <c r="H74" s="708"/>
      <c r="I74" s="708"/>
      <c r="J74" s="708"/>
      <c r="K74" s="708"/>
      <c r="L74" s="708"/>
      <c r="M74" s="708"/>
      <c r="N74" s="709"/>
      <c r="O74" s="710"/>
      <c r="P74" s="216"/>
      <c r="Q74" s="216"/>
      <c r="R74" s="217"/>
      <c r="S74" s="198"/>
      <c r="T74" s="198"/>
      <c r="U74" s="198"/>
      <c r="V74" s="198"/>
    </row>
    <row r="75" spans="1:23" ht="30" customHeight="1" x14ac:dyDescent="0.2">
      <c r="A75" s="743" t="s">
        <v>6</v>
      </c>
      <c r="B75" s="744"/>
      <c r="C75" s="744"/>
      <c r="D75" s="744"/>
      <c r="E75" s="744"/>
      <c r="F75" s="744"/>
      <c r="G75" s="744"/>
      <c r="H75" s="744"/>
      <c r="I75" s="744"/>
      <c r="J75" s="744"/>
      <c r="K75" s="744"/>
      <c r="L75" s="744"/>
      <c r="M75" s="744"/>
      <c r="N75" s="702" t="str">
        <f>CONCATENATE("FY ",N1)</f>
        <v>FY 2022</v>
      </c>
      <c r="O75" s="703"/>
      <c r="P75" s="218"/>
      <c r="Q75" s="218"/>
      <c r="R75" s="217"/>
      <c r="S75" s="198"/>
      <c r="T75" s="198"/>
      <c r="U75" s="198"/>
      <c r="V75" s="198"/>
    </row>
    <row r="76" spans="1:23" ht="30" customHeight="1" x14ac:dyDescent="0.2">
      <c r="A76" s="219"/>
      <c r="B76" s="220"/>
      <c r="C76" s="220"/>
      <c r="D76" s="220"/>
      <c r="E76" s="633" t="s">
        <v>83</v>
      </c>
      <c r="F76" s="729"/>
      <c r="G76" s="220"/>
      <c r="H76" s="633" t="s">
        <v>84</v>
      </c>
      <c r="I76" s="729"/>
      <c r="J76" s="220"/>
      <c r="K76" s="633" t="s">
        <v>85</v>
      </c>
      <c r="L76" s="701"/>
      <c r="M76" s="220"/>
      <c r="N76" s="633" t="s">
        <v>86</v>
      </c>
      <c r="O76" s="698"/>
      <c r="P76" s="221"/>
      <c r="Q76" s="221"/>
      <c r="R76" s="217"/>
      <c r="S76" s="198"/>
      <c r="T76" s="198"/>
      <c r="U76" s="198"/>
      <c r="V76" s="198"/>
    </row>
    <row r="77" spans="1:23" ht="30" customHeight="1" x14ac:dyDescent="0.2">
      <c r="A77" s="732" t="s">
        <v>87</v>
      </c>
      <c r="B77" s="733"/>
      <c r="C77" s="734"/>
      <c r="D77" s="222">
        <v>7597</v>
      </c>
      <c r="E77" s="727">
        <f>SUM(E78:F90)</f>
        <v>0</v>
      </c>
      <c r="F77" s="730"/>
      <c r="G77" s="222">
        <v>7620</v>
      </c>
      <c r="H77" s="727">
        <f>SUM(H78:I90)</f>
        <v>0</v>
      </c>
      <c r="I77" s="728"/>
      <c r="J77" s="222">
        <v>7643</v>
      </c>
      <c r="K77" s="727">
        <f>SUM(K78:L90)</f>
        <v>0</v>
      </c>
      <c r="L77" s="731"/>
      <c r="M77" s="222">
        <v>7666</v>
      </c>
      <c r="N77" s="699">
        <f>SUM(N78:O90)</f>
        <v>0</v>
      </c>
      <c r="O77" s="700"/>
      <c r="P77" s="223"/>
      <c r="Q77" s="223"/>
      <c r="R77" s="217"/>
      <c r="S77" s="198"/>
      <c r="T77" s="198"/>
      <c r="U77" s="198"/>
      <c r="V77" s="198"/>
    </row>
    <row r="78" spans="1:23" ht="30" customHeight="1" x14ac:dyDescent="0.2">
      <c r="A78" s="224"/>
      <c r="B78" s="571" t="s">
        <v>88</v>
      </c>
      <c r="C78" s="572"/>
      <c r="D78" s="225">
        <v>7598</v>
      </c>
      <c r="E78" s="574"/>
      <c r="F78" s="575"/>
      <c r="G78" s="225">
        <v>7621</v>
      </c>
      <c r="H78" s="574"/>
      <c r="I78" s="575"/>
      <c r="J78" s="225">
        <v>7644</v>
      </c>
      <c r="K78" s="574"/>
      <c r="L78" s="580"/>
      <c r="M78" s="225">
        <v>7667</v>
      </c>
      <c r="N78" s="723">
        <f t="shared" ref="N78:N89" si="1">E78+H78+K78</f>
        <v>0</v>
      </c>
      <c r="O78" s="724"/>
      <c r="P78" s="223"/>
      <c r="Q78" s="223"/>
      <c r="R78" s="217"/>
      <c r="S78" s="198"/>
      <c r="T78" s="198"/>
      <c r="U78" s="198"/>
      <c r="V78" s="198"/>
    </row>
    <row r="79" spans="1:23" ht="30" customHeight="1" x14ac:dyDescent="0.2">
      <c r="A79" s="226"/>
      <c r="B79" s="571" t="s">
        <v>89</v>
      </c>
      <c r="C79" s="572"/>
      <c r="D79" s="225">
        <v>7599</v>
      </c>
      <c r="E79" s="574"/>
      <c r="F79" s="575"/>
      <c r="G79" s="225">
        <v>7622</v>
      </c>
      <c r="H79" s="574"/>
      <c r="I79" s="575"/>
      <c r="J79" s="225">
        <v>7645</v>
      </c>
      <c r="K79" s="574"/>
      <c r="L79" s="580"/>
      <c r="M79" s="225">
        <v>7668</v>
      </c>
      <c r="N79" s="723">
        <f t="shared" si="1"/>
        <v>0</v>
      </c>
      <c r="O79" s="724"/>
      <c r="P79" s="223"/>
      <c r="Q79" s="223"/>
      <c r="R79" s="217"/>
      <c r="S79" s="198"/>
      <c r="T79" s="198"/>
      <c r="U79" s="198"/>
      <c r="V79" s="198"/>
    </row>
    <row r="80" spans="1:23" ht="30" customHeight="1" x14ac:dyDescent="0.2">
      <c r="A80" s="226"/>
      <c r="B80" s="571" t="s">
        <v>111</v>
      </c>
      <c r="C80" s="572"/>
      <c r="D80" s="225">
        <v>7600</v>
      </c>
      <c r="E80" s="574"/>
      <c r="F80" s="575"/>
      <c r="G80" s="225">
        <v>7623</v>
      </c>
      <c r="H80" s="574"/>
      <c r="I80" s="575"/>
      <c r="J80" s="225">
        <v>7646</v>
      </c>
      <c r="K80" s="574"/>
      <c r="L80" s="580"/>
      <c r="M80" s="225">
        <v>7669</v>
      </c>
      <c r="N80" s="723">
        <f t="shared" si="1"/>
        <v>0</v>
      </c>
      <c r="O80" s="724"/>
      <c r="P80" s="223"/>
      <c r="Q80" s="223"/>
      <c r="R80" s="217"/>
      <c r="S80" s="198"/>
      <c r="T80" s="198"/>
      <c r="U80" s="198"/>
      <c r="V80" s="198"/>
    </row>
    <row r="81" spans="1:22" ht="30" customHeight="1" x14ac:dyDescent="0.2">
      <c r="A81" s="226"/>
      <c r="B81" s="571" t="s">
        <v>323</v>
      </c>
      <c r="C81" s="745"/>
      <c r="D81" s="225">
        <v>7601</v>
      </c>
      <c r="E81" s="574"/>
      <c r="F81" s="580"/>
      <c r="G81" s="225">
        <v>7624</v>
      </c>
      <c r="H81" s="574"/>
      <c r="I81" s="580"/>
      <c r="J81" s="225">
        <v>7647</v>
      </c>
      <c r="K81" s="574"/>
      <c r="L81" s="580"/>
      <c r="M81" s="225">
        <v>7670</v>
      </c>
      <c r="N81" s="725">
        <f>E81+H81+K81</f>
        <v>0</v>
      </c>
      <c r="O81" s="726"/>
      <c r="P81" s="223"/>
      <c r="Q81" s="223"/>
      <c r="R81" s="217"/>
      <c r="S81" s="198"/>
      <c r="T81" s="198"/>
      <c r="U81" s="198"/>
      <c r="V81" s="198"/>
    </row>
    <row r="82" spans="1:22" ht="30" customHeight="1" x14ac:dyDescent="0.2">
      <c r="A82" s="226"/>
      <c r="B82" s="571" t="s">
        <v>90</v>
      </c>
      <c r="C82" s="572"/>
      <c r="D82" s="225">
        <v>7602</v>
      </c>
      <c r="E82" s="574"/>
      <c r="F82" s="575"/>
      <c r="G82" s="225">
        <v>7625</v>
      </c>
      <c r="H82" s="574"/>
      <c r="I82" s="575"/>
      <c r="J82" s="225">
        <v>7648</v>
      </c>
      <c r="K82" s="574"/>
      <c r="L82" s="580"/>
      <c r="M82" s="225">
        <v>7671</v>
      </c>
      <c r="N82" s="723">
        <f t="shared" si="1"/>
        <v>0</v>
      </c>
      <c r="O82" s="724"/>
      <c r="P82" s="223"/>
      <c r="Q82" s="223"/>
      <c r="R82" s="217"/>
      <c r="S82" s="198"/>
      <c r="T82" s="198"/>
      <c r="U82" s="198"/>
      <c r="V82" s="198"/>
    </row>
    <row r="83" spans="1:22" ht="30" customHeight="1" x14ac:dyDescent="0.2">
      <c r="A83" s="226"/>
      <c r="B83" s="571" t="s">
        <v>91</v>
      </c>
      <c r="C83" s="572"/>
      <c r="D83" s="225">
        <v>7603</v>
      </c>
      <c r="E83" s="574"/>
      <c r="F83" s="575"/>
      <c r="G83" s="225">
        <v>7626</v>
      </c>
      <c r="H83" s="574"/>
      <c r="I83" s="575"/>
      <c r="J83" s="225">
        <v>7649</v>
      </c>
      <c r="K83" s="574"/>
      <c r="L83" s="580"/>
      <c r="M83" s="225">
        <v>7672</v>
      </c>
      <c r="N83" s="723">
        <f t="shared" si="1"/>
        <v>0</v>
      </c>
      <c r="O83" s="724"/>
      <c r="P83" s="223"/>
      <c r="Q83" s="223"/>
      <c r="R83" s="217"/>
      <c r="S83" s="198"/>
      <c r="T83" s="198"/>
      <c r="U83" s="198"/>
      <c r="V83" s="198"/>
    </row>
    <row r="84" spans="1:22" ht="30" customHeight="1" x14ac:dyDescent="0.2">
      <c r="A84" s="226"/>
      <c r="B84" s="571" t="s">
        <v>92</v>
      </c>
      <c r="C84" s="572"/>
      <c r="D84" s="225">
        <v>7604</v>
      </c>
      <c r="E84" s="574"/>
      <c r="F84" s="575"/>
      <c r="G84" s="225">
        <v>7627</v>
      </c>
      <c r="H84" s="574"/>
      <c r="I84" s="575"/>
      <c r="J84" s="225">
        <v>7650</v>
      </c>
      <c r="K84" s="574"/>
      <c r="L84" s="580"/>
      <c r="M84" s="225">
        <v>7673</v>
      </c>
      <c r="N84" s="723">
        <f t="shared" si="1"/>
        <v>0</v>
      </c>
      <c r="O84" s="724"/>
      <c r="P84" s="223"/>
      <c r="Q84" s="223"/>
      <c r="R84" s="217"/>
      <c r="S84" s="198"/>
      <c r="T84" s="198"/>
      <c r="U84" s="198"/>
      <c r="V84" s="198"/>
    </row>
    <row r="85" spans="1:22" ht="30" customHeight="1" x14ac:dyDescent="0.2">
      <c r="A85" s="226"/>
      <c r="B85" s="571" t="s">
        <v>93</v>
      </c>
      <c r="C85" s="572"/>
      <c r="D85" s="225">
        <v>7605</v>
      </c>
      <c r="E85" s="574"/>
      <c r="F85" s="575"/>
      <c r="G85" s="225">
        <v>7628</v>
      </c>
      <c r="H85" s="574"/>
      <c r="I85" s="575"/>
      <c r="J85" s="225">
        <v>7651</v>
      </c>
      <c r="K85" s="574"/>
      <c r="L85" s="580"/>
      <c r="M85" s="225">
        <v>7674</v>
      </c>
      <c r="N85" s="723">
        <f t="shared" si="1"/>
        <v>0</v>
      </c>
      <c r="O85" s="724"/>
      <c r="P85" s="223"/>
      <c r="Q85" s="223"/>
      <c r="R85" s="217"/>
      <c r="S85" s="198"/>
      <c r="T85" s="198"/>
      <c r="U85" s="198"/>
      <c r="V85" s="198"/>
    </row>
    <row r="86" spans="1:22" ht="30" customHeight="1" x14ac:dyDescent="0.2">
      <c r="A86" s="226"/>
      <c r="B86" s="571" t="s">
        <v>98</v>
      </c>
      <c r="C86" s="572"/>
      <c r="D86" s="225">
        <v>7606</v>
      </c>
      <c r="E86" s="574"/>
      <c r="F86" s="575"/>
      <c r="G86" s="225">
        <v>7629</v>
      </c>
      <c r="H86" s="574"/>
      <c r="I86" s="575"/>
      <c r="J86" s="225">
        <v>7652</v>
      </c>
      <c r="K86" s="574"/>
      <c r="L86" s="580"/>
      <c r="M86" s="225">
        <v>7675</v>
      </c>
      <c r="N86" s="723">
        <f t="shared" si="1"/>
        <v>0</v>
      </c>
      <c r="O86" s="724"/>
      <c r="P86" s="223"/>
      <c r="Q86" s="223"/>
      <c r="R86" s="217"/>
      <c r="S86" s="198"/>
      <c r="T86" s="198"/>
      <c r="U86" s="198"/>
      <c r="V86" s="198"/>
    </row>
    <row r="87" spans="1:22" ht="30" customHeight="1" x14ac:dyDescent="0.2">
      <c r="A87" s="226"/>
      <c r="B87" s="571" t="s">
        <v>99</v>
      </c>
      <c r="C87" s="572"/>
      <c r="D87" s="225">
        <v>7607</v>
      </c>
      <c r="E87" s="574"/>
      <c r="F87" s="575"/>
      <c r="G87" s="225">
        <v>7630</v>
      </c>
      <c r="H87" s="574"/>
      <c r="I87" s="575"/>
      <c r="J87" s="225">
        <v>7653</v>
      </c>
      <c r="K87" s="574"/>
      <c r="L87" s="580"/>
      <c r="M87" s="225">
        <v>7676</v>
      </c>
      <c r="N87" s="723">
        <f t="shared" si="1"/>
        <v>0</v>
      </c>
      <c r="O87" s="724"/>
      <c r="P87" s="223"/>
      <c r="Q87" s="223"/>
      <c r="R87" s="217"/>
      <c r="S87" s="198"/>
      <c r="T87" s="198"/>
      <c r="U87" s="198"/>
      <c r="V87" s="198"/>
    </row>
    <row r="88" spans="1:22" ht="30" customHeight="1" x14ac:dyDescent="0.2">
      <c r="A88" s="226"/>
      <c r="B88" s="571" t="s">
        <v>100</v>
      </c>
      <c r="C88" s="572"/>
      <c r="D88" s="225">
        <v>7608</v>
      </c>
      <c r="E88" s="574"/>
      <c r="F88" s="575"/>
      <c r="G88" s="225">
        <v>7631</v>
      </c>
      <c r="H88" s="574"/>
      <c r="I88" s="575"/>
      <c r="J88" s="225">
        <v>7654</v>
      </c>
      <c r="K88" s="574"/>
      <c r="L88" s="580"/>
      <c r="M88" s="225">
        <v>7677</v>
      </c>
      <c r="N88" s="723">
        <f t="shared" si="1"/>
        <v>0</v>
      </c>
      <c r="O88" s="724"/>
      <c r="P88" s="223"/>
      <c r="Q88" s="223"/>
      <c r="R88" s="217"/>
      <c r="S88" s="198"/>
      <c r="T88" s="198"/>
      <c r="U88" s="198"/>
      <c r="V88" s="198"/>
    </row>
    <row r="89" spans="1:22" ht="30" customHeight="1" x14ac:dyDescent="0.2">
      <c r="A89" s="226"/>
      <c r="B89" s="571" t="s">
        <v>101</v>
      </c>
      <c r="C89" s="572"/>
      <c r="D89" s="225">
        <v>7609</v>
      </c>
      <c r="E89" s="574"/>
      <c r="F89" s="575"/>
      <c r="G89" s="225">
        <v>7632</v>
      </c>
      <c r="H89" s="574"/>
      <c r="I89" s="575"/>
      <c r="J89" s="225">
        <v>7655</v>
      </c>
      <c r="K89" s="574"/>
      <c r="L89" s="580"/>
      <c r="M89" s="225">
        <v>7678</v>
      </c>
      <c r="N89" s="723">
        <f t="shared" si="1"/>
        <v>0</v>
      </c>
      <c r="O89" s="724"/>
      <c r="P89" s="223"/>
      <c r="Q89" s="223"/>
      <c r="R89" s="217"/>
      <c r="S89" s="198"/>
      <c r="T89" s="198"/>
      <c r="U89" s="198"/>
      <c r="V89" s="198"/>
    </row>
    <row r="90" spans="1:22" ht="66" customHeight="1" x14ac:dyDescent="0.2">
      <c r="A90" s="227"/>
      <c r="B90" s="733" t="s">
        <v>645</v>
      </c>
      <c r="C90" s="734"/>
      <c r="D90" s="222">
        <v>7610</v>
      </c>
      <c r="E90" s="727">
        <f>SUM(E91:F94)</f>
        <v>0</v>
      </c>
      <c r="F90" s="730"/>
      <c r="G90" s="222">
        <v>7633</v>
      </c>
      <c r="H90" s="727">
        <f>SUM(H91:I94)</f>
        <v>0</v>
      </c>
      <c r="I90" s="728"/>
      <c r="J90" s="222">
        <v>7656</v>
      </c>
      <c r="K90" s="727">
        <f>SUM(K91:L94)</f>
        <v>0</v>
      </c>
      <c r="L90" s="731"/>
      <c r="M90" s="222">
        <v>7679</v>
      </c>
      <c r="N90" s="699">
        <f>SUM(N91:O94)</f>
        <v>0</v>
      </c>
      <c r="O90" s="724"/>
      <c r="P90" s="223"/>
      <c r="Q90" s="223"/>
      <c r="R90" s="217"/>
      <c r="S90" s="198"/>
      <c r="T90" s="198"/>
      <c r="U90" s="198"/>
      <c r="V90" s="198"/>
    </row>
    <row r="91" spans="1:22" ht="30" customHeight="1" x14ac:dyDescent="0.2">
      <c r="A91" s="226"/>
      <c r="B91" s="228"/>
      <c r="C91" s="229" t="s">
        <v>102</v>
      </c>
      <c r="D91" s="225">
        <v>7611</v>
      </c>
      <c r="E91" s="574"/>
      <c r="F91" s="575"/>
      <c r="G91" s="225">
        <v>7634</v>
      </c>
      <c r="H91" s="574"/>
      <c r="I91" s="575"/>
      <c r="J91" s="225">
        <v>7657</v>
      </c>
      <c r="K91" s="574"/>
      <c r="L91" s="580"/>
      <c r="M91" s="225">
        <v>7680</v>
      </c>
      <c r="N91" s="723">
        <f>E91+H91+K91</f>
        <v>0</v>
      </c>
      <c r="O91" s="724"/>
      <c r="P91" s="223"/>
      <c r="Q91" s="223"/>
      <c r="R91" s="217"/>
      <c r="S91" s="198"/>
      <c r="T91" s="198"/>
      <c r="U91" s="198"/>
      <c r="V91" s="198"/>
    </row>
    <row r="92" spans="1:22" ht="30" customHeight="1" x14ac:dyDescent="0.2">
      <c r="A92" s="226"/>
      <c r="B92" s="228"/>
      <c r="C92" s="229" t="s">
        <v>103</v>
      </c>
      <c r="D92" s="225">
        <v>7612</v>
      </c>
      <c r="E92" s="574"/>
      <c r="F92" s="575"/>
      <c r="G92" s="225">
        <v>7635</v>
      </c>
      <c r="H92" s="574"/>
      <c r="I92" s="575"/>
      <c r="J92" s="225">
        <v>7658</v>
      </c>
      <c r="K92" s="574"/>
      <c r="L92" s="580"/>
      <c r="M92" s="225">
        <v>7681</v>
      </c>
      <c r="N92" s="723">
        <f>E92+H92+K92</f>
        <v>0</v>
      </c>
      <c r="O92" s="724"/>
      <c r="P92" s="223"/>
      <c r="Q92" s="223"/>
      <c r="R92" s="217"/>
      <c r="S92" s="198"/>
      <c r="T92" s="198"/>
      <c r="U92" s="198"/>
      <c r="V92" s="198"/>
    </row>
    <row r="93" spans="1:22" ht="30" customHeight="1" x14ac:dyDescent="0.2">
      <c r="A93" s="226"/>
      <c r="B93" s="228"/>
      <c r="C93" s="229" t="s">
        <v>104</v>
      </c>
      <c r="D93" s="225">
        <v>7613</v>
      </c>
      <c r="E93" s="574"/>
      <c r="F93" s="575"/>
      <c r="G93" s="225">
        <v>7636</v>
      </c>
      <c r="H93" s="574"/>
      <c r="I93" s="575"/>
      <c r="J93" s="225">
        <v>7659</v>
      </c>
      <c r="K93" s="574"/>
      <c r="L93" s="580"/>
      <c r="M93" s="225">
        <v>7682</v>
      </c>
      <c r="N93" s="723">
        <f>E93+H93+K93</f>
        <v>0</v>
      </c>
      <c r="O93" s="724"/>
      <c r="P93" s="223"/>
      <c r="Q93" s="223"/>
      <c r="R93" s="217"/>
      <c r="S93" s="198"/>
      <c r="T93" s="198"/>
      <c r="U93" s="198"/>
      <c r="V93" s="198"/>
    </row>
    <row r="94" spans="1:22" ht="30" customHeight="1" x14ac:dyDescent="0.2">
      <c r="A94" s="226"/>
      <c r="B94" s="228"/>
      <c r="C94" s="229" t="s">
        <v>105</v>
      </c>
      <c r="D94" s="225">
        <v>7614</v>
      </c>
      <c r="E94" s="574"/>
      <c r="F94" s="575"/>
      <c r="G94" s="225">
        <v>7637</v>
      </c>
      <c r="H94" s="574"/>
      <c r="I94" s="575"/>
      <c r="J94" s="225">
        <v>7660</v>
      </c>
      <c r="K94" s="574"/>
      <c r="L94" s="580"/>
      <c r="M94" s="225">
        <v>7683</v>
      </c>
      <c r="N94" s="723">
        <f>E94+H94+K94</f>
        <v>0</v>
      </c>
      <c r="O94" s="724"/>
      <c r="P94" s="223"/>
      <c r="Q94" s="223"/>
      <c r="R94" s="217"/>
      <c r="S94" s="198"/>
      <c r="T94" s="198"/>
      <c r="U94" s="198"/>
      <c r="V94" s="198"/>
    </row>
    <row r="95" spans="1:22" ht="40.5" customHeight="1" x14ac:dyDescent="0.2">
      <c r="A95" s="732" t="s">
        <v>106</v>
      </c>
      <c r="B95" s="733"/>
      <c r="C95" s="734"/>
      <c r="D95" s="222">
        <v>7615</v>
      </c>
      <c r="E95" s="727">
        <f>SUM(E96:F98)</f>
        <v>0</v>
      </c>
      <c r="F95" s="730"/>
      <c r="G95" s="222">
        <v>7638</v>
      </c>
      <c r="H95" s="727">
        <f>SUM(H96:I98)</f>
        <v>0</v>
      </c>
      <c r="I95" s="728"/>
      <c r="J95" s="222">
        <v>7661</v>
      </c>
      <c r="K95" s="727">
        <f>SUM(K96:L98)</f>
        <v>0</v>
      </c>
      <c r="L95" s="731"/>
      <c r="M95" s="222">
        <v>7684</v>
      </c>
      <c r="N95" s="699">
        <f>SUM(N96:O98)</f>
        <v>0</v>
      </c>
      <c r="O95" s="724"/>
      <c r="P95" s="223"/>
      <c r="Q95" s="223"/>
      <c r="R95" s="217"/>
      <c r="S95" s="198"/>
      <c r="T95" s="198"/>
      <c r="U95" s="198"/>
      <c r="V95" s="198"/>
    </row>
    <row r="96" spans="1:22" ht="30" customHeight="1" x14ac:dyDescent="0.2">
      <c r="A96" s="226"/>
      <c r="B96" s="571" t="s">
        <v>107</v>
      </c>
      <c r="C96" s="572"/>
      <c r="D96" s="225">
        <v>7616</v>
      </c>
      <c r="E96" s="574"/>
      <c r="F96" s="575"/>
      <c r="G96" s="225">
        <v>7639</v>
      </c>
      <c r="H96" s="574"/>
      <c r="I96" s="575"/>
      <c r="J96" s="225">
        <v>7662</v>
      </c>
      <c r="K96" s="574"/>
      <c r="L96" s="580"/>
      <c r="M96" s="225">
        <v>7685</v>
      </c>
      <c r="N96" s="723">
        <f>E96+H96+K96</f>
        <v>0</v>
      </c>
      <c r="O96" s="724"/>
      <c r="P96" s="223"/>
      <c r="Q96" s="223"/>
      <c r="R96" s="217"/>
      <c r="S96" s="198"/>
      <c r="T96" s="198"/>
      <c r="U96" s="198"/>
      <c r="V96" s="198"/>
    </row>
    <row r="97" spans="1:20" ht="40.5" customHeight="1" x14ac:dyDescent="0.2">
      <c r="A97" s="226"/>
      <c r="B97" s="571" t="s">
        <v>108</v>
      </c>
      <c r="C97" s="572"/>
      <c r="D97" s="225">
        <v>7617</v>
      </c>
      <c r="E97" s="574"/>
      <c r="F97" s="575"/>
      <c r="G97" s="225">
        <v>7640</v>
      </c>
      <c r="H97" s="574"/>
      <c r="I97" s="575"/>
      <c r="J97" s="225">
        <v>7663</v>
      </c>
      <c r="K97" s="574"/>
      <c r="L97" s="580"/>
      <c r="M97" s="225">
        <v>7686</v>
      </c>
      <c r="N97" s="723">
        <f>E97+H97+K97</f>
        <v>0</v>
      </c>
      <c r="O97" s="724"/>
      <c r="P97" s="223"/>
      <c r="Q97" s="223"/>
      <c r="R97" s="230"/>
    </row>
    <row r="98" spans="1:20" ht="30" customHeight="1" x14ac:dyDescent="0.2">
      <c r="A98" s="226"/>
      <c r="B98" s="571" t="s">
        <v>109</v>
      </c>
      <c r="C98" s="572"/>
      <c r="D98" s="225">
        <v>7618</v>
      </c>
      <c r="E98" s="574"/>
      <c r="F98" s="575"/>
      <c r="G98" s="225">
        <v>7641</v>
      </c>
      <c r="H98" s="574"/>
      <c r="I98" s="575"/>
      <c r="J98" s="225">
        <v>7664</v>
      </c>
      <c r="K98" s="574"/>
      <c r="L98" s="580"/>
      <c r="M98" s="225">
        <v>7687</v>
      </c>
      <c r="N98" s="723">
        <f>E98+H98+K98</f>
        <v>0</v>
      </c>
      <c r="O98" s="724"/>
      <c r="P98" s="223"/>
      <c r="Q98" s="223"/>
      <c r="R98" s="230"/>
    </row>
    <row r="99" spans="1:20" ht="41.25" customHeight="1" thickBot="1" x14ac:dyDescent="0.25">
      <c r="A99" s="566" t="s">
        <v>110</v>
      </c>
      <c r="B99" s="567"/>
      <c r="C99" s="568"/>
      <c r="D99" s="231">
        <v>7619</v>
      </c>
      <c r="E99" s="581">
        <f>SUM(E77+E95)</f>
        <v>0</v>
      </c>
      <c r="F99" s="737"/>
      <c r="G99" s="231">
        <v>7642</v>
      </c>
      <c r="H99" s="581">
        <f>SUM(H77+H95)</f>
        <v>0</v>
      </c>
      <c r="I99" s="738"/>
      <c r="J99" s="231">
        <v>7665</v>
      </c>
      <c r="K99" s="581">
        <f>SUM(K77+K95)</f>
        <v>0</v>
      </c>
      <c r="L99" s="582"/>
      <c r="M99" s="231">
        <v>7688</v>
      </c>
      <c r="N99" s="735">
        <f>N77+N95</f>
        <v>0</v>
      </c>
      <c r="O99" s="736"/>
      <c r="P99" s="223"/>
      <c r="Q99" s="223"/>
      <c r="R99" s="114"/>
    </row>
    <row r="100" spans="1:20" ht="53.25" customHeight="1" x14ac:dyDescent="0.2">
      <c r="A100" s="583" t="str">
        <f>IF('Capital Expend Project Specific'!K1=J71,"","Please review.  The number of Projects reported in Section 1 must equal the number of projects reported on the Capital Expenditure Project Specific Tab: "&amp;TEXT('Capital Expend Project Specific'!K1,"00"))</f>
        <v/>
      </c>
      <c r="B100" s="579"/>
      <c r="C100" s="579"/>
      <c r="D100" s="579"/>
      <c r="E100" s="579"/>
      <c r="F100" s="579"/>
      <c r="G100" s="563" t="str">
        <f>IF('Capital Expend Project Specific'!P1&lt;&gt;J72,CONCATENATE("Please review. The total dollars for expenditures reported in Section 1 must equal the total dollars reported on the Capital Expenditure Project Specific Tab: "&amp;TEXT('Capital Expend Project Specific'!P1,"$0,000")),"")</f>
        <v/>
      </c>
      <c r="H100" s="564"/>
      <c r="I100" s="564"/>
      <c r="J100" s="564"/>
      <c r="K100" s="565"/>
      <c r="L100" s="565"/>
      <c r="M100" s="579" t="str">
        <f>IF(N99=J72,"","Please review.  The value for 7688 must equal the value of code 7596 in Section 1: "&amp;TEXT(J72,"$0,000"))</f>
        <v/>
      </c>
      <c r="N100" s="579"/>
      <c r="O100" s="579"/>
      <c r="P100" s="232"/>
    </row>
    <row r="101" spans="1:20" ht="23.25" customHeight="1" x14ac:dyDescent="0.2">
      <c r="A101" s="576" t="str">
        <f>IF(LEN(R101)&gt;0,"Section 1: Number of Projects","")</f>
        <v/>
      </c>
      <c r="B101" s="577"/>
      <c r="C101" s="577"/>
      <c r="D101" s="577"/>
      <c r="E101" s="577"/>
      <c r="F101" s="577"/>
      <c r="G101" s="233"/>
      <c r="H101" s="234"/>
      <c r="I101" s="578" t="str">
        <f>IF(LEN(T101)&gt;0,"Section 1: Total dollars for expenditures","")</f>
        <v/>
      </c>
      <c r="J101" s="577"/>
      <c r="K101" s="577"/>
      <c r="L101" s="577"/>
      <c r="M101" s="577"/>
      <c r="N101" s="235"/>
      <c r="O101" s="235"/>
      <c r="P101" s="232"/>
      <c r="R101" s="236" t="str">
        <f>IF(LEN(A100)&gt;0,"X","")</f>
        <v/>
      </c>
      <c r="T101" s="236" t="str">
        <f>IF(OR(LEN(G100)&gt;0,LEN(M100)&gt;0),"X","")</f>
        <v/>
      </c>
    </row>
    <row r="102" spans="1:20" ht="39.75" customHeight="1" x14ac:dyDescent="0.2">
      <c r="B102" s="105"/>
      <c r="C102" s="105"/>
      <c r="D102" s="105"/>
      <c r="E102" s="573" t="s">
        <v>7</v>
      </c>
      <c r="F102" s="573"/>
      <c r="G102" s="573"/>
      <c r="H102" s="573"/>
      <c r="I102" s="573"/>
      <c r="J102" s="573"/>
      <c r="K102" s="746" t="str">
        <f>IF(AND(R101&lt;&gt;"X",T101&lt;&gt;"X",'Capital Expend Project Specific'!AH14&gt;0),"Please go to the Capital Expend Project Specific tab and provide required information","")</f>
        <v/>
      </c>
      <c r="L102" s="747"/>
      <c r="M102" s="747"/>
      <c r="N102" s="747"/>
      <c r="O102" s="747"/>
      <c r="P102" s="232"/>
    </row>
    <row r="103" spans="1:20" x14ac:dyDescent="0.2">
      <c r="B103" s="102"/>
      <c r="C103" s="569"/>
      <c r="D103" s="570"/>
      <c r="E103" s="569"/>
      <c r="F103" s="569"/>
      <c r="G103" s="102"/>
      <c r="H103" s="102"/>
      <c r="P103" s="1"/>
      <c r="Q103" s="1"/>
    </row>
    <row r="104" spans="1:20" ht="15.75" x14ac:dyDescent="0.25">
      <c r="B104" s="102"/>
      <c r="C104" s="102"/>
      <c r="D104" s="102"/>
      <c r="E104" s="102"/>
      <c r="F104" s="102"/>
      <c r="G104" s="102"/>
      <c r="H104" s="102"/>
      <c r="R104" s="238"/>
      <c r="S104" s="238"/>
    </row>
    <row r="105" spans="1:20" ht="15.75" x14ac:dyDescent="0.25">
      <c r="R105" s="238"/>
      <c r="S105" s="238"/>
    </row>
    <row r="106" spans="1:20" ht="15.75" x14ac:dyDescent="0.25">
      <c r="Q106" s="107"/>
      <c r="R106" s="238"/>
      <c r="S106" s="238"/>
    </row>
    <row r="107" spans="1:20" ht="15.75" x14ac:dyDescent="0.25">
      <c r="R107" s="238"/>
      <c r="S107" s="238"/>
    </row>
    <row r="108" spans="1:20" ht="15.75" x14ac:dyDescent="0.25">
      <c r="R108" s="238"/>
      <c r="S108" s="238"/>
    </row>
    <row r="109" spans="1:20" ht="15.75" x14ac:dyDescent="0.25">
      <c r="R109" s="238"/>
      <c r="S109" s="238"/>
    </row>
    <row r="110" spans="1:20" ht="15.75" x14ac:dyDescent="0.25">
      <c r="R110" s="238"/>
      <c r="S110" s="238"/>
    </row>
    <row r="111" spans="1:20" ht="15.75" x14ac:dyDescent="0.25">
      <c r="R111" s="238"/>
      <c r="S111" s="238"/>
    </row>
  </sheetData>
  <sheetProtection sheet="1" objects="1" scenarios="1"/>
  <mergeCells count="278">
    <mergeCell ref="L35:O35"/>
    <mergeCell ref="K102:O102"/>
    <mergeCell ref="N93:O93"/>
    <mergeCell ref="B71:I71"/>
    <mergeCell ref="B69:I70"/>
    <mergeCell ref="A57:C57"/>
    <mergeCell ref="D57:G57"/>
    <mergeCell ref="A69:A70"/>
    <mergeCell ref="E94:F94"/>
    <mergeCell ref="H94:I94"/>
    <mergeCell ref="N94:O94"/>
    <mergeCell ref="E93:F93"/>
    <mergeCell ref="H93:I93"/>
    <mergeCell ref="K94:L94"/>
    <mergeCell ref="K93:L93"/>
    <mergeCell ref="N91:O91"/>
    <mergeCell ref="E92:F92"/>
    <mergeCell ref="B88:C88"/>
    <mergeCell ref="K79:L79"/>
    <mergeCell ref="J72:K72"/>
    <mergeCell ref="N87:O87"/>
    <mergeCell ref="H88:I88"/>
    <mergeCell ref="N88:O88"/>
    <mergeCell ref="H87:I87"/>
    <mergeCell ref="B89:C89"/>
    <mergeCell ref="B90:C90"/>
    <mergeCell ref="N78:O78"/>
    <mergeCell ref="A73:H73"/>
    <mergeCell ref="B82:C82"/>
    <mergeCell ref="B83:C83"/>
    <mergeCell ref="E88:F88"/>
    <mergeCell ref="E87:F87"/>
    <mergeCell ref="B72:I72"/>
    <mergeCell ref="A75:M75"/>
    <mergeCell ref="A77:C77"/>
    <mergeCell ref="B78:C78"/>
    <mergeCell ref="B79:C79"/>
    <mergeCell ref="B80:C80"/>
    <mergeCell ref="B87:C87"/>
    <mergeCell ref="B86:C86"/>
    <mergeCell ref="B84:C84"/>
    <mergeCell ref="B85:C85"/>
    <mergeCell ref="B81:C81"/>
    <mergeCell ref="E78:F78"/>
    <mergeCell ref="H78:I78"/>
    <mergeCell ref="E77:F77"/>
    <mergeCell ref="K77:L77"/>
    <mergeCell ref="K78:L78"/>
    <mergeCell ref="A95:C95"/>
    <mergeCell ref="N99:O99"/>
    <mergeCell ref="E99:F99"/>
    <mergeCell ref="H99:I99"/>
    <mergeCell ref="K97:L97"/>
    <mergeCell ref="N97:O97"/>
    <mergeCell ref="E98:F98"/>
    <mergeCell ref="H98:I98"/>
    <mergeCell ref="N98:O98"/>
    <mergeCell ref="E97:F97"/>
    <mergeCell ref="H97:I97"/>
    <mergeCell ref="N96:O96"/>
    <mergeCell ref="E95:F95"/>
    <mergeCell ref="H95:I95"/>
    <mergeCell ref="K96:L96"/>
    <mergeCell ref="K95:L95"/>
    <mergeCell ref="N95:O95"/>
    <mergeCell ref="H77:I77"/>
    <mergeCell ref="E76:F76"/>
    <mergeCell ref="H76:I76"/>
    <mergeCell ref="H92:I92"/>
    <mergeCell ref="N92:O92"/>
    <mergeCell ref="E91:F91"/>
    <mergeCell ref="H91:I91"/>
    <mergeCell ref="K92:L92"/>
    <mergeCell ref="K91:L91"/>
    <mergeCell ref="N89:O89"/>
    <mergeCell ref="E90:F90"/>
    <mergeCell ref="H90:I90"/>
    <mergeCell ref="N90:O90"/>
    <mergeCell ref="E89:F89"/>
    <mergeCell ref="H89:I89"/>
    <mergeCell ref="K89:L89"/>
    <mergeCell ref="K90:L90"/>
    <mergeCell ref="K87:L87"/>
    <mergeCell ref="K88:L88"/>
    <mergeCell ref="N85:O85"/>
    <mergeCell ref="E86:F86"/>
    <mergeCell ref="H86:I86"/>
    <mergeCell ref="N86:O86"/>
    <mergeCell ref="E85:F85"/>
    <mergeCell ref="H85:I85"/>
    <mergeCell ref="K86:L86"/>
    <mergeCell ref="K85:L85"/>
    <mergeCell ref="N83:O83"/>
    <mergeCell ref="E84:F84"/>
    <mergeCell ref="H84:I84"/>
    <mergeCell ref="N84:O84"/>
    <mergeCell ref="E83:F83"/>
    <mergeCell ref="H83:I83"/>
    <mergeCell ref="K83:L83"/>
    <mergeCell ref="K84:L84"/>
    <mergeCell ref="N82:O82"/>
    <mergeCell ref="N79:O79"/>
    <mergeCell ref="E80:F80"/>
    <mergeCell ref="H80:I80"/>
    <mergeCell ref="N80:O80"/>
    <mergeCell ref="E79:F79"/>
    <mergeCell ref="H79:I79"/>
    <mergeCell ref="K80:L80"/>
    <mergeCell ref="E82:F82"/>
    <mergeCell ref="H82:I82"/>
    <mergeCell ref="K82:L82"/>
    <mergeCell ref="E81:F81"/>
    <mergeCell ref="H81:I81"/>
    <mergeCell ref="K81:L81"/>
    <mergeCell ref="N81:O81"/>
    <mergeCell ref="N76:O76"/>
    <mergeCell ref="N77:O77"/>
    <mergeCell ref="K76:L76"/>
    <mergeCell ref="N75:O75"/>
    <mergeCell ref="L67:O67"/>
    <mergeCell ref="A18:C18"/>
    <mergeCell ref="L71:O72"/>
    <mergeCell ref="A74:O74"/>
    <mergeCell ref="D54:G54"/>
    <mergeCell ref="L70:O70"/>
    <mergeCell ref="J71:K71"/>
    <mergeCell ref="I73:O73"/>
    <mergeCell ref="A56:C56"/>
    <mergeCell ref="D56:G56"/>
    <mergeCell ref="A67:K67"/>
    <mergeCell ref="A68:I68"/>
    <mergeCell ref="J68:K68"/>
    <mergeCell ref="A55:C55"/>
    <mergeCell ref="I55:K55"/>
    <mergeCell ref="D55:G55"/>
    <mergeCell ref="A46:C46"/>
    <mergeCell ref="D46:G46"/>
    <mergeCell ref="A45:C45"/>
    <mergeCell ref="A53:C53"/>
    <mergeCell ref="A40:C40"/>
    <mergeCell ref="D40:G40"/>
    <mergeCell ref="A41:C41"/>
    <mergeCell ref="A42:K42"/>
    <mergeCell ref="A43:C43"/>
    <mergeCell ref="I40:K40"/>
    <mergeCell ref="D41:G41"/>
    <mergeCell ref="D43:G43"/>
    <mergeCell ref="L59:O59"/>
    <mergeCell ref="D53:G53"/>
    <mergeCell ref="A54:C54"/>
    <mergeCell ref="A52:C52"/>
    <mergeCell ref="D45:G45"/>
    <mergeCell ref="D44:G44"/>
    <mergeCell ref="D51:G51"/>
    <mergeCell ref="A47:C47"/>
    <mergeCell ref="D47:G47"/>
    <mergeCell ref="I47:K47"/>
    <mergeCell ref="I48:K48"/>
    <mergeCell ref="I46:K46"/>
    <mergeCell ref="I56:K56"/>
    <mergeCell ref="I54:K54"/>
    <mergeCell ref="I51:K51"/>
    <mergeCell ref="I53:K53"/>
    <mergeCell ref="D52:G52"/>
    <mergeCell ref="A49:C49"/>
    <mergeCell ref="D49:G49"/>
    <mergeCell ref="A51:C51"/>
    <mergeCell ref="A48:C48"/>
    <mergeCell ref="D48:G48"/>
    <mergeCell ref="A50:K50"/>
    <mergeCell ref="I43:K43"/>
    <mergeCell ref="A44:C44"/>
    <mergeCell ref="I45:K45"/>
    <mergeCell ref="L6:N6"/>
    <mergeCell ref="D16:G16"/>
    <mergeCell ref="D7:G7"/>
    <mergeCell ref="D8:G8"/>
    <mergeCell ref="D9:G9"/>
    <mergeCell ref="D6:G6"/>
    <mergeCell ref="L16:O16"/>
    <mergeCell ref="I6:K6"/>
    <mergeCell ref="L14:O14"/>
    <mergeCell ref="D14:G14"/>
    <mergeCell ref="D15:G15"/>
    <mergeCell ref="L13:N13"/>
    <mergeCell ref="N7:P8"/>
    <mergeCell ref="H11:K11"/>
    <mergeCell ref="I7:J7"/>
    <mergeCell ref="J28:K28"/>
    <mergeCell ref="H24:K24"/>
    <mergeCell ref="A26:K27"/>
    <mergeCell ref="I38:K38"/>
    <mergeCell ref="I39:K39"/>
    <mergeCell ref="A23:C23"/>
    <mergeCell ref="A25:K25"/>
    <mergeCell ref="D23:G23"/>
    <mergeCell ref="I37:K37"/>
    <mergeCell ref="A36:C36"/>
    <mergeCell ref="D36:G36"/>
    <mergeCell ref="I35:K35"/>
    <mergeCell ref="A33:K33"/>
    <mergeCell ref="A38:C38"/>
    <mergeCell ref="D38:G38"/>
    <mergeCell ref="A35:C35"/>
    <mergeCell ref="D35:G35"/>
    <mergeCell ref="C29:K29"/>
    <mergeCell ref="A37:C37"/>
    <mergeCell ref="D37:G37"/>
    <mergeCell ref="D24:G24"/>
    <mergeCell ref="D21:G21"/>
    <mergeCell ref="A19:C19"/>
    <mergeCell ref="A20:C20"/>
    <mergeCell ref="A21:C21"/>
    <mergeCell ref="A29:B29"/>
    <mergeCell ref="D22:G22"/>
    <mergeCell ref="A28:B28"/>
    <mergeCell ref="C28:H28"/>
    <mergeCell ref="A22:C22"/>
    <mergeCell ref="A13:C13"/>
    <mergeCell ref="D12:G12"/>
    <mergeCell ref="D13:G13"/>
    <mergeCell ref="A12:C12"/>
    <mergeCell ref="A15:C15"/>
    <mergeCell ref="H13:I13"/>
    <mergeCell ref="J13:K13"/>
    <mergeCell ref="H19:K19"/>
    <mergeCell ref="J15:K15"/>
    <mergeCell ref="J14:K14"/>
    <mergeCell ref="H14:I14"/>
    <mergeCell ref="H15:I15"/>
    <mergeCell ref="A14:C14"/>
    <mergeCell ref="D19:G20"/>
    <mergeCell ref="A16:C16"/>
    <mergeCell ref="A17:C17"/>
    <mergeCell ref="D17:G17"/>
    <mergeCell ref="D18:G18"/>
    <mergeCell ref="A1:K1"/>
    <mergeCell ref="A2:K2"/>
    <mergeCell ref="H12:K12"/>
    <mergeCell ref="D10:G10"/>
    <mergeCell ref="D11:G11"/>
    <mergeCell ref="A4:K4"/>
    <mergeCell ref="A3:K3"/>
    <mergeCell ref="A5:C5"/>
    <mergeCell ref="E5:K5"/>
    <mergeCell ref="A6:C6"/>
    <mergeCell ref="B11:C11"/>
    <mergeCell ref="H8:K8"/>
    <mergeCell ref="H10:K10"/>
    <mergeCell ref="A7:A11"/>
    <mergeCell ref="B7:C7"/>
    <mergeCell ref="B8:C8"/>
    <mergeCell ref="B9:C9"/>
    <mergeCell ref="B10:C10"/>
    <mergeCell ref="U68:W68"/>
    <mergeCell ref="A30:K30"/>
    <mergeCell ref="L30:O30"/>
    <mergeCell ref="A39:C39"/>
    <mergeCell ref="D39:G39"/>
    <mergeCell ref="A34:K34"/>
    <mergeCell ref="G100:L100"/>
    <mergeCell ref="A99:C99"/>
    <mergeCell ref="C103:D103"/>
    <mergeCell ref="E103:F103"/>
    <mergeCell ref="B96:C96"/>
    <mergeCell ref="B97:C97"/>
    <mergeCell ref="B98:C98"/>
    <mergeCell ref="E102:J102"/>
    <mergeCell ref="E96:F96"/>
    <mergeCell ref="H96:I96"/>
    <mergeCell ref="A101:F101"/>
    <mergeCell ref="I101:M101"/>
    <mergeCell ref="M100:O100"/>
    <mergeCell ref="K98:L98"/>
    <mergeCell ref="K99:L99"/>
    <mergeCell ref="A100:F100"/>
    <mergeCell ref="F31:K31"/>
    <mergeCell ref="A31:E31"/>
  </mergeCells>
  <phoneticPr fontId="0" type="noConversion"/>
  <conditionalFormatting sqref="E99:F99 K99 E90:F90 E95:F95 H90:I90 H95:I95 E77:F77 H77:I77 K77 K95 K90 H99:I99">
    <cfRule type="expression" dxfId="3" priority="1" stopIfTrue="1">
      <formula>IF(ISBLANK($M$699),FALSE,TRUE)</formula>
    </cfRule>
  </conditionalFormatting>
  <conditionalFormatting sqref="E5:K5">
    <cfRule type="expression" dxfId="2" priority="8" stopIfTrue="1">
      <formula>ISBLANK($D$5)</formula>
    </cfRule>
  </conditionalFormatting>
  <hyperlinks>
    <hyperlink ref="A5:C5" location="System_ID_list" display="System ID" xr:uid="{00000000-0004-0000-0400-000000000000}"/>
    <hyperlink ref="H6" location="def_NPI" display="NPI" xr:uid="{00000000-0004-0000-0400-000001000000}"/>
    <hyperlink ref="A101:F101" location="code_7595" display="code_7595" xr:uid="{00000000-0004-0000-0400-000002000000}"/>
    <hyperlink ref="I101:M101" location="code_7596" display="code_7596" xr:uid="{00000000-0004-0000-0400-000003000000}"/>
    <hyperlink ref="E102:J102" location="'Capital Expend Project Specific'!A1" display="'Capital Expend Project Specific'!A1" xr:uid="{00000000-0004-0000-0400-000004000000}"/>
    <hyperlink ref="I73:O73" location="cap_exp_contact" display="cap_exp_contact" xr:uid="{00000000-0004-0000-0400-000005000000}"/>
    <hyperlink ref="B69:I70" location="def_cap_exp" display="Did your Reporting Entity have any Major Capital Expenditure Commitments in FY 2009 that were over $1 million dollars each?" xr:uid="{00000000-0004-0000-0400-000006000000}"/>
    <hyperlink ref="F31:K31" location="'Capital Expend Project Specific'!A1" display="'Capital Expend Project Specific'!A1" xr:uid="{00000000-0004-0000-0400-000007000000}"/>
    <hyperlink ref="A31:E31" location="cap_exp_errors" display="cap_exp_errors" xr:uid="{00000000-0004-0000-0400-000008000000}"/>
  </hyperlinks>
  <printOptions horizontalCentered="1"/>
  <pageMargins left="0.75" right="0.75" top="1" bottom="1" header="0.5" footer="0.5"/>
  <pageSetup scale="58" fitToHeight="3"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rowBreaks count="2" manualBreakCount="2">
    <brk id="31" max="14" man="1"/>
    <brk id="6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5"/>
  <sheetViews>
    <sheetView zoomScaleNormal="100" workbookViewId="0">
      <selection activeCell="H20" sqref="H20"/>
    </sheetView>
  </sheetViews>
  <sheetFormatPr defaultColWidth="8.85546875" defaultRowHeight="12.75" x14ac:dyDescent="0.2"/>
  <cols>
    <col min="1" max="3" width="9.140625" style="104" customWidth="1"/>
    <col min="4" max="4" width="9.7109375" style="104" bestFit="1" customWidth="1"/>
    <col min="5" max="5" width="9.140625" style="104" customWidth="1"/>
    <col min="6" max="6" width="10.28515625" style="104" bestFit="1" customWidth="1"/>
    <col min="7" max="8" width="9.140625" style="104" customWidth="1"/>
    <col min="9" max="10" width="9.140625" style="237" customWidth="1"/>
    <col min="11" max="13" width="9.140625" style="104" customWidth="1"/>
    <col min="14" max="14" width="10.42578125" style="104" bestFit="1" customWidth="1"/>
    <col min="15" max="15" width="9.140625" style="104" customWidth="1"/>
    <col min="16" max="16" width="9.140625" style="105" customWidth="1"/>
    <col min="17" max="17" width="10.42578125" style="105" customWidth="1"/>
    <col min="18" max="20" width="9.140625" style="106" hidden="1" customWidth="1"/>
    <col min="21" max="21" width="9.85546875" style="108" hidden="1" customWidth="1"/>
    <col min="22" max="23" width="9.140625" style="108" hidden="1" customWidth="1"/>
    <col min="24" max="16384" width="8.85546875" style="3"/>
  </cols>
  <sheetData>
    <row r="1" spans="1:23" ht="25.5" customHeight="1" x14ac:dyDescent="0.2">
      <c r="A1" s="587" t="s">
        <v>139</v>
      </c>
      <c r="B1" s="588"/>
      <c r="C1" s="588"/>
      <c r="D1" s="588"/>
      <c r="E1" s="588"/>
      <c r="F1" s="588"/>
      <c r="G1" s="588"/>
      <c r="H1" s="588"/>
      <c r="I1" s="588"/>
      <c r="J1" s="588"/>
      <c r="K1" s="588"/>
      <c r="L1" s="239" t="s">
        <v>297</v>
      </c>
      <c r="M1" s="102"/>
      <c r="R1" s="106" t="s">
        <v>112</v>
      </c>
      <c r="U1" s="106"/>
      <c r="V1" s="106"/>
      <c r="W1" s="106"/>
    </row>
    <row r="2" spans="1:23" ht="21.75" thickBot="1" x14ac:dyDescent="0.25">
      <c r="A2" s="589" t="str">
        <f>CONCATENATE("Commitments Made in ",'Capital Expend Detail'!$N$1," Fiscal Year")</f>
        <v>Commitments Made in 2022 Fiscal Year</v>
      </c>
      <c r="B2" s="590"/>
      <c r="C2" s="590"/>
      <c r="D2" s="590"/>
      <c r="E2" s="590"/>
      <c r="F2" s="590"/>
      <c r="G2" s="590"/>
      <c r="H2" s="590"/>
      <c r="I2" s="590"/>
      <c r="J2" s="590"/>
      <c r="K2" s="590"/>
      <c r="L2" s="4"/>
      <c r="M2" s="4"/>
      <c r="N2" s="4"/>
      <c r="O2" s="4"/>
      <c r="P2" s="107"/>
      <c r="Q2" s="107"/>
    </row>
    <row r="3" spans="1:23" ht="30" customHeight="1" x14ac:dyDescent="0.2">
      <c r="A3" s="597" t="s">
        <v>40</v>
      </c>
      <c r="B3" s="598"/>
      <c r="C3" s="598"/>
      <c r="D3" s="598"/>
      <c r="E3" s="598"/>
      <c r="F3" s="598"/>
      <c r="G3" s="598"/>
      <c r="H3" s="598"/>
      <c r="I3" s="598"/>
      <c r="J3" s="598"/>
      <c r="K3" s="599"/>
      <c r="L3" s="109"/>
      <c r="M3" s="56"/>
      <c r="N3" s="83"/>
      <c r="O3" s="83"/>
      <c r="P3" s="56"/>
      <c r="Q3" s="83"/>
      <c r="R3" s="110"/>
      <c r="S3" s="110"/>
      <c r="T3" s="110"/>
    </row>
    <row r="4" spans="1:23" ht="30" customHeight="1" x14ac:dyDescent="0.2">
      <c r="A4" s="594" t="s">
        <v>137</v>
      </c>
      <c r="B4" s="595"/>
      <c r="C4" s="595"/>
      <c r="D4" s="595"/>
      <c r="E4" s="595"/>
      <c r="F4" s="595"/>
      <c r="G4" s="595"/>
      <c r="H4" s="595"/>
      <c r="I4" s="595"/>
      <c r="J4" s="595"/>
      <c r="K4" s="596"/>
      <c r="L4" s="109"/>
      <c r="M4" s="56"/>
      <c r="N4" s="83"/>
      <c r="O4" s="83"/>
      <c r="P4" s="56"/>
      <c r="Q4" s="83"/>
      <c r="R4" s="110"/>
      <c r="S4" s="110"/>
      <c r="T4" s="110"/>
    </row>
    <row r="5" spans="1:23" ht="30" customHeight="1" x14ac:dyDescent="0.2">
      <c r="A5" s="600" t="s">
        <v>138</v>
      </c>
      <c r="B5" s="601"/>
      <c r="C5" s="601"/>
      <c r="D5" s="111">
        <f>start</f>
        <v>0</v>
      </c>
      <c r="E5" s="602" t="str">
        <f>IF(ISBLANK(D5),"This is the unique ID assigned to your System for the reporting of Capital Expenditures for a Health Care System.  Please click on the System ID link, select your ID from the list, and enter it here.","Please verify the information that we have on file for your Reporting Entity.")</f>
        <v>Please verify the information that we have on file for your Reporting Entity.</v>
      </c>
      <c r="F5" s="603"/>
      <c r="G5" s="603"/>
      <c r="H5" s="603"/>
      <c r="I5" s="603"/>
      <c r="J5" s="603"/>
      <c r="K5" s="604"/>
      <c r="L5" s="109"/>
      <c r="M5" s="56"/>
      <c r="N5" s="83"/>
      <c r="O5" s="83"/>
      <c r="P5" s="56"/>
      <c r="Q5" s="83"/>
      <c r="R5" s="110"/>
      <c r="S5" s="110"/>
      <c r="T5" s="110"/>
    </row>
    <row r="6" spans="1:23" ht="30" customHeight="1" x14ac:dyDescent="0.2">
      <c r="A6" s="556" t="s">
        <v>25</v>
      </c>
      <c r="B6" s="557"/>
      <c r="C6" s="557"/>
      <c r="D6" s="558" t="e">
        <f>VLOOKUP($D$5,ID_list,2,FALSE)</f>
        <v>#N/A</v>
      </c>
      <c r="E6" s="558"/>
      <c r="F6" s="558"/>
      <c r="G6" s="558"/>
      <c r="H6" s="112" t="s">
        <v>64</v>
      </c>
      <c r="I6" s="682" t="e">
        <f>VLOOKUP($D$5,ID_list,91,FALSE)</f>
        <v>#N/A</v>
      </c>
      <c r="J6" s="682"/>
      <c r="K6" s="683"/>
      <c r="L6" s="679" t="e">
        <f>IF(I6=0,"Please enter NPI."," ")</f>
        <v>#N/A</v>
      </c>
      <c r="M6" s="680"/>
      <c r="N6" s="680"/>
      <c r="O6" s="109"/>
      <c r="P6" s="56"/>
      <c r="Q6" s="83"/>
      <c r="R6" s="113"/>
      <c r="S6" s="114"/>
      <c r="T6" s="113"/>
      <c r="V6" s="113"/>
    </row>
    <row r="7" spans="1:23" ht="30" customHeight="1" x14ac:dyDescent="0.2">
      <c r="A7" s="612" t="s">
        <v>642</v>
      </c>
      <c r="B7" s="605" t="s">
        <v>49</v>
      </c>
      <c r="C7" s="606"/>
      <c r="D7" s="593" t="e">
        <f>CONCATENATE(VLOOKUP($D$5,ID_list,10,FALSE)," ",VLOOKUP($D$5,ID_list,11,FALSE))</f>
        <v>#N/A</v>
      </c>
      <c r="E7" s="593"/>
      <c r="F7" s="593"/>
      <c r="G7" s="593"/>
      <c r="H7" s="115" t="s">
        <v>278</v>
      </c>
      <c r="I7" s="763" t="e">
        <f>VLOOKUP($D$5,ID_list,99,FALSE)</f>
        <v>#N/A</v>
      </c>
      <c r="J7" s="764"/>
      <c r="K7" s="765"/>
      <c r="L7" s="117"/>
      <c r="M7" s="102"/>
      <c r="N7" s="118"/>
      <c r="O7" s="118"/>
      <c r="P7" s="107"/>
      <c r="Q7" s="118"/>
      <c r="R7" s="119" t="s">
        <v>0</v>
      </c>
      <c r="S7" s="102" t="e">
        <f>VLOOKUP($D$5,ID_list,92,FALSE)</f>
        <v>#N/A</v>
      </c>
      <c r="T7" s="113"/>
      <c r="U7" s="120"/>
      <c r="V7" s="113"/>
    </row>
    <row r="8" spans="1:23" ht="30" customHeight="1" x14ac:dyDescent="0.2">
      <c r="A8" s="613"/>
      <c r="B8" s="605" t="s">
        <v>50</v>
      </c>
      <c r="C8" s="606"/>
      <c r="D8" s="593" t="e">
        <f>VLOOKUP($D$5,ID_list,12,FALSE)</f>
        <v>#N/A</v>
      </c>
      <c r="E8" s="593"/>
      <c r="F8" s="593"/>
      <c r="G8" s="593"/>
      <c r="H8" s="607" t="s">
        <v>279</v>
      </c>
      <c r="I8" s="608"/>
      <c r="J8" s="608"/>
      <c r="K8" s="609"/>
      <c r="L8" s="117"/>
      <c r="M8" s="83"/>
      <c r="N8" s="109"/>
      <c r="O8" s="109"/>
      <c r="P8" s="83"/>
      <c r="Q8" s="109"/>
      <c r="R8" s="113"/>
      <c r="T8" s="113"/>
      <c r="V8" s="113"/>
    </row>
    <row r="9" spans="1:23" ht="30" customHeight="1" x14ac:dyDescent="0.2">
      <c r="A9" s="613"/>
      <c r="B9" s="605" t="s">
        <v>56</v>
      </c>
      <c r="C9" s="606"/>
      <c r="D9" s="593" t="e">
        <f>VLOOKUP($D$5,ID_list,13,FALSE)</f>
        <v>#N/A</v>
      </c>
      <c r="E9" s="593"/>
      <c r="F9" s="593"/>
      <c r="G9" s="593"/>
      <c r="H9" s="121"/>
      <c r="I9" s="122"/>
      <c r="J9" s="122"/>
      <c r="K9" s="123"/>
      <c r="L9" s="117"/>
      <c r="M9" s="83"/>
      <c r="N9" s="109"/>
      <c r="O9" s="109"/>
      <c r="P9" s="109"/>
      <c r="Q9" s="109"/>
      <c r="R9" s="113"/>
      <c r="S9" s="114"/>
      <c r="T9" s="113"/>
      <c r="V9" s="124"/>
    </row>
    <row r="10" spans="1:23" ht="30" customHeight="1" x14ac:dyDescent="0.2">
      <c r="A10" s="613"/>
      <c r="B10" s="605" t="s">
        <v>58</v>
      </c>
      <c r="C10" s="606"/>
      <c r="D10" s="593" t="e">
        <f>VLOOKUP($D$5,ID_list,14,FALSE)</f>
        <v>#N/A</v>
      </c>
      <c r="E10" s="593"/>
      <c r="F10" s="593"/>
      <c r="G10" s="593"/>
      <c r="H10" s="610"/>
      <c r="I10" s="610"/>
      <c r="J10" s="610"/>
      <c r="K10" s="611"/>
      <c r="L10" s="117"/>
      <c r="M10" s="83"/>
      <c r="N10" s="125"/>
      <c r="O10" s="109"/>
      <c r="P10" s="109"/>
      <c r="Q10" s="125"/>
      <c r="R10" s="113"/>
      <c r="S10" s="114"/>
      <c r="T10" s="113"/>
    </row>
    <row r="11" spans="1:23" ht="30" customHeight="1" x14ac:dyDescent="0.2">
      <c r="A11" s="613"/>
      <c r="B11" s="605" t="s">
        <v>51</v>
      </c>
      <c r="C11" s="606"/>
      <c r="D11" s="593" t="e">
        <f>CONCATENATE(VLOOKUP($D$5,ID_list,15,FALSE),"-",VLOOKUP($D$5,ID_list,16,FALSE))</f>
        <v>#N/A</v>
      </c>
      <c r="E11" s="593"/>
      <c r="F11" s="593"/>
      <c r="G11" s="593"/>
      <c r="H11" s="610"/>
      <c r="I11" s="610"/>
      <c r="J11" s="610"/>
      <c r="K11" s="611"/>
      <c r="L11" s="117"/>
      <c r="M11" s="102"/>
      <c r="P11" s="109"/>
      <c r="Q11" s="125"/>
      <c r="R11" s="113"/>
      <c r="S11" s="110"/>
      <c r="T11" s="113"/>
    </row>
    <row r="12" spans="1:23" ht="30" customHeight="1" x14ac:dyDescent="0.2">
      <c r="A12" s="556" t="s">
        <v>135</v>
      </c>
      <c r="B12" s="557"/>
      <c r="C12" s="557"/>
      <c r="D12" s="642" t="e">
        <f>VLOOKUP($D$5,ID_list,17,FALSE)</f>
        <v>#N/A</v>
      </c>
      <c r="E12" s="642"/>
      <c r="F12" s="642"/>
      <c r="G12" s="642"/>
      <c r="H12" s="591" t="s">
        <v>48</v>
      </c>
      <c r="I12" s="591"/>
      <c r="J12" s="591"/>
      <c r="K12" s="592"/>
      <c r="L12" s="109"/>
      <c r="M12" s="109"/>
      <c r="N12" s="125"/>
      <c r="O12" s="109"/>
      <c r="P12" s="109"/>
      <c r="Q12" s="70"/>
      <c r="R12" s="113"/>
      <c r="S12" s="110"/>
      <c r="T12" s="113"/>
      <c r="V12" s="113"/>
    </row>
    <row r="13" spans="1:23" ht="30" customHeight="1" x14ac:dyDescent="0.2">
      <c r="A13" s="556" t="s">
        <v>136</v>
      </c>
      <c r="B13" s="557"/>
      <c r="C13" s="557"/>
      <c r="D13" s="689" t="e">
        <f>VLOOKUP($D$5,ID_list,18,FALSE)</f>
        <v>#N/A</v>
      </c>
      <c r="E13" s="689"/>
      <c r="F13" s="689"/>
      <c r="G13" s="689"/>
      <c r="H13" s="616" t="str">
        <f>CONCATENATE('Capital Expend Detail'!$N$1," Fiscal Year End Date")</f>
        <v>2022 Fiscal Year End Date</v>
      </c>
      <c r="I13" s="616"/>
      <c r="J13" s="617" t="e">
        <f>VLOOKUP($D$5,ID_list,97,FALSE)</f>
        <v>#N/A</v>
      </c>
      <c r="K13" s="618"/>
      <c r="L13" s="679"/>
      <c r="M13" s="680"/>
      <c r="N13" s="680"/>
      <c r="P13" s="109"/>
      <c r="Q13" s="70"/>
      <c r="R13" s="113"/>
      <c r="S13" s="110"/>
      <c r="T13" s="113"/>
      <c r="V13" s="113"/>
    </row>
    <row r="14" spans="1:23" ht="30" customHeight="1" x14ac:dyDescent="0.2">
      <c r="A14" s="556" t="s">
        <v>62</v>
      </c>
      <c r="B14" s="557"/>
      <c r="C14" s="557"/>
      <c r="D14" s="558" t="e">
        <f>CONCATENATE(VLOOKUP($D$5,ID_list,19,FALSE)," ",VLOOKUP($D$5,ID_list,20,FALSE))</f>
        <v>#N/A</v>
      </c>
      <c r="E14" s="558"/>
      <c r="F14" s="558"/>
      <c r="G14" s="558"/>
      <c r="H14" s="626" t="s">
        <v>41</v>
      </c>
      <c r="I14" s="627"/>
      <c r="J14" s="624" t="e">
        <f>VLOOKUP($D$5,ID_list,98,FALSE)</f>
        <v>#N/A</v>
      </c>
      <c r="K14" s="625"/>
      <c r="L14" s="766"/>
      <c r="M14" s="681"/>
      <c r="N14" s="681"/>
      <c r="O14" s="681"/>
      <c r="P14" s="109"/>
      <c r="Q14" s="70"/>
      <c r="R14" s="113"/>
      <c r="S14" s="126"/>
      <c r="T14" s="113"/>
      <c r="U14" s="126"/>
      <c r="V14" s="113"/>
    </row>
    <row r="15" spans="1:23" ht="30" customHeight="1" x14ac:dyDescent="0.2">
      <c r="A15" s="556" t="s">
        <v>63</v>
      </c>
      <c r="B15" s="557"/>
      <c r="C15" s="557"/>
      <c r="D15" s="558" t="e">
        <f>VLOOKUP($D$5,ID_list,21,FALSE)</f>
        <v>#N/A</v>
      </c>
      <c r="E15" s="558"/>
      <c r="F15" s="558"/>
      <c r="G15" s="558"/>
      <c r="H15" s="628"/>
      <c r="I15" s="628"/>
      <c r="J15" s="622"/>
      <c r="K15" s="623"/>
      <c r="P15" s="109"/>
      <c r="Q15" s="70"/>
      <c r="R15" s="113"/>
      <c r="S15" s="126"/>
      <c r="T15" s="113"/>
      <c r="V15" s="113"/>
    </row>
    <row r="16" spans="1:23" ht="30" customHeight="1" x14ac:dyDescent="0.2">
      <c r="A16" s="556" t="s">
        <v>125</v>
      </c>
      <c r="B16" s="605"/>
      <c r="C16" s="635"/>
      <c r="D16" s="667" t="e">
        <f>VLOOKUP($D$5,ID_list,22,FALSE)</f>
        <v>#N/A</v>
      </c>
      <c r="E16" s="558"/>
      <c r="F16" s="645"/>
      <c r="G16" s="645"/>
      <c r="H16" s="127"/>
      <c r="I16" s="127"/>
      <c r="J16" s="128"/>
      <c r="K16" s="129"/>
      <c r="L16" s="679" t="str">
        <f>IF(ISBLANK(D16),"Please enter the Administrator's e-mail address"," ")</f>
        <v xml:space="preserve"> </v>
      </c>
      <c r="M16" s="680"/>
      <c r="N16" s="680"/>
      <c r="O16" s="681"/>
      <c r="P16" s="109"/>
      <c r="Q16" s="70"/>
      <c r="R16" s="113"/>
      <c r="S16" s="126"/>
      <c r="T16" s="113"/>
      <c r="V16" s="113"/>
    </row>
    <row r="17" spans="1:23" ht="30" customHeight="1" x14ac:dyDescent="0.2">
      <c r="A17" s="556" t="s">
        <v>81</v>
      </c>
      <c r="B17" s="557"/>
      <c r="C17" s="557"/>
      <c r="D17" s="558" t="e">
        <f>VLOOKUP($D$5,ID_list,23,FALSE)</f>
        <v>#N/A</v>
      </c>
      <c r="E17" s="558"/>
      <c r="F17" s="558"/>
      <c r="G17" s="558"/>
      <c r="H17" s="127"/>
      <c r="I17" s="127"/>
      <c r="J17" s="128"/>
      <c r="K17" s="129"/>
      <c r="L17" s="130"/>
      <c r="M17" s="131"/>
      <c r="N17" s="131"/>
      <c r="P17" s="109"/>
      <c r="Q17" s="70"/>
      <c r="R17" s="113"/>
      <c r="S17" s="126"/>
      <c r="T17" s="113"/>
      <c r="V17" s="113"/>
    </row>
    <row r="18" spans="1:23" ht="30" customHeight="1" x14ac:dyDescent="0.2">
      <c r="A18" s="556" t="s">
        <v>140</v>
      </c>
      <c r="B18" s="557"/>
      <c r="C18" s="557"/>
      <c r="D18" s="636" t="e">
        <f>VLOOKUP($D$5,ID_list,84,FALSE)</f>
        <v>#N/A</v>
      </c>
      <c r="E18" s="637"/>
      <c r="F18" s="637"/>
      <c r="G18" s="638"/>
      <c r="H18" s="127"/>
      <c r="I18" s="127"/>
      <c r="J18" s="128"/>
      <c r="K18" s="129"/>
      <c r="L18" s="130"/>
      <c r="M18" s="131"/>
      <c r="N18" s="131"/>
      <c r="P18" s="109"/>
      <c r="Q18" s="70"/>
      <c r="R18" s="113"/>
      <c r="S18" s="126"/>
      <c r="T18" s="113"/>
      <c r="V18" s="113"/>
    </row>
    <row r="19" spans="1:23" ht="30" customHeight="1" x14ac:dyDescent="0.2">
      <c r="A19" s="556"/>
      <c r="B19" s="557"/>
      <c r="C19" s="557"/>
      <c r="D19" s="629" t="s">
        <v>124</v>
      </c>
      <c r="E19" s="630"/>
      <c r="F19" s="630"/>
      <c r="G19" s="631"/>
      <c r="H19" s="619" t="s">
        <v>52</v>
      </c>
      <c r="I19" s="620"/>
      <c r="J19" s="620"/>
      <c r="K19" s="621"/>
      <c r="L19" s="82"/>
      <c r="M19" s="82"/>
      <c r="N19" s="82"/>
      <c r="O19" s="82"/>
      <c r="P19" s="82"/>
      <c r="Q19" s="132"/>
      <c r="R19" s="133"/>
      <c r="S19" s="134"/>
      <c r="T19" s="113"/>
      <c r="V19" s="113"/>
    </row>
    <row r="20" spans="1:23" ht="30" customHeight="1" x14ac:dyDescent="0.2">
      <c r="A20" s="556"/>
      <c r="B20" s="557"/>
      <c r="C20" s="557"/>
      <c r="D20" s="632"/>
      <c r="E20" s="633"/>
      <c r="F20" s="633"/>
      <c r="G20" s="634"/>
      <c r="H20" s="135" t="s">
        <v>53</v>
      </c>
      <c r="I20" s="135" t="s">
        <v>54</v>
      </c>
      <c r="J20" s="135" t="s">
        <v>55</v>
      </c>
      <c r="K20" s="136" t="s">
        <v>39</v>
      </c>
      <c r="L20" s="137"/>
      <c r="M20" s="138"/>
      <c r="N20" s="138"/>
      <c r="O20" s="102"/>
      <c r="P20" s="104"/>
      <c r="Q20" s="104"/>
      <c r="R20" s="113"/>
      <c r="S20" s="108"/>
      <c r="T20" s="113"/>
      <c r="V20" s="113"/>
    </row>
    <row r="21" spans="1:23" ht="30" customHeight="1" x14ac:dyDescent="0.2">
      <c r="A21" s="639"/>
      <c r="B21" s="557"/>
      <c r="C21" s="557"/>
      <c r="D21" s="558" t="e">
        <f>VLOOKUP($D$5,ID_list,85,FALSE)</f>
        <v>#N/A</v>
      </c>
      <c r="E21" s="558"/>
      <c r="F21" s="558"/>
      <c r="G21" s="558"/>
      <c r="H21" s="139" t="e">
        <f>IF(EXACT(VLOOKUP($D$5,ID_list,86,FALSE),"Owned"),"X","")</f>
        <v>#N/A</v>
      </c>
      <c r="I21" s="139" t="e">
        <f>IF(EXACT(VLOOKUP($D$5,ID_list,86,FALSE),"Managed"),"X","")</f>
        <v>#N/A</v>
      </c>
      <c r="J21" s="139" t="e">
        <f>IF(EXACT(VLOOKUP($D$5,ID_list,86,FALSE),"Leased"),"X","")</f>
        <v>#N/A</v>
      </c>
      <c r="K21" s="140" t="e">
        <f>IF(EXACT(VLOOKUP($D$5,ID_list,86,FALSE),"N/A"),"X","")</f>
        <v>#N/A</v>
      </c>
      <c r="L21" s="102"/>
      <c r="M21" s="102"/>
      <c r="N21" s="141"/>
      <c r="P21" s="104"/>
      <c r="Q21" s="104"/>
      <c r="R21" s="142" t="e">
        <f>IF(LEN(T21)&gt;0,"Owned",IF(LEN(U21)&gt;0,"Managed",IF(LEN(V21)&gt;0,"Leased",IF(LEN(W21)&gt;0,"N/A",""))))</f>
        <v>#N/A</v>
      </c>
      <c r="S21" s="143" t="e">
        <f>R21</f>
        <v>#N/A</v>
      </c>
      <c r="T21" s="110" t="e">
        <f t="shared" ref="T21:W23" si="0">IF(OR(H21=0,ISBLANK(H21)),"",H21)</f>
        <v>#N/A</v>
      </c>
      <c r="U21" s="110" t="e">
        <f t="shared" si="0"/>
        <v>#N/A</v>
      </c>
      <c r="V21" s="110" t="e">
        <f t="shared" si="0"/>
        <v>#N/A</v>
      </c>
      <c r="W21" s="110" t="e">
        <f t="shared" si="0"/>
        <v>#N/A</v>
      </c>
    </row>
    <row r="22" spans="1:23" ht="30" customHeight="1" x14ac:dyDescent="0.2">
      <c r="A22" s="639"/>
      <c r="B22" s="557"/>
      <c r="C22" s="557"/>
      <c r="D22" s="642" t="e">
        <f>VLOOKUP($D$5,ID_list,87,FALSE)</f>
        <v>#N/A</v>
      </c>
      <c r="E22" s="642"/>
      <c r="F22" s="642"/>
      <c r="G22" s="642"/>
      <c r="H22" s="139" t="e">
        <f>IF(EXACT(VLOOKUP($D$5,ID_list,88,FALSE),"Owned"),"X","")</f>
        <v>#N/A</v>
      </c>
      <c r="I22" s="139" t="e">
        <f>IF(EXACT(VLOOKUP($D$5,ID_list,88,FALSE),"Managed"),"X","")</f>
        <v>#N/A</v>
      </c>
      <c r="J22" s="139" t="e">
        <f>IF(EXACT(VLOOKUP($D$5,ID_list,88,FALSE),"Leased"),"X","")</f>
        <v>#N/A</v>
      </c>
      <c r="K22" s="144" t="e">
        <f>IF(EXACT(VLOOKUP($D$5,ID_list,88,FALSE),"N/A"),"X","")</f>
        <v>#N/A</v>
      </c>
      <c r="L22" s="102"/>
      <c r="M22" s="102"/>
      <c r="N22" s="141"/>
      <c r="P22" s="104"/>
      <c r="Q22" s="104"/>
      <c r="R22" s="142" t="e">
        <f>IF(LEN(T22)&gt;0,"Owned",IF(LEN(U22)&gt;0,"Managed",IF(LEN(V22)&gt;0,"Leased",IF(LEN(W22)&gt;0,"N/A",""))))</f>
        <v>#N/A</v>
      </c>
      <c r="S22" s="145" t="e">
        <f>R22</f>
        <v>#N/A</v>
      </c>
      <c r="T22" s="110" t="e">
        <f t="shared" si="0"/>
        <v>#N/A</v>
      </c>
      <c r="U22" s="110" t="e">
        <f t="shared" si="0"/>
        <v>#N/A</v>
      </c>
      <c r="V22" s="110" t="e">
        <f t="shared" si="0"/>
        <v>#N/A</v>
      </c>
      <c r="W22" s="110" t="e">
        <f t="shared" si="0"/>
        <v>#N/A</v>
      </c>
    </row>
    <row r="23" spans="1:23" ht="30" customHeight="1" thickBot="1" x14ac:dyDescent="0.25">
      <c r="A23" s="661"/>
      <c r="B23" s="662"/>
      <c r="C23" s="662"/>
      <c r="D23" s="666" t="e">
        <f>VLOOKUP($D$5,ID_list,89,FALSE)</f>
        <v>#N/A</v>
      </c>
      <c r="E23" s="666"/>
      <c r="F23" s="666"/>
      <c r="G23" s="666"/>
      <c r="H23" s="146" t="e">
        <f>IF(EXACT(VLOOKUP($D$5,ID_list,90,FALSE),"Owned"),"X","")</f>
        <v>#N/A</v>
      </c>
      <c r="I23" s="146" t="e">
        <f>IF(EXACT(VLOOKUP($D$5,ID_list,90,FALSE),"Managed"),"X","")</f>
        <v>#N/A</v>
      </c>
      <c r="J23" s="146" t="e">
        <f>IF(EXACT(VLOOKUP($D$5,ID_list,90,FALSE),"Leased"),"X","")</f>
        <v>#N/A</v>
      </c>
      <c r="K23" s="147" t="e">
        <f>IF(EXACT(VLOOKUP($D$5,ID_list,90,FALSE),"N/A"),"X","")</f>
        <v>#N/A</v>
      </c>
      <c r="L23" s="102"/>
      <c r="M23" s="102"/>
      <c r="N23" s="141"/>
      <c r="P23" s="104"/>
      <c r="Q23" s="104"/>
      <c r="R23" s="142" t="e">
        <f>IF(LEN(T23)&gt;0,"Owned",IF(LEN(U23)&gt;0,"Managed",IF(LEN(V23)&gt;0,"Leased",IF(LEN(W23)&gt;0,"N/A",""))))</f>
        <v>#N/A</v>
      </c>
      <c r="S23" s="145" t="e">
        <f>R23</f>
        <v>#N/A</v>
      </c>
      <c r="T23" s="110" t="e">
        <f t="shared" si="0"/>
        <v>#N/A</v>
      </c>
      <c r="U23" s="110" t="e">
        <f t="shared" si="0"/>
        <v>#N/A</v>
      </c>
      <c r="V23" s="110" t="e">
        <f t="shared" si="0"/>
        <v>#N/A</v>
      </c>
      <c r="W23" s="110" t="e">
        <f t="shared" si="0"/>
        <v>#N/A</v>
      </c>
    </row>
    <row r="24" spans="1:23" ht="30" customHeight="1" thickBot="1" x14ac:dyDescent="0.25">
      <c r="A24" s="73"/>
      <c r="B24" s="78"/>
      <c r="C24" s="78"/>
      <c r="D24" s="679" t="str">
        <f>IF(ISBLANK(D21),"Please enter System Affiliation.  If no affilitaion, enter ""none""."," ")</f>
        <v xml:space="preserve"> </v>
      </c>
      <c r="E24" s="557"/>
      <c r="F24" s="557"/>
      <c r="G24" s="557"/>
      <c r="H24" s="648" t="str">
        <f>IF(COUNTBLANK(H21:K21)=4,"Please enter Type of Affiliation.",IF(COUNTBLANK(H21:K21)&lt;&gt;3,"Please VERIFY Type of Affiliation.",""))</f>
        <v>Please VERIFY Type of Affiliation.</v>
      </c>
      <c r="I24" s="648"/>
      <c r="J24" s="648"/>
      <c r="K24" s="648"/>
      <c r="L24" s="102"/>
      <c r="M24" s="102"/>
      <c r="N24" s="102"/>
      <c r="P24" s="104"/>
      <c r="Q24" s="104"/>
      <c r="R24" s="113"/>
      <c r="S24" s="108"/>
      <c r="T24" s="113"/>
      <c r="V24" s="113"/>
    </row>
    <row r="25" spans="1:23" ht="30" customHeight="1" x14ac:dyDescent="0.2">
      <c r="A25" s="663" t="s">
        <v>684</v>
      </c>
      <c r="B25" s="664"/>
      <c r="C25" s="664"/>
      <c r="D25" s="664"/>
      <c r="E25" s="664"/>
      <c r="F25" s="664"/>
      <c r="G25" s="664"/>
      <c r="H25" s="664"/>
      <c r="I25" s="664"/>
      <c r="J25" s="664"/>
      <c r="K25" s="665"/>
      <c r="L25" s="83"/>
      <c r="M25" s="83"/>
      <c r="N25" s="83"/>
      <c r="O25" s="83"/>
      <c r="P25" s="83"/>
      <c r="Q25" s="83"/>
      <c r="R25" s="113"/>
      <c r="T25" s="113"/>
      <c r="V25" s="113"/>
    </row>
    <row r="26" spans="1:23" ht="30" customHeight="1" x14ac:dyDescent="0.2">
      <c r="A26" s="649" t="s">
        <v>685</v>
      </c>
      <c r="B26" s="650"/>
      <c r="C26" s="650"/>
      <c r="D26" s="650"/>
      <c r="E26" s="650"/>
      <c r="F26" s="650"/>
      <c r="G26" s="650"/>
      <c r="H26" s="650"/>
      <c r="I26" s="650"/>
      <c r="J26" s="650"/>
      <c r="K26" s="651"/>
      <c r="L26" s="148"/>
      <c r="M26" s="148"/>
      <c r="N26" s="148"/>
      <c r="O26" s="148"/>
      <c r="P26" s="148"/>
      <c r="Q26" s="148"/>
      <c r="R26" s="133"/>
      <c r="T26" s="113"/>
      <c r="V26" s="113"/>
    </row>
    <row r="27" spans="1:23" ht="30" customHeight="1" x14ac:dyDescent="0.2">
      <c r="A27" s="652"/>
      <c r="B27" s="653"/>
      <c r="C27" s="653"/>
      <c r="D27" s="653"/>
      <c r="E27" s="653"/>
      <c r="F27" s="653"/>
      <c r="G27" s="653"/>
      <c r="H27" s="653"/>
      <c r="I27" s="653"/>
      <c r="J27" s="653"/>
      <c r="K27" s="654"/>
      <c r="L27" s="149"/>
      <c r="M27" s="150"/>
      <c r="N27" s="150"/>
      <c r="O27" s="150"/>
      <c r="P27" s="151"/>
      <c r="Q27" s="49"/>
      <c r="R27" s="113"/>
      <c r="T27" s="113"/>
      <c r="V27" s="113"/>
    </row>
    <row r="28" spans="1:23" ht="30" customHeight="1" x14ac:dyDescent="0.2">
      <c r="A28" s="643" t="s">
        <v>45</v>
      </c>
      <c r="B28" s="644"/>
      <c r="C28" s="645"/>
      <c r="D28" s="645"/>
      <c r="E28" s="645"/>
      <c r="F28" s="645"/>
      <c r="G28" s="645"/>
      <c r="H28" s="645"/>
      <c r="I28" s="152" t="s">
        <v>46</v>
      </c>
      <c r="J28" s="646"/>
      <c r="K28" s="647"/>
      <c r="L28" s="153"/>
      <c r="M28" s="141"/>
      <c r="N28" s="141"/>
      <c r="O28" s="141"/>
      <c r="P28" s="49"/>
      <c r="Q28" s="49"/>
      <c r="R28" s="113"/>
      <c r="T28" s="113"/>
      <c r="V28" s="113"/>
    </row>
    <row r="29" spans="1:23" ht="30" customHeight="1" thickBot="1" x14ac:dyDescent="0.25">
      <c r="A29" s="640" t="s">
        <v>47</v>
      </c>
      <c r="B29" s="641"/>
      <c r="C29" s="677"/>
      <c r="D29" s="677"/>
      <c r="E29" s="677"/>
      <c r="F29" s="677"/>
      <c r="G29" s="677"/>
      <c r="H29" s="677"/>
      <c r="I29" s="677"/>
      <c r="J29" s="677"/>
      <c r="K29" s="678"/>
      <c r="L29" s="154"/>
      <c r="M29" s="141"/>
      <c r="N29" s="155"/>
      <c r="O29" s="141"/>
      <c r="P29" s="49"/>
      <c r="Q29" s="156"/>
      <c r="R29" s="113"/>
      <c r="T29" s="113"/>
      <c r="V29" s="113"/>
    </row>
    <row r="30" spans="1:23" ht="30" customHeight="1" x14ac:dyDescent="0.2">
      <c r="A30" s="553" t="str">
        <f>IF(OR(SUM('Capital Expend Project Specific'!AL15:AL643)&gt;0,R100="X",T100="X"),"Warning! There is a fatal error which will result in your report being rejected. Please review Capital Expenditure Reporting and correct any errors before submitting.","")</f>
        <v/>
      </c>
      <c r="B30" s="553"/>
      <c r="C30" s="553"/>
      <c r="D30" s="553"/>
      <c r="E30" s="553"/>
      <c r="F30" s="553"/>
      <c r="G30" s="553"/>
      <c r="H30" s="553"/>
      <c r="I30" s="553"/>
      <c r="J30" s="553"/>
      <c r="K30" s="553"/>
      <c r="L30" s="554"/>
      <c r="M30" s="555"/>
      <c r="N30" s="555"/>
      <c r="O30" s="555"/>
      <c r="P30" s="49"/>
      <c r="Q30" s="156"/>
      <c r="R30" s="142" t="str">
        <f>IF(LEN(A30)&gt;0,"X","")</f>
        <v/>
      </c>
      <c r="T30" s="113"/>
      <c r="V30" s="113"/>
    </row>
    <row r="31" spans="1:23" ht="30" customHeight="1" x14ac:dyDescent="0.2">
      <c r="A31" s="585" t="str">
        <f>IF(R30="X","Capital Expenditure Section 2","")</f>
        <v/>
      </c>
      <c r="B31" s="586"/>
      <c r="C31" s="586"/>
      <c r="D31" s="586"/>
      <c r="E31" s="586"/>
      <c r="F31" s="584" t="str">
        <f>IF(R30="X","Capital Expenditure Project Specific Tab","")</f>
        <v/>
      </c>
      <c r="G31" s="584"/>
      <c r="H31" s="584"/>
      <c r="I31" s="584"/>
      <c r="J31" s="584"/>
      <c r="K31" s="584"/>
      <c r="L31" s="154"/>
      <c r="M31" s="141"/>
      <c r="N31" s="155"/>
      <c r="O31" s="141"/>
      <c r="P31" s="49"/>
      <c r="Q31" s="156"/>
      <c r="R31" s="113"/>
      <c r="T31" s="113"/>
      <c r="V31" s="113"/>
    </row>
    <row r="32" spans="1:23" ht="30" customHeight="1" thickBot="1" x14ac:dyDescent="0.25">
      <c r="A32" s="157" t="e">
        <f>CONCATENATE(D$5," ",(UPPER(D$6)))</f>
        <v>#N/A</v>
      </c>
      <c r="B32" s="158"/>
      <c r="C32" s="127"/>
      <c r="D32" s="127"/>
      <c r="E32" s="127"/>
      <c r="F32" s="127"/>
      <c r="G32" s="127"/>
      <c r="H32" s="127"/>
      <c r="I32" s="127"/>
      <c r="J32" s="127"/>
      <c r="K32" s="127"/>
      <c r="L32" s="154"/>
      <c r="M32" s="141"/>
      <c r="N32" s="155"/>
      <c r="O32" s="141"/>
      <c r="P32" s="49"/>
      <c r="Q32" s="156"/>
      <c r="R32" s="113"/>
      <c r="T32" s="113"/>
      <c r="V32" s="113"/>
    </row>
    <row r="33" spans="1:22" ht="30" customHeight="1" x14ac:dyDescent="0.2">
      <c r="A33" s="672" t="s">
        <v>122</v>
      </c>
      <c r="B33" s="673"/>
      <c r="C33" s="673"/>
      <c r="D33" s="673"/>
      <c r="E33" s="673"/>
      <c r="F33" s="673"/>
      <c r="G33" s="673"/>
      <c r="H33" s="673"/>
      <c r="I33" s="673"/>
      <c r="J33" s="673"/>
      <c r="K33" s="674"/>
      <c r="L33" s="154"/>
      <c r="M33" s="141"/>
      <c r="N33" s="155"/>
      <c r="O33" s="141"/>
      <c r="P33" s="49"/>
      <c r="Q33" s="156"/>
      <c r="R33" s="113"/>
      <c r="T33" s="113"/>
      <c r="V33" s="113"/>
    </row>
    <row r="34" spans="1:22" ht="30" customHeight="1" x14ac:dyDescent="0.2">
      <c r="A34" s="559" t="s">
        <v>277</v>
      </c>
      <c r="B34" s="560"/>
      <c r="C34" s="560"/>
      <c r="D34" s="560"/>
      <c r="E34" s="560"/>
      <c r="F34" s="560"/>
      <c r="G34" s="560"/>
      <c r="H34" s="560"/>
      <c r="I34" s="561"/>
      <c r="J34" s="561"/>
      <c r="K34" s="562"/>
      <c r="L34" s="154"/>
      <c r="M34" s="141"/>
      <c r="N34" s="155"/>
      <c r="O34" s="141"/>
      <c r="P34" s="49"/>
      <c r="Q34" s="156"/>
      <c r="R34" s="142" t="s">
        <v>4</v>
      </c>
      <c r="S34" s="159" t="e">
        <f>VLOOKUP($D$5,ID_list,96,FALSE)</f>
        <v>#N/A</v>
      </c>
      <c r="T34" s="113"/>
      <c r="V34" s="113"/>
    </row>
    <row r="35" spans="1:22" ht="30" customHeight="1" x14ac:dyDescent="0.2">
      <c r="A35" s="675" t="s">
        <v>61</v>
      </c>
      <c r="B35" s="676"/>
      <c r="C35" s="676"/>
      <c r="D35" s="558" t="e">
        <f>CONCATENATE(VLOOKUP($D$5,ID_list,69,FALSE)," ",VLOOKUP($D$5,ID_list,70,FALSE))</f>
        <v>#N/A</v>
      </c>
      <c r="E35" s="558"/>
      <c r="F35" s="558"/>
      <c r="G35" s="558"/>
      <c r="H35" s="160" t="s">
        <v>57</v>
      </c>
      <c r="I35" s="558" t="e">
        <f>VLOOKUP($D$5,ID_list,71,FALSE)</f>
        <v>#N/A</v>
      </c>
      <c r="J35" s="670"/>
      <c r="K35" s="671"/>
      <c r="L35" s="553"/>
      <c r="M35" s="512"/>
      <c r="N35" s="512"/>
      <c r="O35" s="512"/>
      <c r="P35" s="49"/>
      <c r="Q35" s="156"/>
      <c r="R35" s="113"/>
      <c r="T35" s="113"/>
      <c r="V35" s="113"/>
    </row>
    <row r="36" spans="1:22" ht="30" customHeight="1" x14ac:dyDescent="0.2">
      <c r="A36" s="556" t="s">
        <v>123</v>
      </c>
      <c r="B36" s="557"/>
      <c r="C36" s="557"/>
      <c r="D36" s="669" t="e">
        <f>VLOOKUP($D$5,ID_list,72,FALSE)</f>
        <v>#N/A</v>
      </c>
      <c r="E36" s="669"/>
      <c r="F36" s="669"/>
      <c r="G36" s="669"/>
      <c r="H36" s="127"/>
      <c r="I36" s="161"/>
      <c r="J36" s="162"/>
      <c r="K36" s="163"/>
      <c r="L36" s="164"/>
      <c r="M36" s="131"/>
      <c r="N36" s="131"/>
      <c r="O36" s="131"/>
      <c r="P36" s="49"/>
      <c r="Q36" s="156"/>
      <c r="R36" s="113"/>
      <c r="T36" s="113"/>
      <c r="V36" s="113"/>
    </row>
    <row r="37" spans="1:22" ht="30" customHeight="1" x14ac:dyDescent="0.2">
      <c r="A37" s="556" t="s">
        <v>49</v>
      </c>
      <c r="B37" s="557"/>
      <c r="C37" s="557"/>
      <c r="D37" s="642" t="e">
        <f>CONCATENATE(VLOOKUP($D$5,ID_list,77,FALSE)," ",VLOOKUP($D$5,ID_list,78,FALSE))</f>
        <v>#N/A</v>
      </c>
      <c r="E37" s="642"/>
      <c r="F37" s="642"/>
      <c r="G37" s="642"/>
      <c r="H37" s="165" t="s">
        <v>13</v>
      </c>
      <c r="I37" s="667" t="e">
        <f>VLOOKUP($D$5,ID_list,76,FALSE)</f>
        <v>#N/A</v>
      </c>
      <c r="J37" s="558"/>
      <c r="K37" s="668"/>
      <c r="L37" s="130"/>
      <c r="M37" s="138"/>
      <c r="N37" s="138"/>
      <c r="O37" s="102"/>
      <c r="P37" s="49"/>
      <c r="Q37" s="156"/>
      <c r="R37" s="113"/>
      <c r="T37" s="113"/>
      <c r="V37" s="113"/>
    </row>
    <row r="38" spans="1:22" ht="30" customHeight="1" x14ac:dyDescent="0.2">
      <c r="A38" s="556" t="s">
        <v>127</v>
      </c>
      <c r="B38" s="557"/>
      <c r="C38" s="557"/>
      <c r="D38" s="558" t="e">
        <f>VLOOKUP($D$5,ID_list,79,FALSE)</f>
        <v>#N/A</v>
      </c>
      <c r="E38" s="558"/>
      <c r="F38" s="558"/>
      <c r="G38" s="558"/>
      <c r="H38" s="166" t="s">
        <v>59</v>
      </c>
      <c r="I38" s="768" t="e">
        <f>VLOOKUP($D$5,ID_list,73,FALSE)</f>
        <v>#N/A</v>
      </c>
      <c r="J38" s="769"/>
      <c r="K38" s="770"/>
      <c r="L38" s="141"/>
      <c r="M38" s="138"/>
      <c r="N38" s="138"/>
      <c r="O38" s="138"/>
      <c r="P38" s="49"/>
      <c r="Q38" s="156"/>
      <c r="R38" s="113"/>
      <c r="T38" s="113"/>
      <c r="V38" s="113"/>
    </row>
    <row r="39" spans="1:22" ht="30" customHeight="1" x14ac:dyDescent="0.2">
      <c r="A39" s="556" t="s">
        <v>56</v>
      </c>
      <c r="B39" s="557"/>
      <c r="C39" s="557"/>
      <c r="D39" s="558" t="e">
        <f>VLOOKUP($D$5,ID_list,80,FALSE)</f>
        <v>#N/A</v>
      </c>
      <c r="E39" s="558"/>
      <c r="F39" s="558"/>
      <c r="G39" s="558"/>
      <c r="H39" s="160" t="s">
        <v>325</v>
      </c>
      <c r="I39" s="558" t="e">
        <f>VLOOKUP($D$5,ID_list,74,FALSE)</f>
        <v>#N/A</v>
      </c>
      <c r="J39" s="670"/>
      <c r="K39" s="671"/>
      <c r="L39" s="132"/>
      <c r="N39" s="132"/>
      <c r="O39" s="132"/>
      <c r="P39" s="49"/>
      <c r="Q39" s="156"/>
      <c r="R39" s="113"/>
      <c r="T39" s="113"/>
      <c r="V39" s="113"/>
    </row>
    <row r="40" spans="1:22" ht="30" customHeight="1" x14ac:dyDescent="0.2">
      <c r="A40" s="556" t="s">
        <v>58</v>
      </c>
      <c r="B40" s="557"/>
      <c r="C40" s="557"/>
      <c r="D40" s="689" t="e">
        <f>VLOOKUP($D$5,ID_list,81,FALSE)</f>
        <v>#N/A</v>
      </c>
      <c r="E40" s="689"/>
      <c r="F40" s="689"/>
      <c r="G40" s="689"/>
      <c r="H40" s="160" t="s">
        <v>60</v>
      </c>
      <c r="I40" s="558" t="e">
        <f>VLOOKUP($D$5,ID_list,75,FALSE)</f>
        <v>#N/A</v>
      </c>
      <c r="J40" s="670"/>
      <c r="K40" s="671"/>
      <c r="L40" s="132"/>
      <c r="M40" s="132"/>
      <c r="N40" s="82"/>
      <c r="O40" s="82"/>
      <c r="P40" s="49"/>
      <c r="Q40" s="156"/>
      <c r="R40" s="113"/>
      <c r="T40" s="113"/>
      <c r="V40" s="113"/>
    </row>
    <row r="41" spans="1:22" ht="30" customHeight="1" x14ac:dyDescent="0.2">
      <c r="A41" s="696" t="s">
        <v>51</v>
      </c>
      <c r="B41" s="697"/>
      <c r="C41" s="697"/>
      <c r="D41" s="558" t="e">
        <f>CONCATENATE(VLOOKUP($D$5,ID_list,82,FALSE),"-",VLOOKUP($D$5,ID_list,83,FALSE))</f>
        <v>#N/A</v>
      </c>
      <c r="E41" s="558"/>
      <c r="F41" s="558"/>
      <c r="G41" s="558"/>
      <c r="H41" s="167"/>
      <c r="I41" s="167"/>
      <c r="J41" s="167"/>
      <c r="K41" s="168"/>
      <c r="L41" s="137"/>
      <c r="M41" s="138"/>
      <c r="N41" s="138"/>
      <c r="O41" s="102"/>
      <c r="P41" s="49"/>
      <c r="Q41" s="156"/>
      <c r="R41" s="113"/>
      <c r="T41" s="113"/>
      <c r="V41" s="113"/>
    </row>
    <row r="42" spans="1:22" ht="30" customHeight="1" x14ac:dyDescent="0.2">
      <c r="A42" s="767" t="s">
        <v>79</v>
      </c>
      <c r="B42" s="691"/>
      <c r="C42" s="691"/>
      <c r="D42" s="691"/>
      <c r="E42" s="691"/>
      <c r="F42" s="691"/>
      <c r="G42" s="691"/>
      <c r="H42" s="691"/>
      <c r="I42" s="692"/>
      <c r="J42" s="692"/>
      <c r="K42" s="693"/>
      <c r="L42" s="169"/>
      <c r="M42" s="150"/>
      <c r="N42" s="170"/>
      <c r="O42" s="150"/>
      <c r="P42" s="49"/>
      <c r="Q42" s="156"/>
      <c r="R42" s="142" t="s">
        <v>2</v>
      </c>
      <c r="S42" s="159" t="e">
        <f>VLOOKUP($D$5,ID_list,94,FALSE)</f>
        <v>#N/A</v>
      </c>
      <c r="T42" s="113"/>
      <c r="V42" s="113"/>
    </row>
    <row r="43" spans="1:22" ht="30" customHeight="1" x14ac:dyDescent="0.2">
      <c r="A43" s="556" t="s">
        <v>128</v>
      </c>
      <c r="B43" s="557"/>
      <c r="C43" s="557"/>
      <c r="D43" s="642" t="e">
        <f>CONCATENATE(VLOOKUP($D$5,ID_list,39,FALSE)," ",VLOOKUP($D$5,ID_list,40,FALSE))</f>
        <v>#N/A</v>
      </c>
      <c r="E43" s="642"/>
      <c r="F43" s="642"/>
      <c r="G43" s="642"/>
      <c r="H43" s="166" t="s">
        <v>57</v>
      </c>
      <c r="I43" s="642" t="e">
        <f>VLOOKUP($D$5,ID_list,41,FALSE)</f>
        <v>#N/A</v>
      </c>
      <c r="J43" s="694"/>
      <c r="K43" s="695"/>
      <c r="L43" s="169"/>
      <c r="M43" s="150"/>
      <c r="N43" s="171"/>
      <c r="O43" s="150"/>
      <c r="P43" s="49"/>
      <c r="Q43" s="156"/>
      <c r="R43" s="113"/>
      <c r="T43" s="113"/>
      <c r="V43" s="113"/>
    </row>
    <row r="44" spans="1:22" ht="30" customHeight="1" x14ac:dyDescent="0.2">
      <c r="A44" s="556" t="s">
        <v>123</v>
      </c>
      <c r="B44" s="557"/>
      <c r="C44" s="557"/>
      <c r="D44" s="688" t="e">
        <f>VLOOKUP($D$5,ID_list,42,FALSE)</f>
        <v>#N/A</v>
      </c>
      <c r="E44" s="688"/>
      <c r="F44" s="688"/>
      <c r="G44" s="688"/>
      <c r="H44" s="127"/>
      <c r="I44" s="161"/>
      <c r="J44" s="162"/>
      <c r="K44" s="163"/>
      <c r="L44" s="172"/>
      <c r="M44" s="150"/>
      <c r="N44" s="170"/>
      <c r="O44" s="150"/>
      <c r="P44" s="49"/>
      <c r="Q44" s="156"/>
      <c r="R44" s="113"/>
      <c r="T44" s="113"/>
      <c r="V44" s="113"/>
    </row>
    <row r="45" spans="1:22" ht="30" customHeight="1" x14ac:dyDescent="0.2">
      <c r="A45" s="556" t="s">
        <v>49</v>
      </c>
      <c r="B45" s="557"/>
      <c r="C45" s="557"/>
      <c r="D45" s="642" t="e">
        <f>CONCATENATE(VLOOKUP($D$5,ID_list,47,FALSE)," ",VLOOKUP($D$5,ID_list,48,FALSE))</f>
        <v>#N/A</v>
      </c>
      <c r="E45" s="642"/>
      <c r="F45" s="642"/>
      <c r="G45" s="642"/>
      <c r="H45" s="165" t="s">
        <v>13</v>
      </c>
      <c r="I45" s="667" t="e">
        <f>VLOOKUP($D$5,ID_list,46,FALSE)</f>
        <v>#N/A</v>
      </c>
      <c r="J45" s="558"/>
      <c r="K45" s="668"/>
      <c r="L45" s="154"/>
      <c r="M45" s="141"/>
      <c r="N45" s="155"/>
      <c r="O45" s="141"/>
      <c r="P45" s="49"/>
      <c r="Q45" s="156"/>
      <c r="R45" s="113"/>
      <c r="T45" s="113"/>
      <c r="V45" s="113"/>
    </row>
    <row r="46" spans="1:22" ht="30" customHeight="1" x14ac:dyDescent="0.2">
      <c r="A46" s="556" t="s">
        <v>127</v>
      </c>
      <c r="B46" s="557"/>
      <c r="C46" s="557"/>
      <c r="D46" s="558" t="e">
        <f>VLOOKUP($D$5,ID_list,49,FALSE)</f>
        <v>#N/A</v>
      </c>
      <c r="E46" s="558"/>
      <c r="F46" s="558"/>
      <c r="G46" s="558"/>
      <c r="H46" s="166" t="s">
        <v>59</v>
      </c>
      <c r="I46" s="768" t="e">
        <f>VLOOKUP($D$5,ID_list,43,FALSE)</f>
        <v>#N/A</v>
      </c>
      <c r="J46" s="769"/>
      <c r="K46" s="770"/>
      <c r="L46" s="154"/>
      <c r="M46" s="141"/>
      <c r="N46" s="155"/>
      <c r="O46" s="141"/>
      <c r="P46" s="49"/>
      <c r="Q46" s="156"/>
      <c r="R46" s="113"/>
      <c r="T46" s="113"/>
      <c r="V46" s="113"/>
    </row>
    <row r="47" spans="1:22" ht="30" customHeight="1" x14ac:dyDescent="0.2">
      <c r="A47" s="556" t="s">
        <v>56</v>
      </c>
      <c r="B47" s="557"/>
      <c r="C47" s="557"/>
      <c r="D47" s="558" t="e">
        <f>VLOOKUP($D$5,ID_list,50,FALSE)</f>
        <v>#N/A</v>
      </c>
      <c r="E47" s="558"/>
      <c r="F47" s="558"/>
      <c r="G47" s="558"/>
      <c r="H47" s="160" t="s">
        <v>325</v>
      </c>
      <c r="I47" s="558" t="e">
        <f>VLOOKUP($D$5,ID_list,44,FALSE)</f>
        <v>#N/A</v>
      </c>
      <c r="J47" s="670"/>
      <c r="K47" s="671"/>
      <c r="L47" s="154"/>
      <c r="M47" s="141"/>
      <c r="N47" s="155"/>
      <c r="O47" s="141"/>
      <c r="P47" s="49"/>
      <c r="Q47" s="156"/>
      <c r="R47" s="113"/>
      <c r="T47" s="113"/>
      <c r="V47" s="113"/>
    </row>
    <row r="48" spans="1:22" ht="30" customHeight="1" x14ac:dyDescent="0.2">
      <c r="A48" s="556" t="s">
        <v>58</v>
      </c>
      <c r="B48" s="557"/>
      <c r="C48" s="557"/>
      <c r="D48" s="558" t="e">
        <f>VLOOKUP($D$5,ID_list,51,FALSE)</f>
        <v>#N/A</v>
      </c>
      <c r="E48" s="558"/>
      <c r="F48" s="558"/>
      <c r="G48" s="558"/>
      <c r="H48" s="160" t="s">
        <v>60</v>
      </c>
      <c r="I48" s="558" t="e">
        <f>VLOOKUP($D$5,ID_list,45,FALSE)</f>
        <v>#N/A</v>
      </c>
      <c r="J48" s="670"/>
      <c r="K48" s="671"/>
      <c r="L48" s="154"/>
      <c r="M48" s="141"/>
      <c r="N48" s="155"/>
      <c r="O48" s="141"/>
      <c r="P48" s="49"/>
      <c r="Q48" s="156"/>
      <c r="R48" s="113"/>
      <c r="T48" s="113"/>
      <c r="V48" s="113"/>
    </row>
    <row r="49" spans="1:22" ht="30" customHeight="1" x14ac:dyDescent="0.2">
      <c r="A49" s="556" t="s">
        <v>51</v>
      </c>
      <c r="B49" s="557"/>
      <c r="C49" s="557"/>
      <c r="D49" s="689" t="e">
        <f>CONCATENATE(VLOOKUP($D$5,ID_list,52,FALSE),"-",VLOOKUP($D$5,ID_list,53,FALSE))</f>
        <v>#N/A</v>
      </c>
      <c r="E49" s="689"/>
      <c r="F49" s="689"/>
      <c r="G49" s="689"/>
      <c r="H49" s="173"/>
      <c r="I49" s="173"/>
      <c r="J49" s="173"/>
      <c r="K49" s="174"/>
      <c r="L49" s="154"/>
      <c r="M49" s="141"/>
      <c r="N49" s="155"/>
      <c r="O49" s="141"/>
      <c r="P49" s="49"/>
      <c r="Q49" s="156"/>
      <c r="R49" s="113"/>
      <c r="T49" s="113"/>
      <c r="V49" s="113"/>
    </row>
    <row r="50" spans="1:22" ht="30" customHeight="1" x14ac:dyDescent="0.2">
      <c r="A50" s="767" t="s">
        <v>80</v>
      </c>
      <c r="B50" s="691"/>
      <c r="C50" s="691"/>
      <c r="D50" s="691"/>
      <c r="E50" s="691"/>
      <c r="F50" s="691"/>
      <c r="G50" s="691"/>
      <c r="H50" s="691"/>
      <c r="I50" s="692"/>
      <c r="J50" s="692"/>
      <c r="K50" s="693"/>
      <c r="L50" s="154"/>
      <c r="M50" s="141"/>
      <c r="N50" s="155"/>
      <c r="O50" s="141"/>
      <c r="P50" s="49"/>
      <c r="Q50" s="156"/>
      <c r="R50" s="142" t="s">
        <v>3</v>
      </c>
      <c r="S50" s="159" t="e">
        <f>VLOOKUP($D$5,ID_list,95,FALSE)</f>
        <v>#N/A</v>
      </c>
      <c r="T50" s="113"/>
      <c r="V50" s="113"/>
    </row>
    <row r="51" spans="1:22" ht="30" customHeight="1" x14ac:dyDescent="0.2">
      <c r="A51" s="556" t="s">
        <v>128</v>
      </c>
      <c r="B51" s="557"/>
      <c r="C51" s="557"/>
      <c r="D51" s="642" t="e">
        <f>CONCATENATE(VLOOKUP($D$5,ID_list,54,FALSE)," ",VLOOKUP($D$5,ID_list,55,FALSE))</f>
        <v>#N/A</v>
      </c>
      <c r="E51" s="642"/>
      <c r="F51" s="642"/>
      <c r="G51" s="642"/>
      <c r="H51" s="166" t="s">
        <v>57</v>
      </c>
      <c r="I51" s="642" t="e">
        <f>VLOOKUP($D$5,ID_list,56,FALSE)</f>
        <v>#N/A</v>
      </c>
      <c r="J51" s="694"/>
      <c r="K51" s="695"/>
      <c r="L51" s="154"/>
      <c r="M51" s="141"/>
      <c r="N51" s="155"/>
      <c r="O51" s="141"/>
      <c r="P51" s="49"/>
      <c r="Q51" s="156"/>
      <c r="R51" s="113"/>
      <c r="T51" s="113"/>
      <c r="V51" s="113"/>
    </row>
    <row r="52" spans="1:22" ht="30" customHeight="1" x14ac:dyDescent="0.2">
      <c r="A52" s="556" t="s">
        <v>123</v>
      </c>
      <c r="B52" s="557"/>
      <c r="C52" s="557"/>
      <c r="D52" s="688" t="e">
        <f>VLOOKUP($D$5,ID_list,57,FALSE)</f>
        <v>#N/A</v>
      </c>
      <c r="E52" s="688"/>
      <c r="F52" s="688"/>
      <c r="G52" s="688"/>
      <c r="H52" s="127"/>
      <c r="I52" s="161"/>
      <c r="J52" s="162"/>
      <c r="K52" s="163"/>
      <c r="L52" s="154"/>
      <c r="M52" s="141"/>
      <c r="N52" s="155"/>
      <c r="O52" s="141"/>
      <c r="P52" s="49"/>
      <c r="Q52" s="156"/>
      <c r="R52" s="113"/>
      <c r="T52" s="113"/>
      <c r="V52" s="113"/>
    </row>
    <row r="53" spans="1:22" ht="30" customHeight="1" x14ac:dyDescent="0.2">
      <c r="A53" s="556" t="s">
        <v>49</v>
      </c>
      <c r="B53" s="557"/>
      <c r="C53" s="557"/>
      <c r="D53" s="642" t="e">
        <f>CONCATENATE(VLOOKUP($D$5,ID_list,62,FALSE)," ",VLOOKUP($D$5,ID_list,63,FALSE))</f>
        <v>#N/A</v>
      </c>
      <c r="E53" s="642"/>
      <c r="F53" s="642"/>
      <c r="G53" s="642"/>
      <c r="H53" s="165" t="s">
        <v>13</v>
      </c>
      <c r="I53" s="667" t="e">
        <f>VLOOKUP($D$5,ID_list,61,FALSE)</f>
        <v>#N/A</v>
      </c>
      <c r="J53" s="558"/>
      <c r="K53" s="771"/>
      <c r="L53" s="154"/>
      <c r="M53" s="141"/>
      <c r="N53" s="155"/>
      <c r="O53" s="141"/>
      <c r="P53" s="49"/>
      <c r="Q53" s="156"/>
      <c r="R53" s="113"/>
      <c r="T53" s="113"/>
      <c r="V53" s="113"/>
    </row>
    <row r="54" spans="1:22" ht="30" customHeight="1" x14ac:dyDescent="0.2">
      <c r="A54" s="556" t="s">
        <v>127</v>
      </c>
      <c r="B54" s="557"/>
      <c r="C54" s="557"/>
      <c r="D54" s="558" t="e">
        <f>VLOOKUP($D$5,ID_list,64,FALSE)</f>
        <v>#N/A</v>
      </c>
      <c r="E54" s="558"/>
      <c r="F54" s="558"/>
      <c r="G54" s="558"/>
      <c r="H54" s="166" t="s">
        <v>59</v>
      </c>
      <c r="I54" s="768" t="e">
        <f>VLOOKUP($D$5,ID_list,58,FALSE)</f>
        <v>#N/A</v>
      </c>
      <c r="J54" s="769"/>
      <c r="K54" s="770"/>
      <c r="L54" s="154"/>
      <c r="M54" s="141"/>
      <c r="N54" s="155"/>
      <c r="O54" s="141"/>
      <c r="P54" s="49"/>
      <c r="Q54" s="156"/>
      <c r="R54" s="113"/>
      <c r="T54" s="113"/>
      <c r="V54" s="113"/>
    </row>
    <row r="55" spans="1:22" ht="30" customHeight="1" x14ac:dyDescent="0.2">
      <c r="A55" s="556" t="s">
        <v>56</v>
      </c>
      <c r="B55" s="557"/>
      <c r="C55" s="557"/>
      <c r="D55" s="558" t="e">
        <f>VLOOKUP($D$5,ID_list,65,FALSE)</f>
        <v>#N/A</v>
      </c>
      <c r="E55" s="558"/>
      <c r="F55" s="558"/>
      <c r="G55" s="558"/>
      <c r="H55" s="160" t="s">
        <v>325</v>
      </c>
      <c r="I55" s="558" t="e">
        <f>VLOOKUP($D$5,ID_list,59,FALSE)</f>
        <v>#N/A</v>
      </c>
      <c r="J55" s="670"/>
      <c r="K55" s="671"/>
      <c r="L55" s="154"/>
      <c r="M55" s="141"/>
      <c r="N55" s="155"/>
      <c r="O55" s="141"/>
      <c r="P55" s="49"/>
      <c r="Q55" s="156"/>
      <c r="R55" s="113"/>
      <c r="T55" s="113"/>
      <c r="V55" s="113"/>
    </row>
    <row r="56" spans="1:22" ht="30" customHeight="1" x14ac:dyDescent="0.2">
      <c r="A56" s="556" t="s">
        <v>58</v>
      </c>
      <c r="B56" s="557"/>
      <c r="C56" s="557"/>
      <c r="D56" s="558" t="e">
        <f>VLOOKUP($D$5,ID_list,66,FALSE)</f>
        <v>#N/A</v>
      </c>
      <c r="E56" s="558"/>
      <c r="F56" s="558"/>
      <c r="G56" s="558"/>
      <c r="H56" s="160" t="s">
        <v>60</v>
      </c>
      <c r="I56" s="558" t="e">
        <f>VLOOKUP($D$5,ID_list,60,FALSE)</f>
        <v>#N/A</v>
      </c>
      <c r="J56" s="670"/>
      <c r="K56" s="671"/>
      <c r="L56" s="154"/>
      <c r="M56" s="141"/>
      <c r="N56" s="155"/>
      <c r="O56" s="141"/>
      <c r="P56" s="49"/>
      <c r="Q56" s="156"/>
      <c r="R56" s="113"/>
      <c r="T56" s="113"/>
      <c r="V56" s="113"/>
    </row>
    <row r="57" spans="1:22" ht="30" customHeight="1" thickBot="1" x14ac:dyDescent="0.25">
      <c r="A57" s="757" t="s">
        <v>51</v>
      </c>
      <c r="B57" s="662"/>
      <c r="C57" s="662"/>
      <c r="D57" s="758" t="e">
        <f>CONCATENATE(VLOOKUP($D$5,ID_list,67,FALSE),"-",VLOOKUP($D$5,ID_list,68,FALSE))</f>
        <v>#N/A</v>
      </c>
      <c r="E57" s="758"/>
      <c r="F57" s="758"/>
      <c r="G57" s="758"/>
      <c r="H57" s="175"/>
      <c r="I57" s="175"/>
      <c r="J57" s="175"/>
      <c r="K57" s="176"/>
      <c r="L57" s="154"/>
      <c r="M57" s="141"/>
      <c r="N57" s="155"/>
      <c r="O57" s="141"/>
      <c r="P57" s="49"/>
      <c r="Q57" s="156"/>
      <c r="R57" s="113"/>
      <c r="T57" s="113"/>
      <c r="V57" s="113"/>
    </row>
    <row r="58" spans="1:22" ht="30" customHeight="1" x14ac:dyDescent="0.2">
      <c r="A58" s="177"/>
      <c r="B58" s="178"/>
      <c r="C58" s="178"/>
      <c r="D58" s="178"/>
      <c r="E58" s="178"/>
      <c r="F58" s="178"/>
      <c r="G58" s="178"/>
      <c r="H58" s="178"/>
      <c r="I58" s="179"/>
      <c r="J58" s="179"/>
      <c r="K58" s="179"/>
      <c r="L58" s="154"/>
      <c r="M58" s="141"/>
      <c r="N58" s="155"/>
      <c r="O58" s="141"/>
      <c r="P58" s="49"/>
      <c r="Q58" s="156"/>
      <c r="R58" s="113"/>
      <c r="T58" s="113"/>
      <c r="V58" s="113"/>
    </row>
    <row r="59" spans="1:22" ht="15.75" x14ac:dyDescent="0.25">
      <c r="R59" s="238"/>
      <c r="S59" s="238"/>
    </row>
    <row r="60" spans="1:22" ht="15.75" x14ac:dyDescent="0.25">
      <c r="Q60" s="107"/>
      <c r="R60" s="238"/>
      <c r="S60" s="238"/>
    </row>
    <row r="61" spans="1:22" ht="15.75" x14ac:dyDescent="0.25">
      <c r="R61" s="238"/>
      <c r="S61" s="238"/>
    </row>
    <row r="62" spans="1:22" ht="15.75" x14ac:dyDescent="0.25">
      <c r="R62" s="238"/>
      <c r="S62" s="238"/>
    </row>
    <row r="63" spans="1:22" ht="15.75" x14ac:dyDescent="0.25">
      <c r="R63" s="238"/>
      <c r="S63" s="238"/>
    </row>
    <row r="64" spans="1:22" ht="15.75" x14ac:dyDescent="0.25">
      <c r="R64" s="238"/>
      <c r="S64" s="238"/>
    </row>
    <row r="65" spans="18:19" ht="15.75" x14ac:dyDescent="0.25">
      <c r="R65" s="238"/>
      <c r="S65" s="238"/>
    </row>
  </sheetData>
  <sheetProtection sheet="1"/>
  <mergeCells count="134">
    <mergeCell ref="I46:K46"/>
    <mergeCell ref="I47:K47"/>
    <mergeCell ref="A42:K42"/>
    <mergeCell ref="A43:C43"/>
    <mergeCell ref="D43:G43"/>
    <mergeCell ref="A53:C53"/>
    <mergeCell ref="I55:K55"/>
    <mergeCell ref="A54:C54"/>
    <mergeCell ref="D54:G54"/>
    <mergeCell ref="D53:G53"/>
    <mergeCell ref="I53:K53"/>
    <mergeCell ref="A45:C45"/>
    <mergeCell ref="D45:G45"/>
    <mergeCell ref="I45:K45"/>
    <mergeCell ref="A46:C46"/>
    <mergeCell ref="D46:G46"/>
    <mergeCell ref="I43:K43"/>
    <mergeCell ref="A15:C15"/>
    <mergeCell ref="D15:G15"/>
    <mergeCell ref="H15:I15"/>
    <mergeCell ref="J15:K15"/>
    <mergeCell ref="D10:G10"/>
    <mergeCell ref="H10:K10"/>
    <mergeCell ref="B11:C11"/>
    <mergeCell ref="D11:G11"/>
    <mergeCell ref="H11:K11"/>
    <mergeCell ref="A31:E31"/>
    <mergeCell ref="F31:K31"/>
    <mergeCell ref="A38:C38"/>
    <mergeCell ref="D38:G38"/>
    <mergeCell ref="A33:K33"/>
    <mergeCell ref="A34:K34"/>
    <mergeCell ref="D35:G35"/>
    <mergeCell ref="I35:K35"/>
    <mergeCell ref="A29:B29"/>
    <mergeCell ref="C29:K29"/>
    <mergeCell ref="A30:K30"/>
    <mergeCell ref="I38:K38"/>
    <mergeCell ref="A57:C57"/>
    <mergeCell ref="D57:G57"/>
    <mergeCell ref="A55:C55"/>
    <mergeCell ref="D55:G55"/>
    <mergeCell ref="A56:C56"/>
    <mergeCell ref="D56:G56"/>
    <mergeCell ref="A52:C52"/>
    <mergeCell ref="D52:G52"/>
    <mergeCell ref="A47:C47"/>
    <mergeCell ref="D47:G47"/>
    <mergeCell ref="A49:C49"/>
    <mergeCell ref="D49:G49"/>
    <mergeCell ref="A50:K50"/>
    <mergeCell ref="A51:C51"/>
    <mergeCell ref="D51:G51"/>
    <mergeCell ref="I51:K51"/>
    <mergeCell ref="A48:C48"/>
    <mergeCell ref="D48:G48"/>
    <mergeCell ref="I56:K56"/>
    <mergeCell ref="I54:K54"/>
    <mergeCell ref="I48:K48"/>
    <mergeCell ref="A41:C41"/>
    <mergeCell ref="D41:G41"/>
    <mergeCell ref="A44:C44"/>
    <mergeCell ref="D44:G44"/>
    <mergeCell ref="A39:C39"/>
    <mergeCell ref="D39:G39"/>
    <mergeCell ref="I39:K39"/>
    <mergeCell ref="L35:O35"/>
    <mergeCell ref="A36:C36"/>
    <mergeCell ref="D36:G36"/>
    <mergeCell ref="A37:C37"/>
    <mergeCell ref="D37:G37"/>
    <mergeCell ref="I37:K37"/>
    <mergeCell ref="A35:C35"/>
    <mergeCell ref="I40:K40"/>
    <mergeCell ref="A40:C40"/>
    <mergeCell ref="D40:G40"/>
    <mergeCell ref="L30:O30"/>
    <mergeCell ref="A28:B28"/>
    <mergeCell ref="C28:H28"/>
    <mergeCell ref="J28:K28"/>
    <mergeCell ref="A26:K27"/>
    <mergeCell ref="A21:C21"/>
    <mergeCell ref="D21:G21"/>
    <mergeCell ref="A22:C22"/>
    <mergeCell ref="D22:G22"/>
    <mergeCell ref="A23:C23"/>
    <mergeCell ref="D23:G23"/>
    <mergeCell ref="D24:G24"/>
    <mergeCell ref="H24:K24"/>
    <mergeCell ref="A25:K25"/>
    <mergeCell ref="L16:O16"/>
    <mergeCell ref="A17:C17"/>
    <mergeCell ref="D17:G17"/>
    <mergeCell ref="A18:C18"/>
    <mergeCell ref="D18:G18"/>
    <mergeCell ref="A19:C19"/>
    <mergeCell ref="D19:G20"/>
    <mergeCell ref="H19:K19"/>
    <mergeCell ref="A20:C20"/>
    <mergeCell ref="A16:C16"/>
    <mergeCell ref="D16:G16"/>
    <mergeCell ref="L13:N13"/>
    <mergeCell ref="L14:O14"/>
    <mergeCell ref="A13:C13"/>
    <mergeCell ref="D13:G13"/>
    <mergeCell ref="H13:I13"/>
    <mergeCell ref="J13:K13"/>
    <mergeCell ref="A14:C14"/>
    <mergeCell ref="D14:G14"/>
    <mergeCell ref="H14:I14"/>
    <mergeCell ref="J14:K14"/>
    <mergeCell ref="L6:N6"/>
    <mergeCell ref="A7:A11"/>
    <mergeCell ref="B7:C7"/>
    <mergeCell ref="D7:G7"/>
    <mergeCell ref="B8:C8"/>
    <mergeCell ref="D8:G8"/>
    <mergeCell ref="H8:K8"/>
    <mergeCell ref="B9:C9"/>
    <mergeCell ref="D9:G9"/>
    <mergeCell ref="B10:C10"/>
    <mergeCell ref="A6:C6"/>
    <mergeCell ref="D6:G6"/>
    <mergeCell ref="I6:K6"/>
    <mergeCell ref="I7:K7"/>
    <mergeCell ref="A1:K1"/>
    <mergeCell ref="A2:K2"/>
    <mergeCell ref="A3:K3"/>
    <mergeCell ref="A4:K4"/>
    <mergeCell ref="A5:C5"/>
    <mergeCell ref="E5:K5"/>
    <mergeCell ref="A12:C12"/>
    <mergeCell ref="D12:G12"/>
    <mergeCell ref="H12:K12"/>
  </mergeCells>
  <phoneticPr fontId="5" type="noConversion"/>
  <conditionalFormatting sqref="E5:K5">
    <cfRule type="expression" dxfId="1" priority="1" stopIfTrue="1">
      <formula>ISBLANK($D$5)</formula>
    </cfRule>
  </conditionalFormatting>
  <hyperlinks>
    <hyperlink ref="A5:C5" location="System_ID_list" display="System ID" xr:uid="{00000000-0004-0000-0500-000000000000}"/>
    <hyperlink ref="H6" location="def_NPI" display="NPI" xr:uid="{00000000-0004-0000-0500-000001000000}"/>
    <hyperlink ref="F31:K31" location="'Capital Expend Project Specific'!A1" display="'Capital Expend Project Specific'!A1" xr:uid="{00000000-0004-0000-0500-000002000000}"/>
    <hyperlink ref="A31:E31" location="cap_exp_errors" display="cap_exp_errors" xr:uid="{00000000-0004-0000-0500-000003000000}"/>
  </hyperlinks>
  <pageMargins left="0.75" right="0.75" top="1" bottom="1" header="0.5" footer="0.5"/>
  <pageSetup scale="63"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sheetPr>
  <dimension ref="A1:BD1091"/>
  <sheetViews>
    <sheetView zoomScaleNormal="100" workbookViewId="0"/>
  </sheetViews>
  <sheetFormatPr defaultColWidth="7.85546875" defaultRowHeight="26.25" customHeight="1" x14ac:dyDescent="0.2"/>
  <cols>
    <col min="1" max="1" width="8" style="250" bestFit="1" customWidth="1"/>
    <col min="2" max="14" width="7.85546875" style="250"/>
    <col min="15" max="15" width="8.42578125" style="250" bestFit="1" customWidth="1"/>
    <col min="16" max="17" width="7.85546875" style="250"/>
    <col min="18" max="18" width="29.140625" style="250" customWidth="1"/>
    <col min="19" max="19" width="8.7109375" style="250" hidden="1" customWidth="1"/>
    <col min="20" max="20" width="9.28515625" style="250" hidden="1" customWidth="1"/>
    <col min="21" max="21" width="9" style="250" hidden="1" customWidth="1"/>
    <col min="22" max="22" width="8.5703125" style="250" hidden="1" customWidth="1"/>
    <col min="23" max="26" width="7.85546875" style="250" hidden="1" customWidth="1"/>
    <col min="27" max="27" width="7.85546875" style="266" hidden="1" customWidth="1"/>
    <col min="28" max="29" width="7.85546875" style="250" hidden="1" customWidth="1"/>
    <col min="30" max="30" width="9.140625" style="250" hidden="1" customWidth="1"/>
    <col min="31" max="32" width="8" style="250" hidden="1" customWidth="1"/>
    <col min="33" max="34" width="7.85546875" style="250" hidden="1" customWidth="1"/>
    <col min="35" max="35" width="10.85546875" style="250" hidden="1" customWidth="1"/>
    <col min="36" max="36" width="9.42578125" style="250" hidden="1" customWidth="1"/>
    <col min="37" max="37" width="7.85546875" style="250" hidden="1" customWidth="1"/>
    <col min="38" max="38" width="11" style="250" hidden="1" customWidth="1"/>
    <col min="39" max="41" width="7.85546875" style="250" hidden="1" customWidth="1"/>
    <col min="42" max="42" width="7.7109375" style="250" hidden="1" customWidth="1"/>
    <col min="43" max="52" width="7.85546875" style="250" hidden="1" customWidth="1"/>
    <col min="53" max="53" width="12.7109375" style="250" hidden="1" customWidth="1"/>
    <col min="54" max="54" width="13.5703125" style="250" hidden="1" customWidth="1"/>
    <col min="55" max="55" width="10.5703125" style="250" hidden="1" customWidth="1"/>
    <col min="56" max="56" width="9" style="250" hidden="1" customWidth="1"/>
    <col min="57" max="90" width="7.85546875" style="250" customWidth="1"/>
    <col min="91" max="16384" width="7.85546875" style="250"/>
  </cols>
  <sheetData>
    <row r="1" spans="1:56" ht="26.25" customHeight="1" thickBot="1" x14ac:dyDescent="0.25">
      <c r="A1" s="240" t="e">
        <f>'Capital Expend Detail'!A32</f>
        <v>#N/A</v>
      </c>
      <c r="B1" s="241"/>
      <c r="C1" s="398"/>
      <c r="D1" s="241"/>
      <c r="E1" s="241"/>
      <c r="F1" s="241"/>
      <c r="G1" s="241"/>
      <c r="H1" s="242"/>
      <c r="I1" s="241" t="s">
        <v>211</v>
      </c>
      <c r="J1" s="241"/>
      <c r="K1" s="243">
        <f>AE14</f>
        <v>0</v>
      </c>
      <c r="L1" s="241" t="s">
        <v>212</v>
      </c>
      <c r="M1" s="241"/>
      <c r="N1" s="241"/>
      <c r="O1" s="244"/>
      <c r="P1" s="800">
        <f>AJ14</f>
        <v>0</v>
      </c>
      <c r="Q1" s="801"/>
      <c r="R1" s="245"/>
      <c r="S1" s="246" t="s">
        <v>586</v>
      </c>
      <c r="T1" s="247"/>
      <c r="U1" s="247"/>
      <c r="V1" s="247"/>
      <c r="W1" s="247"/>
      <c r="X1" s="247"/>
      <c r="Y1" s="247"/>
      <c r="Z1" s="245"/>
      <c r="AA1" s="248"/>
      <c r="AB1" s="249" t="s">
        <v>66</v>
      </c>
      <c r="AC1" s="249" t="s">
        <v>67</v>
      </c>
      <c r="AD1" s="249" t="s">
        <v>70</v>
      </c>
      <c r="AE1" s="249" t="s">
        <v>26</v>
      </c>
      <c r="AF1" s="249" t="s">
        <v>27</v>
      </c>
      <c r="AG1" s="249" t="s">
        <v>28</v>
      </c>
      <c r="AH1" s="249" t="s">
        <v>29</v>
      </c>
      <c r="AI1" s="249" t="s">
        <v>30</v>
      </c>
      <c r="AJ1" s="249" t="s">
        <v>31</v>
      </c>
      <c r="AK1" s="249" t="s">
        <v>32</v>
      </c>
      <c r="AL1" s="249" t="s">
        <v>33</v>
      </c>
      <c r="AM1" s="249" t="s">
        <v>34</v>
      </c>
      <c r="AN1" s="249" t="s">
        <v>35</v>
      </c>
      <c r="AO1" s="249" t="s">
        <v>36</v>
      </c>
      <c r="AP1" s="249" t="s">
        <v>37</v>
      </c>
      <c r="AQ1" s="250" t="s">
        <v>521</v>
      </c>
      <c r="AR1" s="250" t="s">
        <v>490</v>
      </c>
      <c r="AS1" s="250" t="s">
        <v>542</v>
      </c>
      <c r="AT1" s="250" t="s">
        <v>562</v>
      </c>
      <c r="AU1" s="250" t="s">
        <v>563</v>
      </c>
      <c r="AV1" s="250" t="s">
        <v>564</v>
      </c>
      <c r="AW1" s="250" t="s">
        <v>565</v>
      </c>
      <c r="AX1" s="250" t="s">
        <v>566</v>
      </c>
      <c r="AZ1" s="260"/>
      <c r="BA1" s="772" t="s">
        <v>448</v>
      </c>
      <c r="BB1" s="772"/>
      <c r="BC1" s="772"/>
    </row>
    <row r="2" spans="1:56" ht="26.25" customHeight="1" x14ac:dyDescent="0.25">
      <c r="A2" s="818" t="s">
        <v>94</v>
      </c>
      <c r="B2" s="819"/>
      <c r="C2" s="819"/>
      <c r="D2" s="819"/>
      <c r="E2" s="819"/>
      <c r="F2" s="819"/>
      <c r="G2" s="819"/>
      <c r="H2" s="819"/>
      <c r="I2" s="820" t="s">
        <v>318</v>
      </c>
      <c r="J2" s="820"/>
      <c r="K2" s="820"/>
      <c r="L2" s="820"/>
      <c r="M2" s="820"/>
      <c r="N2" s="802" t="str">
        <f>CONCATENATE('Capital Expend Detail'!N1," Report Year")</f>
        <v>2022 Report Year</v>
      </c>
      <c r="O2" s="802"/>
      <c r="P2" s="802"/>
      <c r="Q2" s="803"/>
      <c r="R2" s="251"/>
      <c r="S2" s="251"/>
      <c r="T2" s="251"/>
      <c r="U2" s="251"/>
      <c r="V2" s="251"/>
      <c r="W2" s="251"/>
      <c r="X2" s="251"/>
      <c r="Y2" s="251"/>
      <c r="Z2" s="838" t="s">
        <v>449</v>
      </c>
      <c r="AA2" s="308"/>
      <c r="AB2" s="252">
        <f t="shared" ref="AB2:AB13" si="0">start</f>
        <v>0</v>
      </c>
      <c r="AC2" s="252">
        <f>'Capital Expend Detail'!$N$1</f>
        <v>2022</v>
      </c>
      <c r="AD2" s="252">
        <v>71</v>
      </c>
      <c r="AE2" s="253" t="str">
        <f>IF(OR(NOT(ISBLANK(E11)),NOT(ISBLANK(A14))),1,"")</f>
        <v/>
      </c>
      <c r="AF2" s="252" t="str">
        <f>S8</f>
        <v/>
      </c>
      <c r="AG2" s="252" t="str">
        <f>S9</f>
        <v/>
      </c>
      <c r="AH2" s="252" t="s">
        <v>24</v>
      </c>
      <c r="AI2" s="480" t="str">
        <f>S10</f>
        <v/>
      </c>
      <c r="AJ2" s="481" t="str">
        <f>S11</f>
        <v/>
      </c>
      <c r="AK2" s="483" t="str">
        <f>S12</f>
        <v/>
      </c>
      <c r="AL2" s="252" t="str">
        <f>S13</f>
        <v/>
      </c>
      <c r="AM2" s="252" t="str">
        <f>S14</f>
        <v/>
      </c>
      <c r="AN2" s="252" t="str">
        <f>S35</f>
        <v/>
      </c>
      <c r="AO2" s="252" t="str">
        <f>S30</f>
        <v/>
      </c>
      <c r="AP2" s="252" t="str">
        <f>S45</f>
        <v/>
      </c>
      <c r="AQ2" s="254" t="str">
        <f>S7</f>
        <v/>
      </c>
      <c r="AR2" s="254" t="str">
        <f>S26</f>
        <v/>
      </c>
      <c r="AS2" s="254" t="str">
        <f>S38</f>
        <v/>
      </c>
      <c r="AT2" s="254" t="str">
        <f>S41</f>
        <v/>
      </c>
      <c r="AU2" s="254" t="str">
        <f>S15</f>
        <v/>
      </c>
      <c r="AV2" s="254" t="str">
        <f>S16</f>
        <v/>
      </c>
      <c r="AW2" s="254" t="str">
        <f>S17</f>
        <v/>
      </c>
      <c r="AX2" s="254" t="str">
        <f>S18</f>
        <v/>
      </c>
      <c r="BA2" s="250" t="s">
        <v>440</v>
      </c>
      <c r="BB2" s="250" t="s">
        <v>441</v>
      </c>
      <c r="BC2" s="250" t="s">
        <v>442</v>
      </c>
    </row>
    <row r="3" spans="1:56" ht="26.25" customHeight="1" x14ac:dyDescent="0.25">
      <c r="A3" s="804" t="s">
        <v>519</v>
      </c>
      <c r="B3" s="805"/>
      <c r="C3" s="805"/>
      <c r="D3" s="805"/>
      <c r="E3" s="805"/>
      <c r="F3" s="805"/>
      <c r="G3" s="805"/>
      <c r="H3" s="805"/>
      <c r="I3" s="805"/>
      <c r="J3" s="805"/>
      <c r="K3" s="805"/>
      <c r="L3" s="805"/>
      <c r="M3" s="805"/>
      <c r="N3" s="805"/>
      <c r="O3" s="805"/>
      <c r="P3" s="805"/>
      <c r="Q3" s="806"/>
      <c r="R3" s="255"/>
      <c r="S3" s="256" t="s">
        <v>438</v>
      </c>
      <c r="T3" s="257"/>
      <c r="V3" s="255"/>
      <c r="W3" s="255"/>
      <c r="X3" s="255"/>
      <c r="Y3" s="255"/>
      <c r="Z3" s="839"/>
      <c r="AA3" s="308"/>
      <c r="AB3" s="252">
        <f t="shared" si="0"/>
        <v>0</v>
      </c>
      <c r="AC3" s="252">
        <f>'Capital Expend Detail'!$N$1</f>
        <v>2022</v>
      </c>
      <c r="AD3" s="252">
        <v>71</v>
      </c>
      <c r="AE3" s="253" t="str">
        <f>IF(OR(NOT(ISBLANK(E54)),NOT(ISBLANK(A57))),2,"")</f>
        <v/>
      </c>
      <c r="AF3" s="252" t="str">
        <f>S51</f>
        <v/>
      </c>
      <c r="AG3" s="252" t="str">
        <f>S52</f>
        <v/>
      </c>
      <c r="AH3" s="252" t="s">
        <v>24</v>
      </c>
      <c r="AI3" s="480" t="str">
        <f>S53</f>
        <v/>
      </c>
      <c r="AJ3" s="482" t="str">
        <f>S54</f>
        <v/>
      </c>
      <c r="AK3" s="484" t="str">
        <f>S55</f>
        <v/>
      </c>
      <c r="AL3" s="258" t="str">
        <f>S56</f>
        <v/>
      </c>
      <c r="AM3" s="258" t="str">
        <f>S57</f>
        <v/>
      </c>
      <c r="AN3" s="258" t="str">
        <f>S78</f>
        <v/>
      </c>
      <c r="AO3" s="258" t="str">
        <f>S73</f>
        <v/>
      </c>
      <c r="AP3" s="258" t="str">
        <f>S88</f>
        <v/>
      </c>
      <c r="AQ3" s="258" t="str">
        <f>S50</f>
        <v/>
      </c>
      <c r="AR3" s="258" t="str">
        <f>S69</f>
        <v/>
      </c>
      <c r="AS3" s="258" t="str">
        <f>S81</f>
        <v/>
      </c>
      <c r="AT3" s="258" t="str">
        <f>S84</f>
        <v/>
      </c>
      <c r="AU3" s="258" t="str">
        <f>S58</f>
        <v/>
      </c>
      <c r="AV3" s="258" t="str">
        <f>S59</f>
        <v/>
      </c>
      <c r="AW3" s="258" t="str">
        <f>S60</f>
        <v/>
      </c>
      <c r="AX3" s="254" t="str">
        <f>S61</f>
        <v/>
      </c>
      <c r="AZ3" s="266"/>
      <c r="BA3" s="259" t="str">
        <f>IF(BC3="","",$O$6)</f>
        <v/>
      </c>
      <c r="BB3" s="259" t="str">
        <f t="shared" ref="BB3:BB11" si="1">IF(BC3="","",$Q$6)</f>
        <v/>
      </c>
      <c r="BC3" s="259" t="str">
        <f>S21</f>
        <v/>
      </c>
      <c r="BD3" s="260" t="s">
        <v>444</v>
      </c>
    </row>
    <row r="4" spans="1:56" ht="26.25" customHeight="1" x14ac:dyDescent="0.25">
      <c r="A4" s="807"/>
      <c r="B4" s="808"/>
      <c r="C4" s="808"/>
      <c r="D4" s="808"/>
      <c r="E4" s="808"/>
      <c r="F4" s="808"/>
      <c r="G4" s="808"/>
      <c r="H4" s="808"/>
      <c r="I4" s="808"/>
      <c r="J4" s="808"/>
      <c r="K4" s="808"/>
      <c r="L4" s="808"/>
      <c r="M4" s="808"/>
      <c r="N4" s="809"/>
      <c r="O4" s="809"/>
      <c r="P4" s="809"/>
      <c r="Q4" s="810"/>
      <c r="R4" s="255"/>
      <c r="S4" s="261" t="s">
        <v>439</v>
      </c>
      <c r="T4" s="262"/>
      <c r="U4" s="262"/>
      <c r="V4" s="263" t="s">
        <v>560</v>
      </c>
      <c r="W4" s="264"/>
      <c r="X4" s="265"/>
      <c r="Y4" s="255"/>
      <c r="Z4" s="839"/>
      <c r="AA4" s="328"/>
      <c r="AB4" s="252">
        <f t="shared" si="0"/>
        <v>0</v>
      </c>
      <c r="AC4" s="252">
        <f>'Capital Expend Detail'!$N$1</f>
        <v>2022</v>
      </c>
      <c r="AD4" s="252">
        <v>71</v>
      </c>
      <c r="AE4" s="253" t="str">
        <f>IF(OR(NOT(ISBLANK(E97)),NOT(ISBLANK(A100))),3,"")</f>
        <v/>
      </c>
      <c r="AF4" s="252" t="str">
        <f>S94</f>
        <v/>
      </c>
      <c r="AG4" s="252" t="str">
        <f>S95</f>
        <v/>
      </c>
      <c r="AH4" s="252" t="s">
        <v>24</v>
      </c>
      <c r="AI4" s="480" t="str">
        <f>S96</f>
        <v/>
      </c>
      <c r="AJ4" s="482" t="str">
        <f>S97</f>
        <v/>
      </c>
      <c r="AK4" s="484" t="str">
        <f>S98</f>
        <v/>
      </c>
      <c r="AL4" s="258" t="str">
        <f>S99</f>
        <v/>
      </c>
      <c r="AM4" s="258" t="str">
        <f>S100</f>
        <v/>
      </c>
      <c r="AN4" s="258" t="str">
        <f>S121</f>
        <v/>
      </c>
      <c r="AO4" s="258" t="str">
        <f>S116</f>
        <v/>
      </c>
      <c r="AP4" s="258" t="str">
        <f>S131</f>
        <v/>
      </c>
      <c r="AQ4" s="258" t="str">
        <f>S93</f>
        <v/>
      </c>
      <c r="AR4" s="258" t="str">
        <f>S112</f>
        <v/>
      </c>
      <c r="AS4" s="258" t="str">
        <f>S124</f>
        <v/>
      </c>
      <c r="AT4" s="258" t="str">
        <f>S127</f>
        <v/>
      </c>
      <c r="AU4" s="258" t="str">
        <f>S101</f>
        <v/>
      </c>
      <c r="AV4" s="258" t="str">
        <f>S102</f>
        <v/>
      </c>
      <c r="AW4" s="258" t="str">
        <f>S103</f>
        <v/>
      </c>
      <c r="AX4" s="254" t="str">
        <f>S104</f>
        <v/>
      </c>
      <c r="AZ4" s="266"/>
      <c r="BA4" s="259" t="str">
        <f>IF(BC4="","",$O$6)</f>
        <v/>
      </c>
      <c r="BB4" s="259" t="str">
        <f t="shared" si="1"/>
        <v/>
      </c>
      <c r="BC4" s="259" t="str">
        <f>T21</f>
        <v/>
      </c>
      <c r="BD4" s="266"/>
    </row>
    <row r="5" spans="1:56" ht="27" customHeight="1" thickBot="1" x14ac:dyDescent="0.3">
      <c r="A5" s="743" t="s">
        <v>95</v>
      </c>
      <c r="B5" s="811"/>
      <c r="C5" s="811"/>
      <c r="D5" s="811"/>
      <c r="E5" s="811"/>
      <c r="F5" s="811"/>
      <c r="G5" s="811"/>
      <c r="H5" s="811"/>
      <c r="I5" s="811"/>
      <c r="J5" s="811"/>
      <c r="K5" s="811"/>
      <c r="L5" s="811"/>
      <c r="M5" s="811"/>
      <c r="N5" s="774" t="str">
        <f>CONCATENATE('Capital Expend Detail'!N1," Report Year")</f>
        <v>2022 Report Year</v>
      </c>
      <c r="O5" s="775"/>
      <c r="P5" s="775"/>
      <c r="Q5" s="812"/>
      <c r="R5" s="267"/>
      <c r="S5" s="268" t="s">
        <v>559</v>
      </c>
      <c r="T5" s="269"/>
      <c r="U5" s="269"/>
      <c r="V5" s="270" t="s">
        <v>561</v>
      </c>
      <c r="W5" s="267"/>
      <c r="X5" s="267"/>
      <c r="Y5" s="267"/>
      <c r="Z5" s="839"/>
      <c r="AA5" s="308"/>
      <c r="AB5" s="252">
        <f t="shared" si="0"/>
        <v>0</v>
      </c>
      <c r="AC5" s="252">
        <f>'Capital Expend Detail'!$N$1</f>
        <v>2022</v>
      </c>
      <c r="AD5" s="252">
        <v>71</v>
      </c>
      <c r="AE5" s="253" t="str">
        <f>IF(OR(NOT(ISBLANK(E140)),NOT(ISBLANK(A143))),4,"")</f>
        <v/>
      </c>
      <c r="AF5" s="252" t="str">
        <f>S137</f>
        <v/>
      </c>
      <c r="AG5" s="252" t="str">
        <f>S138</f>
        <v/>
      </c>
      <c r="AH5" s="252" t="s">
        <v>24</v>
      </c>
      <c r="AI5" s="480" t="str">
        <f>S139</f>
        <v/>
      </c>
      <c r="AJ5" s="482" t="str">
        <f>S140</f>
        <v/>
      </c>
      <c r="AK5" s="484" t="str">
        <f>S141</f>
        <v/>
      </c>
      <c r="AL5" s="258" t="str">
        <f>S142</f>
        <v/>
      </c>
      <c r="AM5" s="258" t="str">
        <f>S143</f>
        <v/>
      </c>
      <c r="AN5" s="258" t="str">
        <f>S164</f>
        <v/>
      </c>
      <c r="AO5" s="258" t="str">
        <f>S159</f>
        <v/>
      </c>
      <c r="AP5" s="258" t="str">
        <f>S174</f>
        <v/>
      </c>
      <c r="AQ5" s="258" t="str">
        <f>S136</f>
        <v/>
      </c>
      <c r="AR5" s="258" t="str">
        <f>S155</f>
        <v/>
      </c>
      <c r="AS5" s="258" t="str">
        <f>S167</f>
        <v/>
      </c>
      <c r="AT5" s="258" t="str">
        <f>S170</f>
        <v/>
      </c>
      <c r="AU5" s="258" t="str">
        <f>S144</f>
        <v/>
      </c>
      <c r="AV5" s="258" t="str">
        <f>S145</f>
        <v/>
      </c>
      <c r="AW5" s="258" t="str">
        <f>S146</f>
        <v/>
      </c>
      <c r="AX5" s="254" t="str">
        <f>S147</f>
        <v/>
      </c>
      <c r="AZ5" s="266"/>
      <c r="BA5" s="259" t="str">
        <f t="shared" ref="BA5:BA68" si="2">IF(BC5="","",$O$6)</f>
        <v/>
      </c>
      <c r="BB5" s="259" t="str">
        <f t="shared" si="1"/>
        <v/>
      </c>
      <c r="BC5" s="259" t="str">
        <f>U21</f>
        <v/>
      </c>
      <c r="BD5" s="266"/>
    </row>
    <row r="6" spans="1:56" ht="24" customHeight="1" x14ac:dyDescent="0.25">
      <c r="A6" s="821" t="e">
        <f>IF(AND(OR(ISNA(cap_exp_contact),TRIM(cap_exp_contact)=""),NOT(ISBLANK(code_7594))),"The Capital Expenditure Contact information has NOT been provided.  Please complete this information now.","")</f>
        <v>#N/A</v>
      </c>
      <c r="B6" s="822"/>
      <c r="C6" s="822"/>
      <c r="D6" s="822"/>
      <c r="E6" s="822"/>
      <c r="F6" s="822"/>
      <c r="G6" s="822"/>
      <c r="H6" s="822"/>
      <c r="I6" s="822"/>
      <c r="J6" s="822"/>
      <c r="K6" s="822"/>
      <c r="L6" s="822"/>
      <c r="M6" s="822"/>
      <c r="N6" s="271" t="s">
        <v>278</v>
      </c>
      <c r="O6" s="272" t="e">
        <f>'Capital Expend Detail'!$I$7</f>
        <v>#N/A</v>
      </c>
      <c r="P6" s="273" t="s">
        <v>431</v>
      </c>
      <c r="Q6" s="274"/>
      <c r="R6" s="197"/>
      <c r="S6" s="197"/>
      <c r="T6" s="197"/>
      <c r="U6" s="197"/>
      <c r="V6" s="197"/>
      <c r="W6" s="197"/>
      <c r="X6" s="197"/>
      <c r="Y6" s="197"/>
      <c r="Z6" s="839"/>
      <c r="AA6" s="308"/>
      <c r="AB6" s="252">
        <f t="shared" si="0"/>
        <v>0</v>
      </c>
      <c r="AC6" s="252">
        <f>'Capital Expend Detail'!$N$1</f>
        <v>2022</v>
      </c>
      <c r="AD6" s="252">
        <v>71</v>
      </c>
      <c r="AE6" s="253" t="str">
        <f>IF(OR(NOT(ISBLANK(E183)),NOT(ISBLANK(A186))),5,"")</f>
        <v/>
      </c>
      <c r="AF6" s="252" t="str">
        <f>S180</f>
        <v/>
      </c>
      <c r="AG6" s="252" t="str">
        <f>S181</f>
        <v/>
      </c>
      <c r="AH6" s="252" t="s">
        <v>24</v>
      </c>
      <c r="AI6" s="480" t="str">
        <f>S182</f>
        <v/>
      </c>
      <c r="AJ6" s="482" t="str">
        <f>S183</f>
        <v/>
      </c>
      <c r="AK6" s="484" t="str">
        <f>S184</f>
        <v/>
      </c>
      <c r="AL6" s="258" t="str">
        <f>S185</f>
        <v/>
      </c>
      <c r="AM6" s="258" t="str">
        <f>S186</f>
        <v/>
      </c>
      <c r="AN6" s="258" t="str">
        <f>S207</f>
        <v/>
      </c>
      <c r="AO6" s="258" t="str">
        <f>S202</f>
        <v/>
      </c>
      <c r="AP6" s="258" t="str">
        <f>S217</f>
        <v/>
      </c>
      <c r="AQ6" s="258" t="str">
        <f>S179</f>
        <v/>
      </c>
      <c r="AR6" s="258" t="str">
        <f>S198</f>
        <v/>
      </c>
      <c r="AS6" s="258" t="str">
        <f>S210</f>
        <v/>
      </c>
      <c r="AT6" s="258" t="str">
        <f>S213</f>
        <v/>
      </c>
      <c r="AU6" s="258" t="str">
        <f>S187</f>
        <v/>
      </c>
      <c r="AV6" s="258" t="str">
        <f>S188</f>
        <v/>
      </c>
      <c r="AW6" s="258" t="str">
        <f>S189</f>
        <v/>
      </c>
      <c r="AX6" s="254" t="str">
        <f>S190</f>
        <v/>
      </c>
      <c r="AZ6" s="266"/>
      <c r="BA6" s="259" t="str">
        <f t="shared" si="2"/>
        <v/>
      </c>
      <c r="BB6" s="259" t="str">
        <f t="shared" si="1"/>
        <v/>
      </c>
      <c r="BC6" s="275" t="str">
        <f>V21</f>
        <v/>
      </c>
      <c r="BD6" s="266"/>
    </row>
    <row r="7" spans="1:56" ht="25.9" customHeight="1" thickBot="1" x14ac:dyDescent="0.3">
      <c r="A7" s="778" t="s">
        <v>432</v>
      </c>
      <c r="B7" s="779"/>
      <c r="C7" s="779"/>
      <c r="D7" s="779"/>
      <c r="E7" s="815"/>
      <c r="F7" s="816"/>
      <c r="G7" s="816"/>
      <c r="H7" s="816"/>
      <c r="I7" s="816"/>
      <c r="J7" s="816"/>
      <c r="K7" s="816"/>
      <c r="L7" s="817"/>
      <c r="M7" s="276"/>
      <c r="N7" s="823" t="s">
        <v>443</v>
      </c>
      <c r="O7" s="824"/>
      <c r="P7" s="824"/>
      <c r="Q7" s="825"/>
      <c r="R7" s="197"/>
      <c r="S7" s="277" t="str">
        <f>IF(ISBLANK(E7),"",E7)</f>
        <v/>
      </c>
      <c r="T7" s="278" t="s">
        <v>407</v>
      </c>
      <c r="U7" s="197"/>
      <c r="V7" s="197"/>
      <c r="W7" s="197"/>
      <c r="X7" s="197"/>
      <c r="Y7" s="197"/>
      <c r="Z7" s="839"/>
      <c r="AA7" s="308"/>
      <c r="AB7" s="252">
        <f t="shared" si="0"/>
        <v>0</v>
      </c>
      <c r="AC7" s="252">
        <f>'Capital Expend Detail'!$N$1</f>
        <v>2022</v>
      </c>
      <c r="AD7" s="252">
        <v>71</v>
      </c>
      <c r="AE7" s="253" t="str">
        <f>IF(OR(NOT(ISBLANK(E226)),NOT(ISBLANK(A229))),6,"")</f>
        <v/>
      </c>
      <c r="AF7" s="252" t="str">
        <f>S223</f>
        <v/>
      </c>
      <c r="AG7" s="252" t="str">
        <f>S224</f>
        <v/>
      </c>
      <c r="AH7" s="252" t="s">
        <v>24</v>
      </c>
      <c r="AI7" s="480" t="str">
        <f>S225</f>
        <v/>
      </c>
      <c r="AJ7" s="482" t="str">
        <f>S226</f>
        <v/>
      </c>
      <c r="AK7" s="484" t="str">
        <f>S227</f>
        <v/>
      </c>
      <c r="AL7" s="258" t="str">
        <f>S228</f>
        <v/>
      </c>
      <c r="AM7" s="258" t="str">
        <f>S229</f>
        <v/>
      </c>
      <c r="AN7" s="258" t="str">
        <f>S250</f>
        <v/>
      </c>
      <c r="AO7" s="258" t="str">
        <f>S245</f>
        <v/>
      </c>
      <c r="AP7" s="258" t="str">
        <f>S260</f>
        <v/>
      </c>
      <c r="AQ7" s="258" t="str">
        <f>S222</f>
        <v/>
      </c>
      <c r="AR7" s="258" t="str">
        <f>S241</f>
        <v/>
      </c>
      <c r="AS7" s="258" t="str">
        <f>S253</f>
        <v/>
      </c>
      <c r="AT7" s="258" t="str">
        <f>S256</f>
        <v/>
      </c>
      <c r="AU7" s="258" t="str">
        <f>S230</f>
        <v/>
      </c>
      <c r="AV7" s="258" t="str">
        <f>S231</f>
        <v/>
      </c>
      <c r="AW7" s="258" t="str">
        <f>S232</f>
        <v/>
      </c>
      <c r="AX7" s="254" t="str">
        <f>S233</f>
        <v/>
      </c>
      <c r="AZ7" s="266"/>
      <c r="BA7" s="259" t="str">
        <f t="shared" si="2"/>
        <v/>
      </c>
      <c r="BB7" s="259" t="str">
        <f t="shared" si="1"/>
        <v/>
      </c>
      <c r="BC7" s="275" t="str">
        <f>S23</f>
        <v/>
      </c>
    </row>
    <row r="8" spans="1:56" ht="25.9" customHeight="1" x14ac:dyDescent="0.25">
      <c r="A8" s="833" t="s">
        <v>433</v>
      </c>
      <c r="B8" s="834"/>
      <c r="C8" s="834"/>
      <c r="D8" s="835"/>
      <c r="E8" s="788"/>
      <c r="F8" s="789"/>
      <c r="G8" s="789"/>
      <c r="H8" s="789"/>
      <c r="I8" s="789"/>
      <c r="J8" s="789"/>
      <c r="K8" s="789"/>
      <c r="L8" s="790"/>
      <c r="M8" s="793" t="str">
        <f>IF(AND(ISBLANK(E8),OR(NOT(ISBLANK(E9)),NOT(ISBLANK(E10)),NOT(ISBLANK(E11)),NOT(ISBLANK(I12)),NOT(ISBLANK(A14)))),"This information is required.","")</f>
        <v/>
      </c>
      <c r="N8" s="794"/>
      <c r="O8" s="794"/>
      <c r="P8" s="794"/>
      <c r="Q8" s="279"/>
      <c r="R8" s="197"/>
      <c r="S8" s="277" t="str">
        <f>IF(ISBLANK(E8),"",E8)</f>
        <v/>
      </c>
      <c r="T8" s="278" t="s">
        <v>27</v>
      </c>
      <c r="U8" s="197"/>
      <c r="V8" s="197"/>
      <c r="W8" s="197"/>
      <c r="X8" s="197"/>
      <c r="Y8" s="197"/>
      <c r="Z8" s="839"/>
      <c r="AA8" s="328"/>
      <c r="AB8" s="252">
        <f t="shared" si="0"/>
        <v>0</v>
      </c>
      <c r="AC8" s="252">
        <f>'Capital Expend Detail'!$N$1</f>
        <v>2022</v>
      </c>
      <c r="AD8" s="252">
        <v>71</v>
      </c>
      <c r="AE8" s="253" t="str">
        <f>IF(OR(NOT(ISBLANK(E269)),NOT(ISBLANK(A272))),7,"")</f>
        <v/>
      </c>
      <c r="AF8" s="252" t="str">
        <f>S266</f>
        <v/>
      </c>
      <c r="AG8" s="252" t="str">
        <f>S267</f>
        <v/>
      </c>
      <c r="AH8" s="252" t="s">
        <v>24</v>
      </c>
      <c r="AI8" s="480" t="str">
        <f>S268</f>
        <v/>
      </c>
      <c r="AJ8" s="482" t="str">
        <f>S269</f>
        <v/>
      </c>
      <c r="AK8" s="484" t="str">
        <f>S270</f>
        <v/>
      </c>
      <c r="AL8" s="258" t="str">
        <f>S271</f>
        <v/>
      </c>
      <c r="AM8" s="258" t="str">
        <f>S272</f>
        <v/>
      </c>
      <c r="AN8" s="258" t="str">
        <f>S293</f>
        <v/>
      </c>
      <c r="AO8" s="258" t="str">
        <f>S288</f>
        <v/>
      </c>
      <c r="AP8" s="258" t="str">
        <f>S303</f>
        <v/>
      </c>
      <c r="AQ8" s="258" t="str">
        <f>S265</f>
        <v/>
      </c>
      <c r="AR8" s="258" t="str">
        <f>S284</f>
        <v/>
      </c>
      <c r="AS8" s="258" t="str">
        <f>S296</f>
        <v/>
      </c>
      <c r="AT8" s="258" t="str">
        <f>S299</f>
        <v/>
      </c>
      <c r="AU8" s="258" t="str">
        <f>S273</f>
        <v/>
      </c>
      <c r="AV8" s="258" t="str">
        <f>S274</f>
        <v/>
      </c>
      <c r="AW8" s="258" t="str">
        <f>S275</f>
        <v/>
      </c>
      <c r="AX8" s="254" t="str">
        <f>S276</f>
        <v/>
      </c>
      <c r="AZ8" s="266"/>
      <c r="BA8" s="259" t="str">
        <f t="shared" si="2"/>
        <v/>
      </c>
      <c r="BB8" s="259" t="str">
        <f t="shared" si="1"/>
        <v/>
      </c>
      <c r="BC8" s="275" t="str">
        <f>S24</f>
        <v/>
      </c>
      <c r="BD8" s="266"/>
    </row>
    <row r="9" spans="1:56" ht="25.9" customHeight="1" x14ac:dyDescent="0.25">
      <c r="A9" s="783" t="s">
        <v>434</v>
      </c>
      <c r="B9" s="784"/>
      <c r="C9" s="784"/>
      <c r="D9" s="785"/>
      <c r="E9" s="788"/>
      <c r="F9" s="789"/>
      <c r="G9" s="789"/>
      <c r="H9" s="789"/>
      <c r="I9" s="789"/>
      <c r="J9" s="789"/>
      <c r="K9" s="789"/>
      <c r="L9" s="790"/>
      <c r="M9" s="793" t="str">
        <f>IF(AND(ISBLANK(E9),OR(NOT(ISBLANK(E8)),NOT(ISBLANK(E10)),NOT(ISBLANK(E11)),NOT(ISBLANK(I12)),NOT(ISBLANK(A14)))),"This information is required.","")</f>
        <v/>
      </c>
      <c r="N9" s="794"/>
      <c r="O9" s="794"/>
      <c r="P9" s="794"/>
      <c r="Q9" s="279"/>
      <c r="R9" s="197"/>
      <c r="S9" s="277" t="str">
        <f>IF(ISBLANK(E9),"",E9)</f>
        <v/>
      </c>
      <c r="T9" s="278" t="s">
        <v>28</v>
      </c>
      <c r="U9" s="197"/>
      <c r="V9" s="197"/>
      <c r="W9" s="197"/>
      <c r="X9" s="197"/>
      <c r="Y9" s="197"/>
      <c r="Z9" s="839"/>
      <c r="AA9" s="308"/>
      <c r="AB9" s="252">
        <f t="shared" si="0"/>
        <v>0</v>
      </c>
      <c r="AC9" s="252">
        <f>'Capital Expend Detail'!$N$1</f>
        <v>2022</v>
      </c>
      <c r="AD9" s="252">
        <v>71</v>
      </c>
      <c r="AE9" s="253" t="str">
        <f>IF(OR(NOT(ISBLANK(E312)),NOT(ISBLANK(A315))),8,"")</f>
        <v/>
      </c>
      <c r="AF9" s="252" t="str">
        <f>S309</f>
        <v/>
      </c>
      <c r="AG9" s="252" t="str">
        <f>S310</f>
        <v/>
      </c>
      <c r="AH9" s="252" t="s">
        <v>24</v>
      </c>
      <c r="AI9" s="480" t="str">
        <f>S311</f>
        <v/>
      </c>
      <c r="AJ9" s="482" t="str">
        <f>S312</f>
        <v/>
      </c>
      <c r="AK9" s="484" t="str">
        <f>S313</f>
        <v/>
      </c>
      <c r="AL9" s="258" t="str">
        <f>S314</f>
        <v/>
      </c>
      <c r="AM9" s="258" t="str">
        <f>S315</f>
        <v/>
      </c>
      <c r="AN9" s="258" t="str">
        <f>S336</f>
        <v/>
      </c>
      <c r="AO9" s="258" t="str">
        <f>S331</f>
        <v/>
      </c>
      <c r="AP9" s="258" t="str">
        <f>S346</f>
        <v/>
      </c>
      <c r="AQ9" s="258" t="str">
        <f>S308</f>
        <v/>
      </c>
      <c r="AR9" s="258" t="str">
        <f>S327</f>
        <v/>
      </c>
      <c r="AS9" s="258" t="str">
        <f>S339</f>
        <v/>
      </c>
      <c r="AT9" s="258" t="str">
        <f>S342</f>
        <v/>
      </c>
      <c r="AU9" s="258" t="str">
        <f>S316</f>
        <v/>
      </c>
      <c r="AV9" s="258" t="str">
        <f>S317</f>
        <v/>
      </c>
      <c r="AW9" s="258" t="str">
        <f>S318</f>
        <v/>
      </c>
      <c r="AX9" s="254" t="str">
        <f>S319</f>
        <v/>
      </c>
      <c r="AZ9" s="266"/>
      <c r="BA9" s="259" t="str">
        <f t="shared" si="2"/>
        <v/>
      </c>
      <c r="BB9" s="259" t="str">
        <f t="shared" si="1"/>
        <v/>
      </c>
      <c r="BC9" s="275" t="str">
        <f>S25</f>
        <v/>
      </c>
      <c r="BD9" s="266"/>
    </row>
    <row r="10" spans="1:56" ht="25.9" customHeight="1" x14ac:dyDescent="0.25">
      <c r="A10" s="873" t="s">
        <v>436</v>
      </c>
      <c r="B10" s="874"/>
      <c r="C10" s="874"/>
      <c r="D10" s="875"/>
      <c r="E10" s="813"/>
      <c r="F10" s="814"/>
      <c r="G10" s="786" t="s">
        <v>437</v>
      </c>
      <c r="H10" s="786"/>
      <c r="I10" s="786"/>
      <c r="J10" s="786"/>
      <c r="K10" s="786"/>
      <c r="L10" s="786"/>
      <c r="M10" s="787" t="str">
        <f>IF(AND(ISBLANK(E10),OR(NOT(ISBLANK(E8)),NOT(ISBLANK(E9)),NOT(ISBLANK(E11)),NOT(ISBLANK(I12)),NOT(ISBLANK(A14)))),"This information is required.","")</f>
        <v/>
      </c>
      <c r="N10" s="711"/>
      <c r="O10" s="711"/>
      <c r="P10" s="711"/>
      <c r="Q10" s="280"/>
      <c r="R10" s="281"/>
      <c r="S10" s="282" t="str">
        <f>IF(ISBLANK(E10),"",E10)</f>
        <v/>
      </c>
      <c r="T10" s="283" t="s">
        <v>30</v>
      </c>
      <c r="U10" s="281"/>
      <c r="V10" s="281"/>
      <c r="W10" s="281"/>
      <c r="X10" s="281"/>
      <c r="Y10" s="281"/>
      <c r="Z10" s="840"/>
      <c r="AA10" s="308"/>
      <c r="AB10" s="252">
        <f t="shared" si="0"/>
        <v>0</v>
      </c>
      <c r="AC10" s="252">
        <f>'Capital Expend Detail'!$N$1</f>
        <v>2022</v>
      </c>
      <c r="AD10" s="252">
        <v>71</v>
      </c>
      <c r="AE10" s="253" t="str">
        <f>IF(OR(NOT(ISBLANK(E355)),NOT(ISBLANK(A358))),9,"")</f>
        <v/>
      </c>
      <c r="AF10" s="252" t="str">
        <f>S352</f>
        <v/>
      </c>
      <c r="AG10" s="252" t="str">
        <f>S353</f>
        <v/>
      </c>
      <c r="AH10" s="252" t="s">
        <v>24</v>
      </c>
      <c r="AI10" s="480" t="str">
        <f>S354</f>
        <v/>
      </c>
      <c r="AJ10" s="482" t="str">
        <f>S355</f>
        <v/>
      </c>
      <c r="AK10" s="484" t="str">
        <f>S356</f>
        <v/>
      </c>
      <c r="AL10" s="258" t="str">
        <f>S357</f>
        <v/>
      </c>
      <c r="AM10" s="258" t="str">
        <f>S358</f>
        <v/>
      </c>
      <c r="AN10" s="258" t="str">
        <f>S379</f>
        <v/>
      </c>
      <c r="AO10" s="258" t="str">
        <f>S374</f>
        <v/>
      </c>
      <c r="AP10" s="258" t="str">
        <f>S389</f>
        <v/>
      </c>
      <c r="AQ10" s="258" t="str">
        <f>S351</f>
        <v/>
      </c>
      <c r="AR10" s="258" t="str">
        <f>S370</f>
        <v/>
      </c>
      <c r="AS10" s="258" t="str">
        <f>S382</f>
        <v/>
      </c>
      <c r="AT10" s="258" t="str">
        <f>S385</f>
        <v/>
      </c>
      <c r="AU10" s="258" t="str">
        <f>S359</f>
        <v/>
      </c>
      <c r="AV10" s="258" t="str">
        <f>S360</f>
        <v/>
      </c>
      <c r="AW10" s="258" t="str">
        <f>S361</f>
        <v/>
      </c>
      <c r="AX10" s="254" t="str">
        <f>S362</f>
        <v/>
      </c>
      <c r="AZ10" s="266"/>
      <c r="BA10" s="259" t="str">
        <f t="shared" si="2"/>
        <v/>
      </c>
      <c r="BB10" s="259" t="str">
        <f t="shared" si="1"/>
        <v/>
      </c>
      <c r="BC10" s="275" t="str">
        <f>S33</f>
        <v/>
      </c>
      <c r="BD10" s="266"/>
    </row>
    <row r="11" spans="1:56" ht="25.9" customHeight="1" x14ac:dyDescent="0.25">
      <c r="A11" s="783" t="s">
        <v>435</v>
      </c>
      <c r="B11" s="784"/>
      <c r="C11" s="784"/>
      <c r="D11" s="785"/>
      <c r="E11" s="828"/>
      <c r="F11" s="829"/>
      <c r="G11" s="284"/>
      <c r="H11" s="285"/>
      <c r="I11" s="286"/>
      <c r="J11" s="281"/>
      <c r="K11" s="281"/>
      <c r="L11" s="281"/>
      <c r="M11" s="711" t="str">
        <f>IF(AND(ISBLANK(E11),OR(NOT(ISBLANK(E8)),NOT(ISBLANK(E9)),NOT(ISBLANK(E10)),NOT(ISBLANK(I12)),NOT(ISBLANK(A14)))),"This information is required.","")</f>
        <v/>
      </c>
      <c r="N11" s="711"/>
      <c r="O11" s="711"/>
      <c r="P11" s="711"/>
      <c r="Q11" s="280"/>
      <c r="R11" s="287"/>
      <c r="S11" s="288" t="str">
        <f>IF(ISBLANK(E11),"",E11)</f>
        <v/>
      </c>
      <c r="T11" s="289" t="s">
        <v>31</v>
      </c>
      <c r="U11" s="287"/>
      <c r="V11" s="287"/>
      <c r="W11" s="287"/>
      <c r="X11" s="287"/>
      <c r="Y11" s="287"/>
      <c r="Z11" s="287"/>
      <c r="AA11" s="308"/>
      <c r="AB11" s="252">
        <f t="shared" si="0"/>
        <v>0</v>
      </c>
      <c r="AC11" s="252">
        <f>'Capital Expend Detail'!$N$1</f>
        <v>2022</v>
      </c>
      <c r="AD11" s="252">
        <v>71</v>
      </c>
      <c r="AE11" s="253" t="str">
        <f>IF(OR(NOT(ISBLANK(E398)),NOT(ISBLANK(A401))),10,"")</f>
        <v/>
      </c>
      <c r="AF11" s="252" t="str">
        <f>S395</f>
        <v/>
      </c>
      <c r="AG11" s="252" t="str">
        <f>S396</f>
        <v/>
      </c>
      <c r="AH11" s="252" t="s">
        <v>24</v>
      </c>
      <c r="AI11" s="480" t="str">
        <f>S397</f>
        <v/>
      </c>
      <c r="AJ11" s="482" t="str">
        <f>S398</f>
        <v/>
      </c>
      <c r="AK11" s="484" t="str">
        <f>S399</f>
        <v/>
      </c>
      <c r="AL11" s="258" t="str">
        <f>S400</f>
        <v/>
      </c>
      <c r="AM11" s="258" t="str">
        <f>S401</f>
        <v/>
      </c>
      <c r="AN11" s="258" t="str">
        <f>S422</f>
        <v/>
      </c>
      <c r="AO11" s="258" t="str">
        <f>S417</f>
        <v/>
      </c>
      <c r="AP11" s="258" t="str">
        <f>S432</f>
        <v/>
      </c>
      <c r="AQ11" s="258" t="str">
        <f>S394</f>
        <v/>
      </c>
      <c r="AR11" s="258" t="str">
        <f>S413</f>
        <v/>
      </c>
      <c r="AS11" s="258" t="str">
        <f>S425</f>
        <v/>
      </c>
      <c r="AT11" s="258" t="str">
        <f>S428</f>
        <v/>
      </c>
      <c r="AU11" s="258" t="str">
        <f>S402</f>
        <v/>
      </c>
      <c r="AV11" s="258" t="str">
        <f>S403</f>
        <v/>
      </c>
      <c r="AW11" s="258" t="str">
        <f>S404</f>
        <v/>
      </c>
      <c r="AX11" s="254" t="str">
        <f>S405</f>
        <v/>
      </c>
      <c r="AZ11" s="266"/>
      <c r="BA11" s="259" t="str">
        <f t="shared" si="2"/>
        <v/>
      </c>
      <c r="BB11" s="259" t="str">
        <f t="shared" si="1"/>
        <v/>
      </c>
      <c r="BC11" s="275" t="str">
        <f>S34</f>
        <v/>
      </c>
    </row>
    <row r="12" spans="1:56" ht="25.9" customHeight="1" thickBot="1" x14ac:dyDescent="0.3">
      <c r="A12" s="797" t="s">
        <v>426</v>
      </c>
      <c r="B12" s="798"/>
      <c r="C12" s="798"/>
      <c r="D12" s="798"/>
      <c r="E12" s="799"/>
      <c r="F12" s="799"/>
      <c r="G12" s="799"/>
      <c r="H12" s="799"/>
      <c r="I12" s="832"/>
      <c r="J12" s="832"/>
      <c r="K12" s="795" t="s">
        <v>481</v>
      </c>
      <c r="L12" s="796"/>
      <c r="M12" s="827" t="str">
        <f>IF(AND(ISBLANK(I12),OR(NOT(ISBLANK(E8)),NOT(ISBLANK(E9)),NOT(ISBLANK(E10)),NOT(ISBLANK(E11)),NOT(ISBLANK(A14)))),"This information is required!","")</f>
        <v/>
      </c>
      <c r="N12" s="827"/>
      <c r="O12" s="827"/>
      <c r="P12" s="827"/>
      <c r="Q12" s="290"/>
      <c r="R12" s="287"/>
      <c r="S12" s="288" t="str">
        <f>IF(ISBLANK(I12),"",I12)</f>
        <v/>
      </c>
      <c r="T12" s="289" t="s">
        <v>32</v>
      </c>
      <c r="U12" s="291"/>
      <c r="V12" s="291"/>
      <c r="W12" s="291"/>
      <c r="X12" s="287"/>
      <c r="Y12" s="287"/>
      <c r="Z12" s="287"/>
      <c r="AA12" s="308"/>
      <c r="AB12" s="252">
        <f t="shared" si="0"/>
        <v>0</v>
      </c>
      <c r="AC12" s="252">
        <f>'Capital Expend Detail'!$N$1</f>
        <v>2022</v>
      </c>
      <c r="AD12" s="252">
        <v>71</v>
      </c>
      <c r="AE12" s="253" t="str">
        <f>IF(OR(NOT(ISBLANK(E441)),NOT(ISBLANK(A444))),11,"")</f>
        <v/>
      </c>
      <c r="AF12" s="252" t="str">
        <f>S438</f>
        <v/>
      </c>
      <c r="AG12" s="252" t="str">
        <f>S439</f>
        <v/>
      </c>
      <c r="AH12" s="252" t="s">
        <v>24</v>
      </c>
      <c r="AI12" s="480" t="str">
        <f>S440</f>
        <v/>
      </c>
      <c r="AJ12" s="482" t="str">
        <f>S441</f>
        <v/>
      </c>
      <c r="AK12" s="484" t="str">
        <f>S442</f>
        <v/>
      </c>
      <c r="AL12" s="258" t="str">
        <f>S443</f>
        <v/>
      </c>
      <c r="AM12" s="258" t="str">
        <f>S444</f>
        <v/>
      </c>
      <c r="AN12" s="258" t="str">
        <f>S465</f>
        <v/>
      </c>
      <c r="AO12" s="258" t="str">
        <f>S460</f>
        <v/>
      </c>
      <c r="AP12" s="258" t="str">
        <f>S475</f>
        <v/>
      </c>
      <c r="AQ12" s="258" t="str">
        <f>S437</f>
        <v/>
      </c>
      <c r="AR12" s="258" t="str">
        <f>S456</f>
        <v/>
      </c>
      <c r="AS12" s="258" t="str">
        <f>S468</f>
        <v/>
      </c>
      <c r="AT12" s="258" t="str">
        <f>S471</f>
        <v/>
      </c>
      <c r="AU12" s="258" t="str">
        <f>S445</f>
        <v/>
      </c>
      <c r="AV12" s="258" t="str">
        <f>S446</f>
        <v/>
      </c>
      <c r="AW12" s="258" t="str">
        <f>S447</f>
        <v/>
      </c>
      <c r="AX12" s="254" t="str">
        <f>S448</f>
        <v/>
      </c>
      <c r="AZ12" s="266"/>
      <c r="BA12" s="292" t="str">
        <f t="shared" si="2"/>
        <v/>
      </c>
      <c r="BB12" s="292" t="str">
        <f>IF(BC12="","",$Q$49)</f>
        <v/>
      </c>
      <c r="BC12" s="292" t="str">
        <f>S64</f>
        <v/>
      </c>
      <c r="BD12" s="260" t="s">
        <v>445</v>
      </c>
    </row>
    <row r="13" spans="1:56" s="266" customFormat="1" ht="25.9" customHeight="1" x14ac:dyDescent="0.25">
      <c r="A13" s="841" t="s">
        <v>553</v>
      </c>
      <c r="B13" s="842"/>
      <c r="C13" s="842"/>
      <c r="D13" s="842"/>
      <c r="E13" s="842"/>
      <c r="F13" s="842"/>
      <c r="G13" s="842"/>
      <c r="H13" s="842"/>
      <c r="I13" s="842"/>
      <c r="J13" s="909"/>
      <c r="K13" s="907" t="s">
        <v>646</v>
      </c>
      <c r="L13" s="907"/>
      <c r="M13" s="907"/>
      <c r="N13" s="907"/>
      <c r="O13" s="830" t="s">
        <v>535</v>
      </c>
      <c r="P13" s="830"/>
      <c r="Q13" s="831"/>
      <c r="R13" s="293"/>
      <c r="S13" s="288" t="str">
        <f>IF(ISBLANK(A14),"",A14)</f>
        <v/>
      </c>
      <c r="T13" s="289" t="s">
        <v>33</v>
      </c>
      <c r="U13" s="294"/>
      <c r="V13" s="294"/>
      <c r="W13" s="294"/>
      <c r="X13" s="293"/>
      <c r="Y13" s="293"/>
      <c r="Z13" s="293"/>
      <c r="AA13" s="308"/>
      <c r="AB13" s="252">
        <f t="shared" si="0"/>
        <v>0</v>
      </c>
      <c r="AC13" s="252">
        <f>'Capital Expend Detail'!$N$1</f>
        <v>2022</v>
      </c>
      <c r="AD13" s="252">
        <v>71</v>
      </c>
      <c r="AE13" s="253" t="str">
        <f>IF(OR(NOT(ISBLANK(E484)),NOT(ISBLANK(A487))),12,"")</f>
        <v/>
      </c>
      <c r="AF13" s="252" t="str">
        <f>S481</f>
        <v/>
      </c>
      <c r="AG13" s="252" t="str">
        <f>S482</f>
        <v/>
      </c>
      <c r="AH13" s="252" t="s">
        <v>24</v>
      </c>
      <c r="AI13" s="480" t="str">
        <f>S483</f>
        <v/>
      </c>
      <c r="AJ13" s="482" t="str">
        <f>S484</f>
        <v/>
      </c>
      <c r="AK13" s="484" t="str">
        <f>S485</f>
        <v/>
      </c>
      <c r="AL13" s="258" t="str">
        <f>S486</f>
        <v/>
      </c>
      <c r="AM13" s="258" t="str">
        <f>S487</f>
        <v/>
      </c>
      <c r="AN13" s="258" t="str">
        <f>S508</f>
        <v/>
      </c>
      <c r="AO13" s="258" t="str">
        <f>S503</f>
        <v/>
      </c>
      <c r="AP13" s="258" t="str">
        <f>S518</f>
        <v/>
      </c>
      <c r="AQ13" s="258" t="str">
        <f>S480</f>
        <v/>
      </c>
      <c r="AR13" s="258" t="str">
        <f>S499</f>
        <v/>
      </c>
      <c r="AS13" s="258" t="str">
        <f>S511</f>
        <v/>
      </c>
      <c r="AT13" s="258" t="str">
        <f>S514</f>
        <v/>
      </c>
      <c r="AU13" s="258" t="str">
        <f>S488</f>
        <v/>
      </c>
      <c r="AV13" s="258" t="str">
        <f>S489</f>
        <v/>
      </c>
      <c r="AW13" s="258" t="str">
        <f>S490</f>
        <v/>
      </c>
      <c r="AX13" s="254" t="str">
        <f>S491</f>
        <v/>
      </c>
      <c r="BA13" s="292" t="str">
        <f t="shared" si="2"/>
        <v/>
      </c>
      <c r="BB13" s="292" t="str">
        <f t="shared" ref="BB13:BB20" si="3">IF(BC13="","",$Q$49)</f>
        <v/>
      </c>
      <c r="BC13" s="292" t="str">
        <f>T64</f>
        <v/>
      </c>
      <c r="BD13" s="250"/>
    </row>
    <row r="14" spans="1:56" s="266" customFormat="1" ht="25.9" customHeight="1" x14ac:dyDescent="0.2">
      <c r="A14" s="853"/>
      <c r="B14" s="854"/>
      <c r="C14" s="854"/>
      <c r="D14" s="854"/>
      <c r="E14" s="854"/>
      <c r="F14" s="854"/>
      <c r="G14" s="854"/>
      <c r="H14" s="854"/>
      <c r="I14" s="854"/>
      <c r="J14" s="902"/>
      <c r="K14" s="908"/>
      <c r="L14" s="908"/>
      <c r="M14" s="908"/>
      <c r="N14" s="908"/>
      <c r="O14" s="295"/>
      <c r="P14" s="296" t="s">
        <v>43</v>
      </c>
      <c r="Q14" s="297" t="s">
        <v>44</v>
      </c>
      <c r="R14" s="293"/>
      <c r="S14" s="288" t="str">
        <f>IF(ISBLANK(A17),"",A17)</f>
        <v/>
      </c>
      <c r="T14" s="298" t="s">
        <v>34</v>
      </c>
      <c r="U14" s="294"/>
      <c r="V14" s="294"/>
      <c r="W14" s="294"/>
      <c r="X14" s="293"/>
      <c r="Y14" s="293"/>
      <c r="Z14" s="293"/>
      <c r="AB14" s="299"/>
      <c r="AC14" s="300"/>
      <c r="AD14" s="301">
        <f>code_7595</f>
        <v>0</v>
      </c>
      <c r="AE14" s="302">
        <f>SUM(AE15:AE26)</f>
        <v>0</v>
      </c>
      <c r="AF14" s="300"/>
      <c r="AG14" s="300"/>
      <c r="AH14" s="303">
        <f>SUM(AH15:AH26)</f>
        <v>0</v>
      </c>
      <c r="AI14" s="301">
        <f>code_7596</f>
        <v>0</v>
      </c>
      <c r="AJ14" s="302">
        <f>SUM(AJ2:AJ13)</f>
        <v>0</v>
      </c>
      <c r="AK14" s="300"/>
      <c r="AL14" s="300"/>
      <c r="AM14" s="300"/>
      <c r="AN14" s="300"/>
      <c r="AO14" s="300"/>
      <c r="AP14" s="300"/>
      <c r="AQ14" s="250"/>
      <c r="AR14" s="250"/>
      <c r="AS14" s="250"/>
      <c r="AT14" s="250"/>
      <c r="AU14" s="250"/>
      <c r="AV14" s="250"/>
      <c r="AW14" s="250"/>
      <c r="AX14" s="250"/>
      <c r="BA14" s="292" t="str">
        <f t="shared" si="2"/>
        <v/>
      </c>
      <c r="BB14" s="292" t="str">
        <f t="shared" si="3"/>
        <v/>
      </c>
      <c r="BC14" s="292" t="str">
        <f>U64</f>
        <v/>
      </c>
      <c r="BD14" s="250"/>
    </row>
    <row r="15" spans="1:56" ht="25.9" customHeight="1" x14ac:dyDescent="0.2">
      <c r="A15" s="882"/>
      <c r="B15" s="883"/>
      <c r="C15" s="883"/>
      <c r="D15" s="883"/>
      <c r="E15" s="883"/>
      <c r="F15" s="883"/>
      <c r="G15" s="883"/>
      <c r="H15" s="883"/>
      <c r="I15" s="883"/>
      <c r="J15" s="903"/>
      <c r="K15" s="899" t="s">
        <v>516</v>
      </c>
      <c r="L15" s="900"/>
      <c r="M15" s="900"/>
      <c r="N15" s="900"/>
      <c r="O15" s="901"/>
      <c r="P15" s="304"/>
      <c r="Q15" s="305"/>
      <c r="R15" s="291" t="str">
        <f>IF(COUNTBLANK(P15:Q15)=2,"Please enter response.",IF(COUNTBLANK(P15:Q15)&lt;&gt;1,"Please VERIFY response.",""))</f>
        <v>Please enter response.</v>
      </c>
      <c r="S15" s="306" t="str">
        <f>IF(AND(ISBLANK(P15),ISBLANK(Q15)),"",IF(ISBLANK(P15),0,1))</f>
        <v/>
      </c>
      <c r="T15" s="307" t="s">
        <v>563</v>
      </c>
      <c r="U15" s="266"/>
      <c r="V15" s="266"/>
      <c r="W15" s="266"/>
      <c r="X15" s="186"/>
      <c r="Y15" s="186"/>
      <c r="Z15" s="186"/>
      <c r="AA15" s="308"/>
      <c r="AB15" s="299"/>
      <c r="AC15" s="300"/>
      <c r="AD15" s="300"/>
      <c r="AE15" s="278">
        <f>IF(AE2=1,1,0)</f>
        <v>0</v>
      </c>
      <c r="AF15" s="836" t="s">
        <v>95</v>
      </c>
      <c r="AG15" s="836"/>
      <c r="AH15" s="278">
        <f>SUM(AI15:AN15)</f>
        <v>0</v>
      </c>
      <c r="AI15" s="309" t="str">
        <f>IF(AND(ISBLANK(E8),OR(NOT(ISBLANK(E9)),NOT(ISBLANK(E10)),NOT(ISBLANK(E11)),NOT(ISBLANK(I12)),NOT(ISBLANK(A14)))),1,"")</f>
        <v/>
      </c>
      <c r="AJ15" s="309" t="str">
        <f>IF(AND(ISBLANK(E9),OR(NOT(ISBLANK(E8)),NOT(ISBLANK(E10)),NOT(ISBLANK(E11)),NOT(ISBLANK(I12)),NOT(ISBLANK(A14)))),1,"")</f>
        <v/>
      </c>
      <c r="AK15" s="309" t="str">
        <f>IF(AND(ISBLANK(E10),OR(NOT(ISBLANK(E8)),NOT(ISBLANK(E9)),NOT(ISBLANK(E11)),NOT(ISBLANK(I12)),NOT(ISBLANK(A14)))),1,"")</f>
        <v/>
      </c>
      <c r="AL15" s="309" t="str">
        <f>IF(AND(ISBLANK(E11),OR(NOT(ISBLANK(E8)),NOT(ISBLANK(E9)),NOT(ISBLANK(E10)),NOT(ISBLANK(I12)),NOT(ISBLANK(A14)))),1,"")</f>
        <v/>
      </c>
      <c r="AM15" s="309" t="str">
        <f>IF(AND(ISBLANK(I12),OR(NOT(ISBLANK(E8)),NOT(ISBLANK(E9)),NOT(ISBLANK(E10)),NOT(ISBLANK(E11)),NOT(ISBLANK(A14)))),1,"")</f>
        <v/>
      </c>
      <c r="AN15" s="309" t="str">
        <f>IF(AND(ISBLANK(A14),OR(NOT(ISBLANK(E8)),NOT(ISBLANK(E9)),NOT(ISBLANK(E10)),NOT(ISBLANK(E11)),NOT(ISBLANK(I12)))),1,"")</f>
        <v/>
      </c>
      <c r="AO15" s="300"/>
      <c r="AP15" s="300"/>
      <c r="AZ15" s="266"/>
      <c r="BA15" s="292" t="str">
        <f t="shared" si="2"/>
        <v/>
      </c>
      <c r="BB15" s="292" t="str">
        <f t="shared" si="3"/>
        <v/>
      </c>
      <c r="BC15" s="292" t="str">
        <f>V64</f>
        <v/>
      </c>
      <c r="BD15" s="266"/>
    </row>
    <row r="16" spans="1:56" s="266" customFormat="1" ht="25.9" customHeight="1" x14ac:dyDescent="0.25">
      <c r="A16" s="904" t="s">
        <v>558</v>
      </c>
      <c r="B16" s="905"/>
      <c r="C16" s="905"/>
      <c r="D16" s="905"/>
      <c r="E16" s="905"/>
      <c r="F16" s="905"/>
      <c r="G16" s="905"/>
      <c r="H16" s="905"/>
      <c r="I16" s="905"/>
      <c r="J16" s="906"/>
      <c r="K16" s="899" t="s">
        <v>517</v>
      </c>
      <c r="L16" s="900"/>
      <c r="M16" s="900"/>
      <c r="N16" s="900"/>
      <c r="O16" s="901"/>
      <c r="P16" s="304"/>
      <c r="Q16" s="305"/>
      <c r="R16" s="291" t="str">
        <f>IF(COUNTBLANK(P16:Q16)=2,"Please enter response.",IF(COUNTBLANK(P16:Q16)&lt;&gt;1,"Please VERIFY response.",""))</f>
        <v>Please enter response.</v>
      </c>
      <c r="S16" s="306" t="str">
        <f>IF(AND(ISBLANK(P16),ISBLANK(Q16)),"",IF(ISBLANK(P16),0,1))</f>
        <v/>
      </c>
      <c r="T16" s="307" t="s">
        <v>564</v>
      </c>
      <c r="X16" s="310"/>
      <c r="Y16" s="310"/>
      <c r="Z16" s="310"/>
      <c r="AA16" s="311"/>
      <c r="AB16" s="312"/>
      <c r="AC16" s="313"/>
      <c r="AD16" s="313"/>
      <c r="AE16" s="278">
        <f>IF(AE3=2,1,0)</f>
        <v>0</v>
      </c>
      <c r="AF16" s="836" t="s">
        <v>447</v>
      </c>
      <c r="AG16" s="836"/>
      <c r="AH16" s="278">
        <f>SUM(AI16:AN16)</f>
        <v>0</v>
      </c>
      <c r="AI16" s="309" t="str">
        <f>IF(AND(ISBLANK(E51),OR(NOT(ISBLANK(E52)),NOT(ISBLANK(E53)),NOT(ISBLANK(E54)),NOT(ISBLANK(I55)),NOT(ISBLANK(A57)))),1,"")</f>
        <v/>
      </c>
      <c r="AJ16" s="309" t="str">
        <f>IF(AND(ISBLANK(E52),OR(NOT(ISBLANK(E51)),NOT(ISBLANK(E53)),NOT(ISBLANK(E54)),NOT(ISBLANK(I55)),NOT(ISBLANK(A57)))),1,"")</f>
        <v/>
      </c>
      <c r="AK16" s="309" t="str">
        <f>IF(AND(ISBLANK(E53),OR(NOT(ISBLANK(E51)),NOT(ISBLANK(E52)),NOT(ISBLANK(E54)),NOT(ISBLANK(I55)),NOT(ISBLANK(A57)))),1,"")</f>
        <v/>
      </c>
      <c r="AL16" s="309" t="str">
        <f>IF(AND(ISBLANK(E54),OR(NOT(ISBLANK(E51)),NOT(ISBLANK(E52)),NOT(ISBLANK(E53)),NOT(ISBLANK(I55)),NOT(ISBLANK(A57)))),1,"")</f>
        <v/>
      </c>
      <c r="AM16" s="314" t="str">
        <f>IF(AND(ISBLANK(I55),OR(NOT(ISBLANK(E51)),NOT(ISBLANK(E52)),NOT(ISBLANK(E53)),NOT(ISBLANK(E54)),NOT(ISBLANK(A57)))),1,"")</f>
        <v/>
      </c>
      <c r="AN16" s="314" t="str">
        <f>IF(AND(ISBLANK(A57),OR(NOT(ISBLANK(E51)),NOT(ISBLANK(E52)),NOT(ISBLANK(E53)),NOT(ISBLANK(E54)),NOT(ISBLANK(I55)))),1,"")</f>
        <v/>
      </c>
      <c r="AO16" s="313"/>
      <c r="AP16" s="313"/>
      <c r="AQ16" s="250"/>
      <c r="AR16" s="250"/>
      <c r="AS16" s="250"/>
      <c r="AT16" s="250"/>
      <c r="AU16" s="250"/>
      <c r="AV16" s="250"/>
      <c r="AW16" s="250"/>
      <c r="AX16" s="250"/>
      <c r="AZ16" s="308"/>
      <c r="BA16" s="292" t="str">
        <f t="shared" si="2"/>
        <v/>
      </c>
      <c r="BB16" s="292" t="str">
        <f t="shared" si="3"/>
        <v/>
      </c>
      <c r="BC16" s="292" t="str">
        <f>S66</f>
        <v/>
      </c>
      <c r="BD16" s="250"/>
    </row>
    <row r="17" spans="1:56" s="266" customFormat="1" ht="25.9" customHeight="1" x14ac:dyDescent="0.25">
      <c r="A17" s="853"/>
      <c r="B17" s="854"/>
      <c r="C17" s="854"/>
      <c r="D17" s="854"/>
      <c r="E17" s="854"/>
      <c r="F17" s="854"/>
      <c r="G17" s="854"/>
      <c r="H17" s="854"/>
      <c r="I17" s="854"/>
      <c r="J17" s="902"/>
      <c r="K17" s="899" t="s">
        <v>518</v>
      </c>
      <c r="L17" s="900"/>
      <c r="M17" s="900"/>
      <c r="N17" s="900"/>
      <c r="O17" s="901"/>
      <c r="P17" s="304"/>
      <c r="Q17" s="305"/>
      <c r="R17" s="291" t="str">
        <f>IF(COUNTBLANK(P17:Q17)=2,"Please enter response.",IF(COUNTBLANK(P17:Q17)&lt;&gt;1,"Please VERIFY response.",""))</f>
        <v>Please enter response.</v>
      </c>
      <c r="S17" s="306" t="str">
        <f>IF(AND(ISBLANK(P17),ISBLANK(Q17)),"",IF(ISBLANK(P17),0,1))</f>
        <v/>
      </c>
      <c r="T17" s="307" t="s">
        <v>565</v>
      </c>
      <c r="X17" s="315"/>
      <c r="Y17" s="315"/>
      <c r="Z17" s="315"/>
      <c r="AA17" s="308"/>
      <c r="AB17" s="312"/>
      <c r="AC17" s="249"/>
      <c r="AD17" s="249"/>
      <c r="AE17" s="278">
        <f>IF(AE4=3,1,0)</f>
        <v>0</v>
      </c>
      <c r="AF17" s="836" t="s">
        <v>567</v>
      </c>
      <c r="AG17" s="836"/>
      <c r="AH17" s="278">
        <f t="shared" ref="AH17:AH26" si="4">SUM(AI17:AN17)</f>
        <v>0</v>
      </c>
      <c r="AI17" s="316" t="str">
        <f>IF(AND(ISBLANK(E94),OR(NOT(ISBLANK(E95)),NOT(ISBLANK(E96)),NOT(ISBLANK(E97)),NOT(ISBLANK(I98)),NOT(ISBLANK(A100)))),1,"")</f>
        <v/>
      </c>
      <c r="AJ17" s="316" t="str">
        <f>IF(AND(ISBLANK(E95),OR(NOT(ISBLANK(E94)),NOT(ISBLANK(E96)),NOT(ISBLANK(E97)),NOT(ISBLANK(I98)),NOT(ISBLANK(A100)))),1,"")</f>
        <v/>
      </c>
      <c r="AK17" s="316" t="str">
        <f>IF(AND(ISBLANK(E96),OR(NOT(ISBLANK(E94)),NOT(ISBLANK(E95)),NOT(ISBLANK(E97)),NOT(ISBLANK(I98)),NOT(ISBLANK(A100)))),1,"")</f>
        <v/>
      </c>
      <c r="AL17" s="316" t="str">
        <f>IF(AND(ISBLANK(E97),OR(NOT(ISBLANK(E94)),NOT(ISBLANK(E95)),NOT(ISBLANK(E96)),NOT(ISBLANK(I98)),NOT(ISBLANK(A100)))),1,"")</f>
        <v/>
      </c>
      <c r="AM17" s="316" t="str">
        <f>IF(AND(ISBLANK(I98),OR(NOT(ISBLANK(E94)),NOT(ISBLANK(E95)),NOT(ISBLANK(E96)),NOT(ISBLANK(E97)),NOT(ISBLANK(A100)))),1,"")</f>
        <v/>
      </c>
      <c r="AN17" s="317" t="str">
        <f>IF(AND(ISBLANK(A100),OR(NOT(ISBLANK(E94)),NOT(ISBLANK(E95)),NOT(ISBLANK(E96)),NOT(ISBLANK(E97)),NOT(ISBLANK(I98)))),1,"")</f>
        <v/>
      </c>
      <c r="AO17" s="249"/>
      <c r="AP17" s="249"/>
      <c r="AQ17" s="250"/>
      <c r="AR17" s="250"/>
      <c r="AS17" s="250"/>
      <c r="AT17" s="250"/>
      <c r="AU17" s="250"/>
      <c r="AV17" s="250"/>
      <c r="AW17" s="250"/>
      <c r="AX17" s="250"/>
      <c r="AZ17" s="308"/>
      <c r="BA17" s="292" t="str">
        <f t="shared" si="2"/>
        <v/>
      </c>
      <c r="BB17" s="292" t="str">
        <f t="shared" si="3"/>
        <v/>
      </c>
      <c r="BC17" s="292" t="str">
        <f>S67</f>
        <v/>
      </c>
    </row>
    <row r="18" spans="1:56" s="266" customFormat="1" ht="25.9" customHeight="1" x14ac:dyDescent="0.25">
      <c r="A18" s="882"/>
      <c r="B18" s="883"/>
      <c r="C18" s="883"/>
      <c r="D18" s="883"/>
      <c r="E18" s="883"/>
      <c r="F18" s="883"/>
      <c r="G18" s="883"/>
      <c r="H18" s="883"/>
      <c r="I18" s="883"/>
      <c r="J18" s="903"/>
      <c r="K18" s="899" t="s">
        <v>520</v>
      </c>
      <c r="L18" s="900"/>
      <c r="M18" s="900"/>
      <c r="N18" s="900"/>
      <c r="O18" s="901"/>
      <c r="P18" s="304"/>
      <c r="Q18" s="305"/>
      <c r="R18" s="291" t="str">
        <f>IF(COUNTBLANK(P18:Q18)=2,"Please enter response.",IF(COUNTBLANK(P18:Q18)&lt;&gt;1,"Please VERIFY response.",""))</f>
        <v>Please enter response.</v>
      </c>
      <c r="S18" s="306" t="str">
        <f>IF(AND(ISBLANK(P18),ISBLANK(Q18)),"",IF(ISBLANK(P18),0,1))</f>
        <v/>
      </c>
      <c r="T18" s="307" t="s">
        <v>566</v>
      </c>
      <c r="X18" s="315"/>
      <c r="Y18" s="315"/>
      <c r="Z18" s="315"/>
      <c r="AA18" s="308"/>
      <c r="AB18" s="312"/>
      <c r="AC18" s="249"/>
      <c r="AD18" s="249"/>
      <c r="AE18" s="278">
        <f>IF(AE5=4,1,0)</f>
        <v>0</v>
      </c>
      <c r="AF18" s="836" t="s">
        <v>568</v>
      </c>
      <c r="AG18" s="836"/>
      <c r="AH18" s="278">
        <f t="shared" si="4"/>
        <v>0</v>
      </c>
      <c r="AI18" s="318" t="str">
        <f>IF(AND(ISBLANK(E137),OR(NOT(ISBLANK(E138)),NOT(ISBLANK(E139)),NOT(ISBLANK(E140)),NOT(ISBLANK(I141)),NOT(ISBLANK(A143)))),1,"")</f>
        <v/>
      </c>
      <c r="AJ18" s="316" t="str">
        <f>IF(AND(ISBLANK(E138),OR(NOT(ISBLANK(E137)),NOT(ISBLANK(E139)),NOT(ISBLANK(E140)),NOT(ISBLANK(I141)),NOT(ISBLANK(A143)))),1,"")</f>
        <v/>
      </c>
      <c r="AK18" s="316" t="str">
        <f>IF(AND(ISBLANK(E139),OR(NOT(ISBLANK(E137)),NOT(ISBLANK(E138)),NOT(ISBLANK(E140)),NOT(ISBLANK(I141)),NOT(ISBLANK(A143)))),1,"")</f>
        <v/>
      </c>
      <c r="AL18" s="316" t="str">
        <f>IF(AND(ISBLANK(E140),OR(NOT(ISBLANK(E137)),NOT(ISBLANK(E138)),NOT(ISBLANK(E139)),NOT(ISBLANK(I141)),NOT(ISBLANK(A143)))),1,"")</f>
        <v/>
      </c>
      <c r="AM18" s="316" t="str">
        <f>IF(AND(ISBLANK(I141),OR(NOT(ISBLANK(E137)),NOT(ISBLANK(E138)),NOT(ISBLANK(E139)),NOT(ISBLANK(E140)),NOT(ISBLANK(A143)))),1,"")</f>
        <v/>
      </c>
      <c r="AN18" s="316" t="str">
        <f>IF(AND(ISBLANK(A143),OR(NOT(ISBLANK(E137)),NOT(ISBLANK(E138)),NOT(ISBLANK(E139)),NOT(ISBLANK(E140)),NOT(ISBLANK(I141)))),1,"")</f>
        <v/>
      </c>
      <c r="AO18" s="249"/>
      <c r="AP18" s="249"/>
      <c r="AQ18" s="250"/>
      <c r="AR18" s="250"/>
      <c r="AS18" s="250"/>
      <c r="AT18" s="250"/>
      <c r="AU18" s="250"/>
      <c r="AV18" s="250"/>
      <c r="AW18" s="250"/>
      <c r="AX18" s="250"/>
      <c r="AZ18" s="308"/>
      <c r="BA18" s="292" t="str">
        <f t="shared" si="2"/>
        <v/>
      </c>
      <c r="BB18" s="292" t="str">
        <f t="shared" si="3"/>
        <v/>
      </c>
      <c r="BC18" s="292" t="str">
        <f>S68</f>
        <v/>
      </c>
    </row>
    <row r="19" spans="1:56" ht="25.9" customHeight="1" x14ac:dyDescent="0.25">
      <c r="A19" s="879" t="s">
        <v>546</v>
      </c>
      <c r="B19" s="880"/>
      <c r="C19" s="880"/>
      <c r="D19" s="880"/>
      <c r="E19" s="880"/>
      <c r="F19" s="880"/>
      <c r="G19" s="880"/>
      <c r="H19" s="880"/>
      <c r="I19" s="880"/>
      <c r="J19" s="880"/>
      <c r="K19" s="880"/>
      <c r="L19" s="880"/>
      <c r="M19" s="880"/>
      <c r="N19" s="880"/>
      <c r="O19" s="880"/>
      <c r="P19" s="880"/>
      <c r="Q19" s="881"/>
      <c r="R19" s="310"/>
      <c r="S19" s="319"/>
      <c r="T19" s="310"/>
      <c r="U19" s="310"/>
      <c r="V19" s="310"/>
      <c r="W19" s="310"/>
      <c r="X19" s="320"/>
      <c r="Y19" s="320"/>
      <c r="Z19" s="320"/>
      <c r="AA19" s="308"/>
      <c r="AB19" s="321"/>
      <c r="AC19" s="308"/>
      <c r="AD19" s="308"/>
      <c r="AE19" s="278">
        <f>IF(AE6=5,1,0)</f>
        <v>0</v>
      </c>
      <c r="AF19" s="836" t="s">
        <v>569</v>
      </c>
      <c r="AG19" s="836"/>
      <c r="AH19" s="278">
        <f t="shared" si="4"/>
        <v>0</v>
      </c>
      <c r="AI19" s="316" t="str">
        <f>IF(AND(ISBLANK(E180),OR(NOT(ISBLANK(E181)),NOT(ISBLANK(E182)),NOT(ISBLANK(E183)),NOT(ISBLANK(I184)),NOT(ISBLANK(A186)))),1,"")</f>
        <v/>
      </c>
      <c r="AJ19" s="316" t="str">
        <f>IF(AND(ISBLANK(E181),OR(NOT(ISBLANK(E180)),NOT(ISBLANK(E182)),NOT(ISBLANK(E183)),NOT(ISBLANK(I184)),NOT(ISBLANK(A186)))),1,"")</f>
        <v/>
      </c>
      <c r="AK19" s="316" t="str">
        <f>IF(AND(ISBLANK(E182),OR(NOT(ISBLANK(E180)),NOT(ISBLANK(E181)),NOT(ISBLANK(E183)),NOT(ISBLANK(I184)),NOT(ISBLANK(A186)))),1,"")</f>
        <v/>
      </c>
      <c r="AL19" s="316" t="str">
        <f>IF(AND(ISBLANK(E183),OR(NOT(ISBLANK(E180)),NOT(ISBLANK(E181)),NOT(ISBLANK(E182)),NOT(ISBLANK(I184)),NOT(ISBLANK(A186)))),1,"")</f>
        <v/>
      </c>
      <c r="AM19" s="316" t="str">
        <f>IF(AND(ISBLANK(I184),OR(NOT(ISBLANK(E180)),NOT(ISBLANK(E181)),NOT(ISBLANK(E182)),NOT(ISBLANK(E183)),NOT(ISBLANK(A186)))),1,"")</f>
        <v/>
      </c>
      <c r="AN19" s="316" t="str">
        <f>IF(AND(ISBLANK(A186),OR(NOT(ISBLANK(E180)),NOT(ISBLANK(E181)),NOT(ISBLANK(E182)),NOT(ISBLANK(E183)),NOT(ISBLANK(I184)))),1,"")</f>
        <v/>
      </c>
      <c r="AO19" s="308"/>
      <c r="AP19" s="308"/>
      <c r="AQ19" s="266"/>
      <c r="AR19" s="266"/>
      <c r="AS19" s="266"/>
      <c r="AT19" s="266"/>
      <c r="AU19" s="266"/>
      <c r="AV19" s="266"/>
      <c r="AW19" s="266"/>
      <c r="AX19" s="266"/>
      <c r="AZ19" s="308"/>
      <c r="BA19" s="292" t="str">
        <f t="shared" si="2"/>
        <v/>
      </c>
      <c r="BB19" s="292" t="str">
        <f t="shared" si="3"/>
        <v/>
      </c>
      <c r="BC19" s="292" t="str">
        <f>S76</f>
        <v/>
      </c>
    </row>
    <row r="20" spans="1:56" ht="25.9" customHeight="1" x14ac:dyDescent="0.25">
      <c r="A20" s="870" t="s">
        <v>450</v>
      </c>
      <c r="B20" s="826"/>
      <c r="C20" s="826"/>
      <c r="D20" s="826"/>
      <c r="E20" s="826" t="s">
        <v>478</v>
      </c>
      <c r="F20" s="826"/>
      <c r="G20" s="826"/>
      <c r="H20" s="826"/>
      <c r="I20" s="826" t="s">
        <v>479</v>
      </c>
      <c r="J20" s="826"/>
      <c r="K20" s="826"/>
      <c r="L20" s="826"/>
      <c r="M20" s="871" t="s">
        <v>465</v>
      </c>
      <c r="N20" s="826"/>
      <c r="O20" s="826"/>
      <c r="P20" s="826"/>
      <c r="Q20" s="872"/>
      <c r="R20" s="315"/>
      <c r="S20" s="836" t="s">
        <v>491</v>
      </c>
      <c r="T20" s="836"/>
      <c r="U20" s="836"/>
      <c r="V20" s="836"/>
      <c r="W20" s="315"/>
      <c r="X20" s="322"/>
      <c r="Y20" s="322"/>
      <c r="Z20" s="322"/>
      <c r="AA20" s="308"/>
      <c r="AB20" s="312"/>
      <c r="AC20" s="249"/>
      <c r="AD20" s="249"/>
      <c r="AE20" s="278">
        <f>IF(AE7=6,1,0)</f>
        <v>0</v>
      </c>
      <c r="AF20" s="836" t="s">
        <v>570</v>
      </c>
      <c r="AG20" s="836"/>
      <c r="AH20" s="278">
        <f t="shared" si="4"/>
        <v>0</v>
      </c>
      <c r="AI20" s="314" t="str">
        <f>IF(AND(ISBLANK(E223),OR(NOT(ISBLANK(E224)),NOT(ISBLANK(E225)),NOT(ISBLANK(E226)),NOT(ISBLANK(I227)),NOT(ISBLANK(A229)))),1,"")</f>
        <v/>
      </c>
      <c r="AJ20" s="316" t="str">
        <f>IF(AND(ISBLANK(E224),OR(NOT(ISBLANK(E223)),NOT(ISBLANK(E225)),NOT(ISBLANK(E226)),NOT(ISBLANK(I227)),NOT(ISBLANK(A229)))),1,"")</f>
        <v/>
      </c>
      <c r="AK20" s="316" t="str">
        <f>IF(AND(ISBLANK(E225),OR(NOT(ISBLANK(E223)),NOT(ISBLANK(E224)),NOT(ISBLANK(E226)),NOT(ISBLANK(I227)),NOT(ISBLANK(A229)))),1,"")</f>
        <v/>
      </c>
      <c r="AL20" s="316" t="str">
        <f>IF(AND(ISBLANK(E226),OR(NOT(ISBLANK(E223)),NOT(ISBLANK(E224)),NOT(ISBLANK(E225)),NOT(ISBLANK(I227)),NOT(ISBLANK(A229)))),1,"")</f>
        <v/>
      </c>
      <c r="AM20" s="316" t="str">
        <f>IF(AND(ISBLANK(I227),OR(NOT(ISBLANK(E223)),NOT(ISBLANK(E224)),NOT(ISBLANK(E225)),NOT(ISBLANK(E226)),NOT(ISBLANK(A229)))),1,"")</f>
        <v/>
      </c>
      <c r="AN20" s="316" t="str">
        <f>IF(AND(ISBLANK(A229),OR(NOT(ISBLANK(E223)),NOT(ISBLANK(E224)),NOT(ISBLANK(E225)),NOT(ISBLANK(E226)),NOT(ISBLANK(I227)))),1,"")</f>
        <v/>
      </c>
      <c r="AO20" s="249"/>
      <c r="AP20" s="249"/>
      <c r="AZ20" s="308"/>
      <c r="BA20" s="292" t="str">
        <f t="shared" si="2"/>
        <v/>
      </c>
      <c r="BB20" s="292" t="str">
        <f t="shared" si="3"/>
        <v/>
      </c>
      <c r="BC20" s="292" t="str">
        <f>S77</f>
        <v/>
      </c>
    </row>
    <row r="21" spans="1:56" s="266" customFormat="1" ht="25.9" customHeight="1" thickBot="1" x14ac:dyDescent="0.3">
      <c r="A21" s="791"/>
      <c r="B21" s="792"/>
      <c r="C21" s="792"/>
      <c r="D21" s="792"/>
      <c r="E21" s="792"/>
      <c r="F21" s="792"/>
      <c r="G21" s="792"/>
      <c r="H21" s="792"/>
      <c r="I21" s="792"/>
      <c r="J21" s="792"/>
      <c r="K21" s="792"/>
      <c r="L21" s="792"/>
      <c r="M21" s="894"/>
      <c r="N21" s="894"/>
      <c r="O21" s="894"/>
      <c r="P21" s="894"/>
      <c r="Q21" s="895"/>
      <c r="R21" s="310"/>
      <c r="S21" s="323" t="str">
        <f>IF(ISBLANK(A21),"",VLOOKUP(A21,VProjType,2,FALSE))</f>
        <v/>
      </c>
      <c r="T21" s="323" t="str">
        <f>IF(ISBLANK(E21),"",VLOOKUP(E21,VSubtype1,2,FALSE))</f>
        <v/>
      </c>
      <c r="U21" s="323" t="str">
        <f>IF(ISBLANK(I21),"",VLOOKUP(I21,VSubtype2,2,FALSE))</f>
        <v/>
      </c>
      <c r="V21" s="323" t="str">
        <f>IF(ISBLANK(M21),"",VLOOKUP(M21,VSubtype3,2,FALSE))</f>
        <v/>
      </c>
      <c r="W21" s="310"/>
      <c r="X21" s="322"/>
      <c r="Y21" s="322"/>
      <c r="Z21" s="322"/>
      <c r="AA21" s="308"/>
      <c r="AB21" s="312"/>
      <c r="AC21" s="249"/>
      <c r="AD21" s="249"/>
      <c r="AE21" s="278">
        <f>IF(AE8=7,1,0)</f>
        <v>0</v>
      </c>
      <c r="AF21" s="836" t="s">
        <v>571</v>
      </c>
      <c r="AG21" s="836"/>
      <c r="AH21" s="278">
        <f t="shared" si="4"/>
        <v>0</v>
      </c>
      <c r="AI21" s="316" t="str">
        <f>IF(AND(ISBLANK(E266),OR(NOT(ISBLANK(E267)),NOT(ISBLANK(E268)),NOT(ISBLANK(E269)),NOT(ISBLANK(I270)),NOT(ISBLANK(A272)))),1,"")</f>
        <v/>
      </c>
      <c r="AJ21" s="316" t="str">
        <f>IF(AND(ISBLANK(E267),OR(NOT(ISBLANK(E266)),NOT(ISBLANK(E268)),NOT(ISBLANK(E269)),NOT(ISBLANK(I270)),NOT(ISBLANK(A272)))),1,"")</f>
        <v/>
      </c>
      <c r="AK21" s="316" t="str">
        <f>IF(AND(ISBLANK(E268),OR(NOT(ISBLANK(E266)),NOT(ISBLANK(E267)),NOT(ISBLANK(E269)),NOT(ISBLANK(I270)),NOT(ISBLANK(A272)))),1,"")</f>
        <v/>
      </c>
      <c r="AL21" s="316" t="str">
        <f>IF(AND(ISBLANK(E269),OR(NOT(ISBLANK(E266)),NOT(ISBLANK(E267)),NOT(ISBLANK(E268)),NOT(ISBLANK(I270)),NOT(ISBLANK(A272)))),1,"")</f>
        <v/>
      </c>
      <c r="AM21" s="316" t="str">
        <f>IF(AND(ISBLANK(I270),OR(NOT(ISBLANK(E266)),NOT(ISBLANK(E267)),NOT(ISBLANK(E268)),NOT(ISBLANK(E269)),NOT(ISBLANK(A272)))),1,"")</f>
        <v/>
      </c>
      <c r="AN21" s="316" t="str">
        <f>IF(AND(ISBLANK(A272),OR(NOT(ISBLANK(E266)),NOT(ISBLANK(E267)),NOT(ISBLANK(E268)),NOT(ISBLANK(E269)),NOT(ISBLANK(I270)))),1,"")</f>
        <v/>
      </c>
      <c r="AO21" s="249"/>
      <c r="AP21" s="249"/>
      <c r="AQ21" s="250"/>
      <c r="AR21" s="250"/>
      <c r="AS21" s="250"/>
      <c r="AT21" s="250"/>
      <c r="AU21" s="250"/>
      <c r="AV21" s="250"/>
      <c r="AW21" s="250"/>
      <c r="AX21" s="250"/>
      <c r="AY21" s="308"/>
      <c r="AZ21" s="308"/>
      <c r="BA21" s="259" t="str">
        <f t="shared" si="2"/>
        <v/>
      </c>
      <c r="BB21" s="259" t="str">
        <f>IF(BC21="","",$Q$92)</f>
        <v/>
      </c>
      <c r="BC21" s="259" t="str">
        <f>S107</f>
        <v/>
      </c>
      <c r="BD21" s="260" t="s">
        <v>446</v>
      </c>
    </row>
    <row r="22" spans="1:56" ht="26.45" customHeight="1" x14ac:dyDescent="0.25">
      <c r="A22" s="896" t="s">
        <v>483</v>
      </c>
      <c r="B22" s="897"/>
      <c r="C22" s="897"/>
      <c r="D22" s="897"/>
      <c r="E22" s="897"/>
      <c r="F22" s="897"/>
      <c r="G22" s="897"/>
      <c r="H22" s="897"/>
      <c r="I22" s="897"/>
      <c r="J22" s="897"/>
      <c r="K22" s="897"/>
      <c r="L22" s="897"/>
      <c r="M22" s="897"/>
      <c r="N22" s="897"/>
      <c r="O22" s="897"/>
      <c r="P22" s="897"/>
      <c r="Q22" s="898"/>
      <c r="R22" s="320"/>
      <c r="S22" s="324" t="s">
        <v>537</v>
      </c>
      <c r="T22" s="320"/>
      <c r="U22" s="320"/>
      <c r="V22" s="320"/>
      <c r="W22" s="320"/>
      <c r="X22" s="322"/>
      <c r="Y22" s="322"/>
      <c r="Z22" s="322"/>
      <c r="AA22" s="308"/>
      <c r="AB22" s="312"/>
      <c r="AC22" s="249"/>
      <c r="AD22" s="249"/>
      <c r="AE22" s="278">
        <f>IF(AE9=8,1,0)</f>
        <v>0</v>
      </c>
      <c r="AF22" s="836" t="s">
        <v>572</v>
      </c>
      <c r="AG22" s="836"/>
      <c r="AH22" s="278">
        <f t="shared" si="4"/>
        <v>0</v>
      </c>
      <c r="AI22" s="316" t="str">
        <f>IF(AND(ISBLANK(E309),OR(NOT(ISBLANK(E310)),NOT(ISBLANK(E311)),NOT(ISBLANK(E312)),NOT(ISBLANK(I313)),NOT(ISBLANK(A315)))),1,"")</f>
        <v/>
      </c>
      <c r="AJ22" s="316" t="str">
        <f>IF(AND(ISBLANK(E310),OR(NOT(ISBLANK(E309)),NOT(ISBLANK(E311)),NOT(ISBLANK(E312)),NOT(ISBLANK(I313)),NOT(ISBLANK(A315)))),1,"")</f>
        <v/>
      </c>
      <c r="AK22" s="316" t="str">
        <f>IF(AND(ISBLANK(E311),OR(NOT(ISBLANK(E309)),NOT(ISBLANK(E310)),NOT(ISBLANK(E312)),NOT(ISBLANK(I313)),NOT(ISBLANK(A315)))),1,"")</f>
        <v/>
      </c>
      <c r="AL22" s="316" t="str">
        <f>IF(AND(ISBLANK(E312),OR(NOT(ISBLANK(E309)),NOT(ISBLANK(E310)),NOT(ISBLANK(E311)),NOT(ISBLANK(I313)),NOT(ISBLANK(A315)))),1,"")</f>
        <v/>
      </c>
      <c r="AM22" s="316" t="str">
        <f>IF(AND(ISBLANK(I313),OR(NOT(ISBLANK(E309)),NOT(ISBLANK(E310)),NOT(ISBLANK(E311)),NOT(ISBLANK(E312)),NOT(ISBLANK(A315)))),1,"")</f>
        <v/>
      </c>
      <c r="AN22" s="316" t="str">
        <f>IF(AND(ISBLANK(A315),OR(NOT(ISBLANK(E309)),NOT(ISBLANK(E310)),NOT(ISBLANK(E311)),NOT(ISBLANK(E312)),NOT(ISBLANK(I313)))),1,"")</f>
        <v/>
      </c>
      <c r="AO22" s="249"/>
      <c r="AP22" s="249"/>
      <c r="AY22" s="249"/>
      <c r="AZ22" s="308"/>
      <c r="BA22" s="259" t="str">
        <f t="shared" si="2"/>
        <v/>
      </c>
      <c r="BB22" s="259" t="str">
        <f>IF(BC22="","",$Q$92)</f>
        <v/>
      </c>
      <c r="BC22" s="259" t="str">
        <f>T107</f>
        <v/>
      </c>
      <c r="BD22" s="266"/>
    </row>
    <row r="23" spans="1:56" ht="26.45" customHeight="1" x14ac:dyDescent="0.25">
      <c r="A23" s="859" t="s">
        <v>544</v>
      </c>
      <c r="B23" s="860"/>
      <c r="C23" s="860"/>
      <c r="D23" s="860"/>
      <c r="E23" s="860"/>
      <c r="F23" s="860"/>
      <c r="G23" s="860"/>
      <c r="H23" s="860"/>
      <c r="I23" s="860"/>
      <c r="J23" s="860"/>
      <c r="K23" s="860"/>
      <c r="L23" s="861"/>
      <c r="M23" s="876"/>
      <c r="N23" s="877"/>
      <c r="O23" s="877"/>
      <c r="P23" s="877"/>
      <c r="Q23" s="878"/>
      <c r="R23" s="320"/>
      <c r="S23" s="325" t="str">
        <f>IF(ISBLANK(M23),"",VLOOKUP(M23,VRemote,2,FALSE))</f>
        <v/>
      </c>
      <c r="T23" s="326" t="s">
        <v>545</v>
      </c>
      <c r="U23" s="320"/>
      <c r="V23" s="320"/>
      <c r="W23" s="320"/>
      <c r="X23" s="322"/>
      <c r="Y23" s="322"/>
      <c r="Z23" s="322"/>
      <c r="AA23" s="308"/>
      <c r="AB23" s="312"/>
      <c r="AC23" s="249"/>
      <c r="AD23" s="249"/>
      <c r="AE23" s="278">
        <f>IF(AE10=9,1,0)</f>
        <v>0</v>
      </c>
      <c r="AF23" s="836" t="s">
        <v>573</v>
      </c>
      <c r="AG23" s="836"/>
      <c r="AH23" s="278">
        <f t="shared" si="4"/>
        <v>0</v>
      </c>
      <c r="AI23" s="316" t="str">
        <f>IF(AND(ISBLANK(E352),OR(NOT(ISBLANK(E353)),NOT(ISBLANK(E354)),NOT(ISBLANK(E355)),NOT(ISBLANK(I356)),NOT(ISBLANK(A358)))),1,"")</f>
        <v/>
      </c>
      <c r="AJ23" s="316" t="str">
        <f>IF(AND(ISBLANK(E353),OR(NOT(ISBLANK(E352)),NOT(ISBLANK(E354)),NOT(ISBLANK(E355)),NOT(ISBLANK(I356)),NOT(ISBLANK(A358)))),1,"")</f>
        <v/>
      </c>
      <c r="AK23" s="316" t="str">
        <f>IF(AND(ISBLANK(E354),OR(NOT(ISBLANK(E352)),NOT(ISBLANK(E353)),NOT(ISBLANK(E355)),NOT(ISBLANK(I356)),NOT(ISBLANK(A358)))),1,"")</f>
        <v/>
      </c>
      <c r="AL23" s="316" t="str">
        <f>IF(AND(ISBLANK(E355),OR(NOT(ISBLANK(E352)),NOT(ISBLANK(E353)),NOT(ISBLANK(E354)),NOT(ISBLANK(I356)),NOT(ISBLANK(A358)))),1,"")</f>
        <v/>
      </c>
      <c r="AM23" s="316" t="str">
        <f>IF(AND(ISBLANK(I356),OR(NOT(ISBLANK(E352)),NOT(ISBLANK(E353)),NOT(ISBLANK(E354)),NOT(ISBLANK(E355)),NOT(ISBLANK(A358)))),1,"")</f>
        <v/>
      </c>
      <c r="AN23" s="317" t="str">
        <f>IF(AND(ISBLANK(A358),OR(NOT(ISBLANK(E352)),NOT(ISBLANK(E353)),NOT(ISBLANK(E354)),NOT(ISBLANK(E355)),NOT(ISBLANK(I356)))),1,"")</f>
        <v/>
      </c>
      <c r="AO23" s="249"/>
      <c r="AP23" s="249"/>
      <c r="AY23" s="249"/>
      <c r="AZ23" s="308"/>
      <c r="BA23" s="259" t="str">
        <f t="shared" si="2"/>
        <v/>
      </c>
      <c r="BB23" s="259" t="str">
        <f t="shared" ref="BB23:BB29" si="5">IF(BC23="","",$Q$92)</f>
        <v/>
      </c>
      <c r="BC23" s="259" t="str">
        <f>U107</f>
        <v/>
      </c>
    </row>
    <row r="24" spans="1:56" ht="26.45" customHeight="1" x14ac:dyDescent="0.25">
      <c r="A24" s="859" t="s">
        <v>529</v>
      </c>
      <c r="B24" s="860"/>
      <c r="C24" s="860"/>
      <c r="D24" s="860"/>
      <c r="E24" s="860"/>
      <c r="F24" s="860"/>
      <c r="G24" s="860"/>
      <c r="H24" s="860"/>
      <c r="I24" s="860"/>
      <c r="J24" s="860"/>
      <c r="K24" s="860"/>
      <c r="L24" s="860"/>
      <c r="M24" s="876"/>
      <c r="N24" s="877"/>
      <c r="O24" s="877"/>
      <c r="P24" s="877"/>
      <c r="Q24" s="878"/>
      <c r="R24" s="322"/>
      <c r="S24" s="325" t="str">
        <f>IF(ISBLANK(M24),"",VLOOKUP(M24,VCapacity,2,FALSE))</f>
        <v/>
      </c>
      <c r="T24" s="327" t="s">
        <v>539</v>
      </c>
      <c r="U24" s="322"/>
      <c r="V24" s="322"/>
      <c r="W24" s="322"/>
      <c r="X24" s="322"/>
      <c r="Y24" s="322"/>
      <c r="Z24" s="322"/>
      <c r="AA24" s="320"/>
      <c r="AB24" s="320"/>
      <c r="AC24" s="320"/>
      <c r="AD24" s="328"/>
      <c r="AE24" s="278">
        <f>IF(AE11=10,1,0)</f>
        <v>0</v>
      </c>
      <c r="AF24" s="836" t="s">
        <v>574</v>
      </c>
      <c r="AG24" s="836"/>
      <c r="AH24" s="278">
        <f t="shared" si="4"/>
        <v>0</v>
      </c>
      <c r="AI24" s="316" t="str">
        <f>IF(AND(ISBLANK(E395),OR(NOT(ISBLANK(E396)),NOT(ISBLANK(E397)),NOT(ISBLANK(E398)),NOT(ISBLANK(I399)),NOT(ISBLANK(A401)))),1,"")</f>
        <v/>
      </c>
      <c r="AJ24" s="316" t="str">
        <f>IF(AND(ISBLANK(E396),OR(NOT(ISBLANK(E395)),NOT(ISBLANK(E397)),NOT(ISBLANK(E398)),NOT(ISBLANK(I399)),NOT(ISBLANK(A401)))),1,"")</f>
        <v/>
      </c>
      <c r="AK24" s="316" t="str">
        <f>IF(AND(ISBLANK(E397),OR(NOT(ISBLANK(E395)),NOT(ISBLANK(E396)),NOT(ISBLANK(E398)),NOT(ISBLANK(I399)),NOT(ISBLANK(A401)))),1,"")</f>
        <v/>
      </c>
      <c r="AL24" s="316" t="str">
        <f>IF(AND(ISBLANK(E398),OR(NOT(ISBLANK(E395)),NOT(ISBLANK(E396)),NOT(ISBLANK(E397)),NOT(ISBLANK(I399)),NOT(ISBLANK(A401)))),1,"")</f>
        <v/>
      </c>
      <c r="AM24" s="316" t="str">
        <f>IF(AND(ISBLANK(I399),OR(NOT(ISBLANK(E395)),NOT(ISBLANK(E396)),NOT(ISBLANK(E397)),NOT(ISBLANK(E398)),NOT(ISBLANK(A401)))),1,"")</f>
        <v/>
      </c>
      <c r="AN24" s="316" t="str">
        <f>IF(AND(ISBLANK(A401),OR(NOT(ISBLANK(E395)),NOT(ISBLANK(E396)),NOT(ISBLANK(E397)),NOT(ISBLANK(E398)),NOT(ISBLANK(I399)))),1,"")</f>
        <v/>
      </c>
      <c r="AO24" s="308"/>
      <c r="AP24" s="308"/>
      <c r="AQ24" s="308"/>
      <c r="AR24" s="308"/>
      <c r="AS24" s="308"/>
      <c r="AT24" s="308"/>
      <c r="AU24" s="308"/>
      <c r="AV24" s="308"/>
      <c r="AW24" s="308"/>
      <c r="AX24" s="308"/>
      <c r="AY24" s="249"/>
      <c r="AZ24" s="308"/>
      <c r="BA24" s="259" t="str">
        <f t="shared" si="2"/>
        <v/>
      </c>
      <c r="BB24" s="259" t="str">
        <f t="shared" si="5"/>
        <v/>
      </c>
      <c r="BC24" s="259" t="str">
        <f>V107</f>
        <v/>
      </c>
    </row>
    <row r="25" spans="1:56" ht="26.45" customHeight="1" x14ac:dyDescent="0.25">
      <c r="A25" s="859" t="s">
        <v>484</v>
      </c>
      <c r="B25" s="860"/>
      <c r="C25" s="860"/>
      <c r="D25" s="860"/>
      <c r="E25" s="860"/>
      <c r="F25" s="860"/>
      <c r="G25" s="860"/>
      <c r="H25" s="860"/>
      <c r="I25" s="860"/>
      <c r="J25" s="860"/>
      <c r="K25" s="860"/>
      <c r="L25" s="860"/>
      <c r="M25" s="876"/>
      <c r="N25" s="877"/>
      <c r="O25" s="877"/>
      <c r="P25" s="877"/>
      <c r="Q25" s="878"/>
      <c r="R25" s="322"/>
      <c r="S25" s="325" t="str">
        <f>IF(ISBLANK(M25),"",VLOOKUP(M25,VPriorCap,2,FALSE))</f>
        <v/>
      </c>
      <c r="T25" s="327" t="s">
        <v>489</v>
      </c>
      <c r="U25" s="322"/>
      <c r="V25" s="322"/>
      <c r="W25" s="322"/>
      <c r="X25" s="320"/>
      <c r="Y25" s="320"/>
      <c r="Z25" s="320"/>
      <c r="AA25" s="322"/>
      <c r="AB25" s="322"/>
      <c r="AC25" s="322"/>
      <c r="AD25" s="329"/>
      <c r="AE25" s="278">
        <f>IF(AE12=11,1,0)</f>
        <v>0</v>
      </c>
      <c r="AF25" s="836" t="s">
        <v>575</v>
      </c>
      <c r="AG25" s="836"/>
      <c r="AH25" s="278">
        <f t="shared" si="4"/>
        <v>0</v>
      </c>
      <c r="AI25" s="316" t="str">
        <f>IF(AND(ISBLANK(E438),OR(NOT(ISBLANK(E439)),NOT(ISBLANK(E440)),NOT(ISBLANK(E441)),NOT(ISBLANK(I442)),NOT(ISBLANK(A444)))),1,"")</f>
        <v/>
      </c>
      <c r="AJ25" s="316" t="str">
        <f>IF(AND(ISBLANK(E439),OR(NOT(ISBLANK(E438)),NOT(ISBLANK(E440)),NOT(ISBLANK(E441)),NOT(ISBLANK(I442)),NOT(ISBLANK(A444)))),1,"")</f>
        <v/>
      </c>
      <c r="AK25" s="316" t="str">
        <f>IF(AND(ISBLANK(E440),OR(NOT(ISBLANK(E438)),NOT(ISBLANK(E439)),NOT(ISBLANK(E441)),NOT(ISBLANK(I442)),NOT(ISBLANK(A444)))),1,"")</f>
        <v/>
      </c>
      <c r="AL25" s="316" t="str">
        <f>IF(AND(ISBLANK(E441),OR(NOT(ISBLANK(E438)),NOT(ISBLANK(E439)),NOT(ISBLANK(E440)),NOT(ISBLANK(I442)),NOT(ISBLANK(A444)))),1,"")</f>
        <v/>
      </c>
      <c r="AM25" s="316" t="str">
        <f>IF(AND(ISBLANK(I442),OR(NOT(ISBLANK(E438)),NOT(ISBLANK(E439)),NOT(ISBLANK(E440)),NOT(ISBLANK(E441)),NOT(ISBLANK(A444)))),1,"")</f>
        <v/>
      </c>
      <c r="AN25" s="316" t="str">
        <f>IF(AND(ISBLANK(A444),OR(NOT(ISBLANK(E438)),NOT(ISBLANK(E439)),NOT(ISBLANK(E440)),NOT(ISBLANK(E441)),NOT(ISBLANK(I442)))),1,"")</f>
        <v/>
      </c>
      <c r="AO25" s="249"/>
      <c r="AP25" s="249"/>
      <c r="AQ25" s="249"/>
      <c r="AR25" s="249"/>
      <c r="AS25" s="249"/>
      <c r="AT25" s="249"/>
      <c r="AU25" s="249"/>
      <c r="AV25" s="249"/>
      <c r="AW25" s="249"/>
      <c r="AX25" s="249"/>
      <c r="AY25" s="249"/>
      <c r="AZ25" s="308"/>
      <c r="BA25" s="259" t="str">
        <f t="shared" si="2"/>
        <v/>
      </c>
      <c r="BB25" s="259" t="str">
        <f t="shared" si="5"/>
        <v/>
      </c>
      <c r="BC25" s="259" t="str">
        <f>S109</f>
        <v/>
      </c>
    </row>
    <row r="26" spans="1:56" ht="26.45" customHeight="1" x14ac:dyDescent="0.25">
      <c r="A26" s="780" t="s">
        <v>515</v>
      </c>
      <c r="B26" s="781"/>
      <c r="C26" s="781"/>
      <c r="D26" s="781"/>
      <c r="E26" s="781"/>
      <c r="F26" s="781"/>
      <c r="G26" s="781"/>
      <c r="H26" s="781"/>
      <c r="I26" s="781"/>
      <c r="J26" s="781"/>
      <c r="K26" s="781"/>
      <c r="L26" s="781"/>
      <c r="M26" s="781"/>
      <c r="N26" s="781"/>
      <c r="O26" s="781"/>
      <c r="P26" s="781"/>
      <c r="Q26" s="782"/>
      <c r="R26" s="322"/>
      <c r="S26" s="330" t="str">
        <f>IF(ISBLANK(A27),"",A27)</f>
        <v/>
      </c>
      <c r="T26" s="327" t="s">
        <v>490</v>
      </c>
      <c r="U26" s="322"/>
      <c r="V26" s="322"/>
      <c r="W26" s="322"/>
      <c r="X26" s="322"/>
      <c r="Y26" s="322"/>
      <c r="Z26" s="322"/>
      <c r="AA26" s="322"/>
      <c r="AB26" s="322"/>
      <c r="AC26" s="322"/>
      <c r="AD26" s="329"/>
      <c r="AE26" s="278">
        <f>IF(AE13=12,1,0)</f>
        <v>0</v>
      </c>
      <c r="AF26" s="836" t="s">
        <v>576</v>
      </c>
      <c r="AG26" s="836"/>
      <c r="AH26" s="278">
        <f t="shared" si="4"/>
        <v>0</v>
      </c>
      <c r="AI26" s="316" t="str">
        <f>IF(AND(ISBLANK(E481),OR(NOT(ISBLANK(E482)),NOT(ISBLANK(E483)),NOT(ISBLANK(E484)),NOT(ISBLANK(I485)),NOT(ISBLANK(A487)))),1,"")</f>
        <v/>
      </c>
      <c r="AJ26" s="316" t="str">
        <f>IF(AND(ISBLANK(E482),OR(NOT(ISBLANK(E481)),NOT(ISBLANK(E483)),NOT(ISBLANK(E484)),NOT(ISBLANK(I485)),NOT(ISBLANK(A487)))),1,"")</f>
        <v/>
      </c>
      <c r="AK26" s="316" t="str">
        <f>IF(AND(ISBLANK(E483),OR(NOT(ISBLANK(E481)),NOT(ISBLANK(E482)),NOT(ISBLANK(E484)),NOT(ISBLANK(I485)),NOT(ISBLANK(A487)))),1,"")</f>
        <v/>
      </c>
      <c r="AL26" s="316" t="str">
        <f>IF(AND(ISBLANK(E484),OR(NOT(ISBLANK(E481)),NOT(ISBLANK(E482)),NOT(ISBLANK(E483)),NOT(ISBLANK(I485)),NOT(ISBLANK(A487)))),1,"")</f>
        <v/>
      </c>
      <c r="AM26" s="316" t="str">
        <f>IF(AND(ISBLANK(I485),OR(NOT(ISBLANK(E481)),NOT(ISBLANK(E482)),NOT(ISBLANK(E483)),NOT(ISBLANK(E484)),NOT(ISBLANK(A487)))),1,"")</f>
        <v/>
      </c>
      <c r="AN26" s="316" t="str">
        <f>IF(AND(ISBLANK(A487),OR(NOT(ISBLANK(E481)),NOT(ISBLANK(E482)),NOT(ISBLANK(E483)),NOT(ISBLANK(E484)),NOT(ISBLANK(I485)))),1,"")</f>
        <v/>
      </c>
      <c r="AO26" s="249"/>
      <c r="AP26" s="249"/>
      <c r="AQ26" s="249"/>
      <c r="AR26" s="249"/>
      <c r="AS26" s="249"/>
      <c r="AT26" s="249"/>
      <c r="AU26" s="249"/>
      <c r="AV26" s="249"/>
      <c r="AW26" s="249"/>
      <c r="AX26" s="249"/>
      <c r="AY26" s="249"/>
      <c r="AZ26" s="308"/>
      <c r="BA26" s="259" t="str">
        <f t="shared" si="2"/>
        <v/>
      </c>
      <c r="BB26" s="259" t="str">
        <f t="shared" si="5"/>
        <v/>
      </c>
      <c r="BC26" s="259" t="str">
        <f>S110</f>
        <v/>
      </c>
    </row>
    <row r="27" spans="1:56" ht="26.45" customHeight="1" x14ac:dyDescent="0.25">
      <c r="A27" s="862"/>
      <c r="B27" s="845"/>
      <c r="C27" s="845"/>
      <c r="D27" s="845"/>
      <c r="E27" s="845"/>
      <c r="F27" s="845"/>
      <c r="G27" s="845"/>
      <c r="H27" s="845"/>
      <c r="I27" s="845"/>
      <c r="J27" s="845"/>
      <c r="K27" s="845"/>
      <c r="L27" s="845"/>
      <c r="M27" s="845"/>
      <c r="N27" s="845"/>
      <c r="O27" s="845"/>
      <c r="P27" s="845"/>
      <c r="Q27" s="863"/>
      <c r="R27" s="322"/>
      <c r="S27" s="322"/>
      <c r="T27" s="322"/>
      <c r="U27" s="322"/>
      <c r="V27" s="322"/>
      <c r="W27" s="322"/>
      <c r="X27" s="322"/>
      <c r="Y27" s="322"/>
      <c r="Z27" s="322"/>
      <c r="AA27" s="322"/>
      <c r="AB27" s="322"/>
      <c r="AC27" s="322"/>
      <c r="AD27" s="329"/>
      <c r="AE27" s="312"/>
      <c r="AF27" s="837"/>
      <c r="AG27" s="837"/>
      <c r="AH27" s="249"/>
      <c r="AI27" s="249"/>
      <c r="AJ27" s="249"/>
      <c r="AK27" s="249"/>
      <c r="AL27" s="249"/>
      <c r="AM27" s="249"/>
      <c r="AN27" s="249"/>
      <c r="AO27" s="249"/>
      <c r="AP27" s="249"/>
      <c r="AQ27" s="249"/>
      <c r="AR27" s="249"/>
      <c r="AS27" s="249"/>
      <c r="AT27" s="249"/>
      <c r="AU27" s="249"/>
      <c r="AV27" s="249"/>
      <c r="AW27" s="249"/>
      <c r="AX27" s="249"/>
      <c r="AY27" s="249"/>
      <c r="AZ27" s="308"/>
      <c r="BA27" s="259" t="str">
        <f t="shared" si="2"/>
        <v/>
      </c>
      <c r="BB27" s="259" t="str">
        <f t="shared" si="5"/>
        <v/>
      </c>
      <c r="BC27" s="259" t="str">
        <f>S111</f>
        <v/>
      </c>
    </row>
    <row r="28" spans="1:56" ht="26.45" customHeight="1" x14ac:dyDescent="0.25">
      <c r="A28" s="864"/>
      <c r="B28" s="865"/>
      <c r="C28" s="865"/>
      <c r="D28" s="865"/>
      <c r="E28" s="865"/>
      <c r="F28" s="865"/>
      <c r="G28" s="865"/>
      <c r="H28" s="865"/>
      <c r="I28" s="865"/>
      <c r="J28" s="865"/>
      <c r="K28" s="865"/>
      <c r="L28" s="865"/>
      <c r="M28" s="865"/>
      <c r="N28" s="865"/>
      <c r="O28" s="865"/>
      <c r="P28" s="865"/>
      <c r="Q28" s="866"/>
      <c r="R28" s="322"/>
      <c r="S28" s="322"/>
      <c r="T28" s="322"/>
      <c r="U28" s="322"/>
      <c r="V28" s="322"/>
      <c r="W28" s="322"/>
      <c r="X28" s="322"/>
      <c r="Y28" s="322"/>
      <c r="Z28" s="322"/>
      <c r="AA28" s="322"/>
      <c r="AB28" s="322"/>
      <c r="AC28" s="322"/>
      <c r="AD28" s="329"/>
      <c r="AE28" s="312"/>
      <c r="AF28" s="249"/>
      <c r="AG28" s="249"/>
      <c r="AH28" s="249"/>
      <c r="AI28" s="249"/>
      <c r="AJ28" s="249"/>
      <c r="AK28" s="249"/>
      <c r="AL28" s="249"/>
      <c r="AM28" s="249"/>
      <c r="AN28" s="249"/>
      <c r="AO28" s="249"/>
      <c r="AP28" s="249"/>
      <c r="AQ28" s="249"/>
      <c r="AR28" s="249"/>
      <c r="AS28" s="249"/>
      <c r="AT28" s="249"/>
      <c r="AU28" s="249"/>
      <c r="AV28" s="249"/>
      <c r="AW28" s="249"/>
      <c r="AX28" s="249"/>
      <c r="AY28" s="249"/>
      <c r="AZ28" s="308"/>
      <c r="BA28" s="259" t="str">
        <f t="shared" si="2"/>
        <v/>
      </c>
      <c r="BB28" s="259" t="str">
        <f t="shared" si="5"/>
        <v/>
      </c>
      <c r="BC28" s="259" t="str">
        <f>S119</f>
        <v/>
      </c>
    </row>
    <row r="29" spans="1:56" s="266" customFormat="1" ht="26.45" customHeight="1" x14ac:dyDescent="0.25">
      <c r="A29" s="885" t="s">
        <v>514</v>
      </c>
      <c r="B29" s="886"/>
      <c r="C29" s="886"/>
      <c r="D29" s="886"/>
      <c r="E29" s="886"/>
      <c r="F29" s="886"/>
      <c r="G29" s="886"/>
      <c r="H29" s="886"/>
      <c r="I29" s="886"/>
      <c r="J29" s="886"/>
      <c r="K29" s="886"/>
      <c r="L29" s="886"/>
      <c r="M29" s="886"/>
      <c r="N29" s="886"/>
      <c r="O29" s="886"/>
      <c r="P29" s="886"/>
      <c r="Q29" s="887"/>
      <c r="R29" s="324"/>
      <c r="S29" s="324"/>
      <c r="T29" s="324"/>
      <c r="U29" s="324"/>
      <c r="V29" s="324"/>
      <c r="W29" s="320"/>
      <c r="X29" s="322"/>
      <c r="Y29" s="322"/>
      <c r="Z29" s="322"/>
      <c r="AA29" s="322"/>
      <c r="AB29" s="322"/>
      <c r="AC29" s="322"/>
      <c r="AD29" s="328"/>
      <c r="AE29" s="321"/>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259" t="str">
        <f t="shared" si="2"/>
        <v/>
      </c>
      <c r="BB29" s="259" t="str">
        <f t="shared" si="5"/>
        <v/>
      </c>
      <c r="BC29" s="259" t="str">
        <f>S120</f>
        <v/>
      </c>
    </row>
    <row r="30" spans="1:56" s="266" customFormat="1" ht="26.45" customHeight="1" x14ac:dyDescent="0.25">
      <c r="A30" s="862"/>
      <c r="B30" s="845"/>
      <c r="C30" s="845"/>
      <c r="D30" s="845"/>
      <c r="E30" s="845"/>
      <c r="F30" s="845"/>
      <c r="G30" s="845"/>
      <c r="H30" s="845"/>
      <c r="I30" s="845"/>
      <c r="J30" s="845"/>
      <c r="K30" s="845"/>
      <c r="L30" s="845"/>
      <c r="M30" s="845"/>
      <c r="N30" s="845"/>
      <c r="O30" s="845"/>
      <c r="P30" s="845"/>
      <c r="Q30" s="846"/>
      <c r="R30" s="322"/>
      <c r="S30" s="330" t="str">
        <f>IF(ISBLANK(A30),"",A30)</f>
        <v/>
      </c>
      <c r="T30" s="289" t="s">
        <v>36</v>
      </c>
      <c r="U30" s="322"/>
      <c r="V30" s="322"/>
      <c r="W30" s="322"/>
      <c r="X30" s="322"/>
      <c r="Y30" s="322"/>
      <c r="Z30" s="322"/>
      <c r="AA30" s="322"/>
      <c r="AB30" s="322"/>
      <c r="AC30" s="322"/>
      <c r="AD30" s="328"/>
      <c r="AE30" s="321"/>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292" t="str">
        <f t="shared" si="2"/>
        <v/>
      </c>
      <c r="BB30" s="292" t="str">
        <f>IF(BC30="","",$Q$135)</f>
        <v/>
      </c>
      <c r="BC30" s="292" t="str">
        <f>S150</f>
        <v/>
      </c>
      <c r="BD30" s="260" t="s">
        <v>577</v>
      </c>
    </row>
    <row r="31" spans="1:56" ht="26.45" customHeight="1" thickBot="1" x14ac:dyDescent="0.3">
      <c r="A31" s="856"/>
      <c r="B31" s="857"/>
      <c r="C31" s="857"/>
      <c r="D31" s="857"/>
      <c r="E31" s="857"/>
      <c r="F31" s="857"/>
      <c r="G31" s="857"/>
      <c r="H31" s="857"/>
      <c r="I31" s="857"/>
      <c r="J31" s="857"/>
      <c r="K31" s="857"/>
      <c r="L31" s="857"/>
      <c r="M31" s="857"/>
      <c r="N31" s="857"/>
      <c r="O31" s="857"/>
      <c r="P31" s="857"/>
      <c r="Q31" s="858"/>
      <c r="R31" s="322"/>
      <c r="S31" s="322"/>
      <c r="T31" s="289"/>
      <c r="U31" s="322"/>
      <c r="V31" s="322"/>
      <c r="W31" s="322"/>
      <c r="X31" s="322"/>
      <c r="Y31" s="322"/>
      <c r="Z31" s="322"/>
      <c r="AA31" s="322"/>
      <c r="AB31" s="322"/>
      <c r="AC31" s="322"/>
      <c r="AD31" s="329"/>
      <c r="AE31" s="312"/>
      <c r="AF31" s="249"/>
      <c r="AG31" s="249"/>
      <c r="AH31" s="249"/>
      <c r="AI31" s="249"/>
      <c r="AJ31" s="249"/>
      <c r="AK31" s="249"/>
      <c r="AL31" s="249"/>
      <c r="AM31" s="249"/>
      <c r="AN31" s="249"/>
      <c r="AO31" s="249"/>
      <c r="AP31" s="249"/>
      <c r="AQ31" s="249"/>
      <c r="AR31" s="249"/>
      <c r="AS31" s="249"/>
      <c r="AT31" s="249"/>
      <c r="AU31" s="249"/>
      <c r="AV31" s="249"/>
      <c r="AW31" s="249"/>
      <c r="AX31" s="249"/>
      <c r="AY31" s="249"/>
      <c r="AZ31" s="308"/>
      <c r="BA31" s="292" t="str">
        <f t="shared" si="2"/>
        <v/>
      </c>
      <c r="BB31" s="292" t="str">
        <f t="shared" ref="BB31:BB38" si="6">IF(BC31="","",$Q$135)</f>
        <v/>
      </c>
      <c r="BC31" s="292" t="str">
        <f>T150</f>
        <v/>
      </c>
    </row>
    <row r="32" spans="1:56" ht="25.9" customHeight="1" x14ac:dyDescent="0.25">
      <c r="A32" s="850" t="s">
        <v>504</v>
      </c>
      <c r="B32" s="851"/>
      <c r="C32" s="851"/>
      <c r="D32" s="851"/>
      <c r="E32" s="851"/>
      <c r="F32" s="851"/>
      <c r="G32" s="851"/>
      <c r="H32" s="851"/>
      <c r="I32" s="851"/>
      <c r="J32" s="851"/>
      <c r="K32" s="851"/>
      <c r="L32" s="851"/>
      <c r="M32" s="851"/>
      <c r="N32" s="851"/>
      <c r="O32" s="851"/>
      <c r="P32" s="851"/>
      <c r="Q32" s="852"/>
      <c r="R32" s="320"/>
      <c r="S32" s="324" t="s">
        <v>540</v>
      </c>
      <c r="T32" s="320"/>
      <c r="U32" s="320"/>
      <c r="V32" s="320"/>
      <c r="W32" s="322"/>
      <c r="X32" s="322"/>
      <c r="Y32" s="322"/>
      <c r="Z32" s="322"/>
      <c r="AA32" s="322"/>
      <c r="AB32" s="322"/>
      <c r="AC32" s="322"/>
      <c r="AD32" s="329"/>
      <c r="AE32" s="312"/>
      <c r="AF32" s="249"/>
      <c r="AG32" s="249"/>
      <c r="AH32" s="249"/>
      <c r="AI32" s="249"/>
      <c r="AJ32" s="249"/>
      <c r="AK32" s="249"/>
      <c r="AL32" s="249"/>
      <c r="AM32" s="249"/>
      <c r="AN32" s="249"/>
      <c r="AO32" s="249"/>
      <c r="AP32" s="249"/>
      <c r="AQ32" s="249"/>
      <c r="AR32" s="249"/>
      <c r="AS32" s="249"/>
      <c r="AT32" s="249"/>
      <c r="AU32" s="249"/>
      <c r="AV32" s="249"/>
      <c r="AW32" s="249"/>
      <c r="AX32" s="249"/>
      <c r="AY32" s="249"/>
      <c r="AZ32" s="308"/>
      <c r="BA32" s="292" t="str">
        <f t="shared" si="2"/>
        <v/>
      </c>
      <c r="BB32" s="292" t="str">
        <f t="shared" si="6"/>
        <v/>
      </c>
      <c r="BC32" s="292" t="str">
        <f>U150</f>
        <v/>
      </c>
    </row>
    <row r="33" spans="1:56" ht="25.9" customHeight="1" x14ac:dyDescent="0.25">
      <c r="A33" s="891" t="s">
        <v>557</v>
      </c>
      <c r="B33" s="892"/>
      <c r="C33" s="892"/>
      <c r="D33" s="892"/>
      <c r="E33" s="892"/>
      <c r="F33" s="892"/>
      <c r="G33" s="892"/>
      <c r="H33" s="892"/>
      <c r="I33" s="892"/>
      <c r="J33" s="892"/>
      <c r="K33" s="892"/>
      <c r="L33" s="893"/>
      <c r="M33" s="876"/>
      <c r="N33" s="877"/>
      <c r="O33" s="877"/>
      <c r="P33" s="877"/>
      <c r="Q33" s="878"/>
      <c r="R33" s="322"/>
      <c r="S33" s="331" t="str">
        <f>IF(ISBLANK(M33),"",VLOOKUP(M33,VImpact,2,FALSE))</f>
        <v/>
      </c>
      <c r="T33" s="327" t="s">
        <v>493</v>
      </c>
      <c r="U33" s="322"/>
      <c r="V33" s="322"/>
      <c r="W33" s="322"/>
      <c r="X33" s="322"/>
      <c r="Y33" s="322"/>
      <c r="Z33" s="322"/>
      <c r="AA33" s="322"/>
      <c r="AB33" s="322"/>
      <c r="AC33" s="322"/>
      <c r="AD33" s="329"/>
      <c r="AE33" s="312"/>
      <c r="AF33" s="249"/>
      <c r="AG33" s="249"/>
      <c r="AH33" s="249"/>
      <c r="AI33" s="249"/>
      <c r="AJ33" s="249"/>
      <c r="AK33" s="249"/>
      <c r="AL33" s="249"/>
      <c r="AM33" s="249"/>
      <c r="AN33" s="249"/>
      <c r="AO33" s="249"/>
      <c r="AP33" s="249"/>
      <c r="AQ33" s="249"/>
      <c r="AR33" s="249"/>
      <c r="AS33" s="249"/>
      <c r="AT33" s="249"/>
      <c r="AU33" s="249"/>
      <c r="AV33" s="249"/>
      <c r="AW33" s="249"/>
      <c r="AX33" s="249"/>
      <c r="AY33" s="249"/>
      <c r="AZ33" s="308"/>
      <c r="BA33" s="292" t="str">
        <f t="shared" si="2"/>
        <v/>
      </c>
      <c r="BB33" s="292" t="str">
        <f t="shared" si="6"/>
        <v/>
      </c>
      <c r="BC33" s="292" t="str">
        <f>V150</f>
        <v/>
      </c>
    </row>
    <row r="34" spans="1:56" ht="25.9" customHeight="1" x14ac:dyDescent="0.25">
      <c r="A34" s="859" t="s">
        <v>554</v>
      </c>
      <c r="B34" s="860"/>
      <c r="C34" s="860"/>
      <c r="D34" s="860"/>
      <c r="E34" s="860"/>
      <c r="F34" s="860"/>
      <c r="G34" s="860"/>
      <c r="H34" s="860"/>
      <c r="I34" s="860"/>
      <c r="J34" s="860"/>
      <c r="K34" s="860"/>
      <c r="L34" s="861"/>
      <c r="M34" s="876"/>
      <c r="N34" s="877"/>
      <c r="O34" s="877"/>
      <c r="P34" s="877"/>
      <c r="Q34" s="878"/>
      <c r="R34" s="322"/>
      <c r="S34" s="331" t="str">
        <f>IF(ISBLANK(M34),"",VLOOKUP(M34,VEvidence,2,FALSE))</f>
        <v/>
      </c>
      <c r="T34" s="307" t="s">
        <v>494</v>
      </c>
      <c r="U34" s="322"/>
      <c r="V34" s="322"/>
      <c r="W34" s="322"/>
      <c r="X34" s="324"/>
      <c r="Y34" s="324"/>
      <c r="Z34" s="324"/>
      <c r="AA34" s="322"/>
      <c r="AB34" s="322"/>
      <c r="AC34" s="322"/>
      <c r="AD34" s="329"/>
      <c r="AE34" s="312"/>
      <c r="AF34" s="249"/>
      <c r="AG34" s="249"/>
      <c r="AH34" s="249"/>
      <c r="AI34" s="249"/>
      <c r="AJ34" s="249"/>
      <c r="AK34" s="249"/>
      <c r="AL34" s="249"/>
      <c r="AM34" s="249"/>
      <c r="AN34" s="249"/>
      <c r="AO34" s="249"/>
      <c r="AP34" s="249"/>
      <c r="AQ34" s="249"/>
      <c r="AR34" s="249"/>
      <c r="AS34" s="249"/>
      <c r="AT34" s="249"/>
      <c r="AU34" s="249"/>
      <c r="AV34" s="249"/>
      <c r="AW34" s="249"/>
      <c r="AX34" s="249"/>
      <c r="AY34" s="249"/>
      <c r="AZ34" s="308"/>
      <c r="BA34" s="292" t="str">
        <f t="shared" si="2"/>
        <v/>
      </c>
      <c r="BB34" s="292" t="str">
        <f t="shared" si="6"/>
        <v/>
      </c>
      <c r="BC34" s="292" t="str">
        <f>S152</f>
        <v/>
      </c>
    </row>
    <row r="35" spans="1:56" ht="25.9" customHeight="1" x14ac:dyDescent="0.25">
      <c r="A35" s="888" t="s">
        <v>512</v>
      </c>
      <c r="B35" s="889"/>
      <c r="C35" s="889"/>
      <c r="D35" s="889"/>
      <c r="E35" s="889"/>
      <c r="F35" s="889"/>
      <c r="G35" s="889"/>
      <c r="H35" s="889"/>
      <c r="I35" s="889"/>
      <c r="J35" s="889"/>
      <c r="K35" s="889"/>
      <c r="L35" s="889"/>
      <c r="M35" s="889"/>
      <c r="N35" s="889"/>
      <c r="O35" s="889"/>
      <c r="P35" s="889"/>
      <c r="Q35" s="890"/>
      <c r="R35" s="322"/>
      <c r="S35" s="330" t="str">
        <f>IF(ISBLANK(A36),"",A36)</f>
        <v/>
      </c>
      <c r="T35" s="289" t="s">
        <v>35</v>
      </c>
      <c r="U35" s="322"/>
      <c r="V35" s="322"/>
      <c r="W35" s="322"/>
      <c r="X35" s="322"/>
      <c r="Y35" s="322"/>
      <c r="Z35" s="322"/>
      <c r="AA35" s="332"/>
      <c r="AB35" s="332"/>
      <c r="AC35" s="332"/>
      <c r="AD35" s="329"/>
      <c r="AE35" s="312"/>
      <c r="AF35" s="249"/>
      <c r="AG35" s="249"/>
      <c r="AH35" s="249"/>
      <c r="AI35" s="249"/>
      <c r="AJ35" s="249"/>
      <c r="AK35" s="249"/>
      <c r="AL35" s="249"/>
      <c r="AM35" s="249"/>
      <c r="AN35" s="249"/>
      <c r="AO35" s="249"/>
      <c r="AP35" s="249"/>
      <c r="AQ35" s="249"/>
      <c r="AR35" s="249"/>
      <c r="AS35" s="249"/>
      <c r="AT35" s="249"/>
      <c r="AU35" s="249"/>
      <c r="AV35" s="249"/>
      <c r="AW35" s="249"/>
      <c r="AX35" s="249"/>
      <c r="AY35" s="249"/>
      <c r="AZ35" s="308"/>
      <c r="BA35" s="292" t="str">
        <f t="shared" si="2"/>
        <v/>
      </c>
      <c r="BB35" s="292" t="str">
        <f t="shared" si="6"/>
        <v/>
      </c>
      <c r="BC35" s="292" t="str">
        <f>S153</f>
        <v/>
      </c>
    </row>
    <row r="36" spans="1:56" ht="25.9" customHeight="1" x14ac:dyDescent="0.25">
      <c r="A36" s="862"/>
      <c r="B36" s="845"/>
      <c r="C36" s="845"/>
      <c r="D36" s="845"/>
      <c r="E36" s="845"/>
      <c r="F36" s="845"/>
      <c r="G36" s="845"/>
      <c r="H36" s="845"/>
      <c r="I36" s="845"/>
      <c r="J36" s="845"/>
      <c r="K36" s="845"/>
      <c r="L36" s="845"/>
      <c r="M36" s="845"/>
      <c r="N36" s="845"/>
      <c r="O36" s="845"/>
      <c r="P36" s="845"/>
      <c r="Q36" s="846"/>
      <c r="R36" s="322"/>
      <c r="S36" s="322"/>
      <c r="T36" s="333"/>
      <c r="U36" s="322"/>
      <c r="V36" s="322"/>
      <c r="W36" s="322"/>
      <c r="X36" s="322"/>
      <c r="Y36" s="322"/>
      <c r="Z36" s="322"/>
      <c r="AA36" s="332"/>
      <c r="AB36" s="332"/>
      <c r="AC36" s="332"/>
      <c r="AD36" s="329"/>
      <c r="AE36" s="312"/>
      <c r="AF36" s="249"/>
      <c r="AG36" s="249"/>
      <c r="AH36" s="249"/>
      <c r="AI36" s="249"/>
      <c r="AJ36" s="249"/>
      <c r="AK36" s="249"/>
      <c r="AL36" s="249"/>
      <c r="AM36" s="249"/>
      <c r="AN36" s="249"/>
      <c r="AO36" s="249"/>
      <c r="AP36" s="249"/>
      <c r="AQ36" s="249"/>
      <c r="AR36" s="249"/>
      <c r="AS36" s="249"/>
      <c r="AT36" s="249"/>
      <c r="AU36" s="249"/>
      <c r="AV36" s="249"/>
      <c r="AW36" s="249"/>
      <c r="AX36" s="249"/>
      <c r="AY36" s="249"/>
      <c r="AZ36" s="308"/>
      <c r="BA36" s="292" t="str">
        <f t="shared" si="2"/>
        <v/>
      </c>
      <c r="BB36" s="292" t="str">
        <f t="shared" si="6"/>
        <v/>
      </c>
      <c r="BC36" s="292" t="str">
        <f>S154</f>
        <v/>
      </c>
    </row>
    <row r="37" spans="1:56" ht="25.9" customHeight="1" x14ac:dyDescent="0.25">
      <c r="A37" s="882"/>
      <c r="B37" s="883"/>
      <c r="C37" s="883"/>
      <c r="D37" s="883"/>
      <c r="E37" s="883"/>
      <c r="F37" s="883"/>
      <c r="G37" s="883"/>
      <c r="H37" s="883"/>
      <c r="I37" s="883"/>
      <c r="J37" s="883"/>
      <c r="K37" s="883"/>
      <c r="L37" s="883"/>
      <c r="M37" s="883"/>
      <c r="N37" s="883"/>
      <c r="O37" s="883"/>
      <c r="P37" s="883"/>
      <c r="Q37" s="884"/>
      <c r="R37" s="322"/>
      <c r="S37" s="322"/>
      <c r="T37" s="333"/>
      <c r="U37" s="322"/>
      <c r="V37" s="322"/>
      <c r="W37" s="322"/>
      <c r="X37" s="334"/>
      <c r="Y37" s="334"/>
      <c r="Z37" s="334"/>
      <c r="AA37" s="332"/>
      <c r="AB37" s="332"/>
      <c r="AC37" s="332"/>
      <c r="AD37" s="329"/>
      <c r="AE37" s="312"/>
      <c r="AF37" s="249"/>
      <c r="AG37" s="249"/>
      <c r="AH37" s="249"/>
      <c r="AI37" s="249"/>
      <c r="AJ37" s="249"/>
      <c r="AK37" s="249"/>
      <c r="AL37" s="249"/>
      <c r="AM37" s="249"/>
      <c r="AN37" s="249"/>
      <c r="AO37" s="249"/>
      <c r="AP37" s="249"/>
      <c r="AQ37" s="249"/>
      <c r="AR37" s="249"/>
      <c r="AS37" s="249"/>
      <c r="AT37" s="249"/>
      <c r="AU37" s="249"/>
      <c r="AV37" s="249"/>
      <c r="AW37" s="249"/>
      <c r="AX37" s="249"/>
      <c r="AY37" s="249"/>
      <c r="AZ37" s="308"/>
      <c r="BA37" s="292" t="str">
        <f t="shared" si="2"/>
        <v/>
      </c>
      <c r="BB37" s="292" t="str">
        <f t="shared" si="6"/>
        <v/>
      </c>
      <c r="BC37" s="292" t="str">
        <f>S162</f>
        <v/>
      </c>
    </row>
    <row r="38" spans="1:56" ht="25.9" customHeight="1" x14ac:dyDescent="0.25">
      <c r="A38" s="867" t="s">
        <v>513</v>
      </c>
      <c r="B38" s="868"/>
      <c r="C38" s="868"/>
      <c r="D38" s="868"/>
      <c r="E38" s="868"/>
      <c r="F38" s="868"/>
      <c r="G38" s="868"/>
      <c r="H38" s="868"/>
      <c r="I38" s="868"/>
      <c r="J38" s="868"/>
      <c r="K38" s="868"/>
      <c r="L38" s="868"/>
      <c r="M38" s="868"/>
      <c r="N38" s="868"/>
      <c r="O38" s="868"/>
      <c r="P38" s="868"/>
      <c r="Q38" s="869"/>
      <c r="R38" s="322"/>
      <c r="S38" s="330" t="str">
        <f>IF(ISBLANK(A39),"",A39)</f>
        <v/>
      </c>
      <c r="T38" s="333" t="s">
        <v>542</v>
      </c>
      <c r="U38" s="322"/>
      <c r="V38" s="322"/>
      <c r="W38" s="324"/>
      <c r="X38" s="186"/>
      <c r="Y38" s="186"/>
      <c r="Z38" s="186"/>
      <c r="AA38" s="320"/>
      <c r="AB38" s="320"/>
      <c r="AC38" s="320"/>
      <c r="AD38" s="328"/>
      <c r="AE38" s="321"/>
      <c r="AF38" s="308"/>
      <c r="AG38" s="308"/>
      <c r="AH38" s="308"/>
      <c r="AI38" s="308"/>
      <c r="AJ38" s="308"/>
      <c r="AK38" s="308"/>
      <c r="AL38" s="308"/>
      <c r="AM38" s="308"/>
      <c r="AN38" s="308"/>
      <c r="AO38" s="308"/>
      <c r="AP38" s="308"/>
      <c r="AQ38" s="308"/>
      <c r="AR38" s="308"/>
      <c r="AS38" s="308"/>
      <c r="AT38" s="308"/>
      <c r="AU38" s="308"/>
      <c r="AV38" s="308"/>
      <c r="AW38" s="308"/>
      <c r="AX38" s="308"/>
      <c r="AY38" s="249"/>
      <c r="AZ38" s="308"/>
      <c r="BA38" s="292" t="str">
        <f t="shared" si="2"/>
        <v/>
      </c>
      <c r="BB38" s="292" t="str">
        <f t="shared" si="6"/>
        <v/>
      </c>
      <c r="BC38" s="292" t="str">
        <f>S163</f>
        <v/>
      </c>
    </row>
    <row r="39" spans="1:56" ht="25.9" customHeight="1" x14ac:dyDescent="0.25">
      <c r="A39" s="862"/>
      <c r="B39" s="845"/>
      <c r="C39" s="845"/>
      <c r="D39" s="845"/>
      <c r="E39" s="845"/>
      <c r="F39" s="845"/>
      <c r="G39" s="845"/>
      <c r="H39" s="845"/>
      <c r="I39" s="845"/>
      <c r="J39" s="845"/>
      <c r="K39" s="845"/>
      <c r="L39" s="845"/>
      <c r="M39" s="845"/>
      <c r="N39" s="845"/>
      <c r="O39" s="845"/>
      <c r="P39" s="845"/>
      <c r="Q39" s="863"/>
      <c r="R39" s="322"/>
      <c r="U39" s="322"/>
      <c r="V39" s="322"/>
      <c r="W39" s="322"/>
      <c r="X39" s="186"/>
      <c r="Y39" s="186"/>
      <c r="Z39" s="186"/>
      <c r="AA39" s="322"/>
      <c r="AB39" s="322"/>
      <c r="AC39" s="322"/>
      <c r="AD39" s="308"/>
      <c r="AE39" s="312"/>
      <c r="AF39" s="249"/>
      <c r="AG39" s="249"/>
      <c r="AH39" s="249"/>
      <c r="AI39" s="249"/>
      <c r="AJ39" s="249"/>
      <c r="AK39" s="249"/>
      <c r="AL39" s="249"/>
      <c r="AM39" s="249"/>
      <c r="AN39" s="249"/>
      <c r="AO39" s="249"/>
      <c r="AP39" s="249"/>
      <c r="AQ39" s="249"/>
      <c r="AR39" s="249"/>
      <c r="AS39" s="249"/>
      <c r="AT39" s="249"/>
      <c r="AU39" s="249"/>
      <c r="AV39" s="249"/>
      <c r="AW39" s="249"/>
      <c r="AX39" s="249"/>
      <c r="AY39" s="249"/>
      <c r="AZ39" s="308"/>
      <c r="BA39" s="259" t="str">
        <f t="shared" si="2"/>
        <v/>
      </c>
      <c r="BB39" s="259" t="str">
        <f>IF(BC39="","",$Q$178)</f>
        <v/>
      </c>
      <c r="BC39" s="259" t="str">
        <f>S193</f>
        <v/>
      </c>
      <c r="BD39" s="260" t="s">
        <v>578</v>
      </c>
    </row>
    <row r="40" spans="1:56" ht="25.9" customHeight="1" thickBot="1" x14ac:dyDescent="0.25">
      <c r="A40" s="847"/>
      <c r="B40" s="848"/>
      <c r="C40" s="848"/>
      <c r="D40" s="848"/>
      <c r="E40" s="848"/>
      <c r="F40" s="848"/>
      <c r="G40" s="848"/>
      <c r="H40" s="848"/>
      <c r="I40" s="848"/>
      <c r="J40" s="848"/>
      <c r="K40" s="848"/>
      <c r="L40" s="848"/>
      <c r="M40" s="848"/>
      <c r="N40" s="848"/>
      <c r="O40" s="848"/>
      <c r="P40" s="848"/>
      <c r="Q40" s="849"/>
      <c r="R40" s="322"/>
      <c r="S40" s="322"/>
      <c r="T40" s="322"/>
      <c r="U40" s="322"/>
      <c r="V40" s="322"/>
      <c r="W40" s="322"/>
      <c r="X40" s="186"/>
      <c r="Y40" s="186"/>
      <c r="Z40" s="186"/>
      <c r="AA40" s="322"/>
      <c r="AB40" s="322"/>
      <c r="AC40" s="322"/>
      <c r="AD40" s="249"/>
      <c r="AE40" s="335"/>
      <c r="AF40" s="249"/>
      <c r="AG40" s="249"/>
      <c r="AH40" s="249"/>
      <c r="AI40" s="249"/>
      <c r="AJ40" s="249"/>
      <c r="AK40" s="249"/>
      <c r="AL40" s="249"/>
      <c r="AM40" s="249"/>
      <c r="AN40" s="249"/>
      <c r="AO40" s="249"/>
      <c r="AP40" s="249"/>
      <c r="AQ40" s="249"/>
      <c r="AR40" s="249"/>
      <c r="AS40" s="249"/>
      <c r="AT40" s="249"/>
      <c r="AU40" s="249"/>
      <c r="AV40" s="249"/>
      <c r="AW40" s="249"/>
      <c r="AX40" s="249"/>
      <c r="AY40" s="249"/>
      <c r="AZ40" s="308"/>
      <c r="BA40" s="259" t="str">
        <f t="shared" si="2"/>
        <v/>
      </c>
      <c r="BB40" s="259" t="str">
        <f t="shared" ref="BB40:BB47" si="7">IF(BC40="","",$Q$178)</f>
        <v/>
      </c>
      <c r="BC40" s="259" t="str">
        <f>T193</f>
        <v/>
      </c>
      <c r="BD40" s="266"/>
    </row>
    <row r="41" spans="1:56" ht="25.9" customHeight="1" x14ac:dyDescent="0.2">
      <c r="A41" s="841" t="s">
        <v>555</v>
      </c>
      <c r="B41" s="842"/>
      <c r="C41" s="842"/>
      <c r="D41" s="842"/>
      <c r="E41" s="842"/>
      <c r="F41" s="842"/>
      <c r="G41" s="842"/>
      <c r="H41" s="842"/>
      <c r="I41" s="842"/>
      <c r="J41" s="842"/>
      <c r="K41" s="842"/>
      <c r="L41" s="842"/>
      <c r="M41" s="842"/>
      <c r="N41" s="842"/>
      <c r="O41" s="842"/>
      <c r="P41" s="842"/>
      <c r="Q41" s="843"/>
      <c r="S41" s="336" t="str">
        <f>IF(ISBLANK(A42),"",A42)</f>
        <v/>
      </c>
      <c r="T41" s="337" t="s">
        <v>556</v>
      </c>
      <c r="W41" s="334"/>
      <c r="X41" s="332"/>
      <c r="Y41" s="332"/>
      <c r="Z41" s="332"/>
      <c r="AA41" s="322"/>
      <c r="AB41" s="322"/>
      <c r="AC41" s="322"/>
      <c r="AD41" s="249"/>
      <c r="AE41" s="335"/>
      <c r="AF41" s="249"/>
      <c r="AG41" s="249"/>
      <c r="AH41" s="249"/>
      <c r="AI41" s="249"/>
      <c r="AJ41" s="249"/>
      <c r="AK41" s="249"/>
      <c r="AL41" s="249"/>
      <c r="AM41" s="249"/>
      <c r="AN41" s="249"/>
      <c r="AO41" s="249"/>
      <c r="AP41" s="249"/>
      <c r="AQ41" s="249"/>
      <c r="AR41" s="249"/>
      <c r="AS41" s="249"/>
      <c r="AT41" s="249"/>
      <c r="AU41" s="249"/>
      <c r="AV41" s="249"/>
      <c r="AW41" s="249"/>
      <c r="AX41" s="249"/>
      <c r="AY41" s="249"/>
      <c r="AZ41" s="308"/>
      <c r="BA41" s="259" t="str">
        <f t="shared" si="2"/>
        <v/>
      </c>
      <c r="BB41" s="259" t="str">
        <f t="shared" si="7"/>
        <v/>
      </c>
      <c r="BC41" s="259" t="str">
        <f>U193</f>
        <v/>
      </c>
    </row>
    <row r="42" spans="1:56" ht="25.9" customHeight="1" x14ac:dyDescent="0.2">
      <c r="A42" s="862"/>
      <c r="B42" s="845"/>
      <c r="C42" s="845"/>
      <c r="D42" s="845"/>
      <c r="E42" s="845"/>
      <c r="F42" s="845"/>
      <c r="G42" s="845"/>
      <c r="H42" s="845"/>
      <c r="I42" s="845"/>
      <c r="J42" s="845"/>
      <c r="K42" s="845"/>
      <c r="L42" s="845"/>
      <c r="M42" s="845"/>
      <c r="N42" s="845"/>
      <c r="O42" s="845"/>
      <c r="P42" s="845"/>
      <c r="Q42" s="846"/>
      <c r="W42" s="186"/>
      <c r="X42" s="338"/>
      <c r="Y42" s="338"/>
      <c r="Z42" s="338"/>
      <c r="AA42" s="324"/>
      <c r="AB42" s="324"/>
      <c r="AC42" s="324"/>
      <c r="AD42" s="308"/>
      <c r="AE42" s="339"/>
      <c r="AF42" s="308"/>
      <c r="AG42" s="308"/>
      <c r="AH42" s="308"/>
      <c r="AI42" s="308"/>
      <c r="AJ42" s="308"/>
      <c r="AK42" s="308"/>
      <c r="AL42" s="308"/>
      <c r="AM42" s="308"/>
      <c r="AN42" s="308"/>
      <c r="AO42" s="308"/>
      <c r="AP42" s="308"/>
      <c r="AQ42" s="308"/>
      <c r="AR42" s="308"/>
      <c r="AS42" s="308"/>
      <c r="AT42" s="308"/>
      <c r="AU42" s="308"/>
      <c r="AV42" s="308"/>
      <c r="AW42" s="308"/>
      <c r="AX42" s="308"/>
      <c r="AY42" s="249"/>
      <c r="AZ42" s="308"/>
      <c r="BA42" s="259" t="str">
        <f t="shared" si="2"/>
        <v/>
      </c>
      <c r="BB42" s="259" t="str">
        <f t="shared" si="7"/>
        <v/>
      </c>
      <c r="BC42" s="259" t="str">
        <f>V193</f>
        <v/>
      </c>
    </row>
    <row r="43" spans="1:56" s="286" customFormat="1" ht="25.9" customHeight="1" thickBot="1" x14ac:dyDescent="0.25">
      <c r="A43" s="847"/>
      <c r="B43" s="848"/>
      <c r="C43" s="848"/>
      <c r="D43" s="848"/>
      <c r="E43" s="848"/>
      <c r="F43" s="848"/>
      <c r="G43" s="848"/>
      <c r="H43" s="848"/>
      <c r="I43" s="848"/>
      <c r="J43" s="848"/>
      <c r="K43" s="848"/>
      <c r="L43" s="848"/>
      <c r="M43" s="848"/>
      <c r="N43" s="848"/>
      <c r="O43" s="848"/>
      <c r="P43" s="848"/>
      <c r="Q43" s="849"/>
      <c r="W43" s="186"/>
      <c r="X43" s="340"/>
      <c r="Y43" s="340"/>
      <c r="Z43" s="340"/>
      <c r="AA43" s="322"/>
      <c r="AB43" s="322"/>
      <c r="AC43" s="322"/>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08"/>
      <c r="BA43" s="259" t="str">
        <f t="shared" si="2"/>
        <v/>
      </c>
      <c r="BB43" s="259" t="str">
        <f t="shared" si="7"/>
        <v/>
      </c>
      <c r="BC43" s="259" t="str">
        <f>S195</f>
        <v/>
      </c>
      <c r="BD43" s="250"/>
    </row>
    <row r="44" spans="1:56" s="286" customFormat="1" ht="25.9" customHeight="1" x14ac:dyDescent="0.2">
      <c r="A44" s="850" t="s">
        <v>482</v>
      </c>
      <c r="B44" s="851"/>
      <c r="C44" s="851"/>
      <c r="D44" s="851"/>
      <c r="E44" s="851"/>
      <c r="F44" s="851"/>
      <c r="G44" s="851"/>
      <c r="H44" s="851"/>
      <c r="I44" s="851"/>
      <c r="J44" s="851"/>
      <c r="K44" s="851"/>
      <c r="L44" s="851"/>
      <c r="M44" s="851"/>
      <c r="N44" s="851"/>
      <c r="O44" s="851"/>
      <c r="P44" s="851"/>
      <c r="Q44" s="852"/>
      <c r="R44" s="334"/>
      <c r="S44" s="341"/>
      <c r="T44" s="342"/>
      <c r="U44" s="334"/>
      <c r="V44" s="334"/>
      <c r="W44" s="186"/>
      <c r="X44" s="340"/>
      <c r="Y44" s="340"/>
      <c r="Z44" s="340"/>
      <c r="AA44" s="322"/>
      <c r="AB44" s="322"/>
      <c r="AC44" s="322"/>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08"/>
      <c r="BA44" s="259" t="str">
        <f t="shared" si="2"/>
        <v/>
      </c>
      <c r="BB44" s="259" t="str">
        <f t="shared" si="7"/>
        <v/>
      </c>
      <c r="BC44" s="259" t="str">
        <f>S196</f>
        <v/>
      </c>
      <c r="BD44" s="250"/>
    </row>
    <row r="45" spans="1:56" s="286" customFormat="1" ht="25.9" customHeight="1" x14ac:dyDescent="0.2">
      <c r="A45" s="853"/>
      <c r="B45" s="854"/>
      <c r="C45" s="854"/>
      <c r="D45" s="854"/>
      <c r="E45" s="854"/>
      <c r="F45" s="854"/>
      <c r="G45" s="854"/>
      <c r="H45" s="854"/>
      <c r="I45" s="854"/>
      <c r="J45" s="854"/>
      <c r="K45" s="854"/>
      <c r="L45" s="854"/>
      <c r="M45" s="854"/>
      <c r="N45" s="854"/>
      <c r="O45" s="854"/>
      <c r="P45" s="854"/>
      <c r="Q45" s="855"/>
      <c r="R45" s="186"/>
      <c r="S45" s="343" t="str">
        <f>IF(ISBLANK(A45),"",CONCATENATE(S44,A45))</f>
        <v/>
      </c>
      <c r="T45" s="289" t="s">
        <v>37</v>
      </c>
      <c r="U45" s="186"/>
      <c r="V45" s="186"/>
      <c r="W45" s="338"/>
      <c r="X45" s="340"/>
      <c r="Y45" s="340"/>
      <c r="Z45" s="340"/>
      <c r="AA45" s="320"/>
      <c r="AB45" s="320"/>
      <c r="AC45" s="32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08"/>
      <c r="BA45" s="259" t="str">
        <f t="shared" si="2"/>
        <v/>
      </c>
      <c r="BB45" s="259" t="str">
        <f t="shared" si="7"/>
        <v/>
      </c>
      <c r="BC45" s="259" t="str">
        <f>S197</f>
        <v/>
      </c>
      <c r="BD45" s="250"/>
    </row>
    <row r="46" spans="1:56" s="286" customFormat="1" ht="25.9" customHeight="1" thickBot="1" x14ac:dyDescent="0.25">
      <c r="A46" s="856"/>
      <c r="B46" s="857"/>
      <c r="C46" s="857"/>
      <c r="D46" s="857"/>
      <c r="E46" s="857"/>
      <c r="F46" s="857"/>
      <c r="G46" s="857"/>
      <c r="H46" s="857"/>
      <c r="I46" s="857"/>
      <c r="J46" s="857"/>
      <c r="K46" s="857"/>
      <c r="L46" s="857"/>
      <c r="M46" s="857"/>
      <c r="N46" s="857"/>
      <c r="O46" s="857"/>
      <c r="P46" s="857"/>
      <c r="Q46" s="858"/>
      <c r="R46" s="186"/>
      <c r="S46" s="186"/>
      <c r="T46" s="186"/>
      <c r="U46" s="186"/>
      <c r="V46" s="186"/>
      <c r="W46" s="340"/>
      <c r="X46" s="340"/>
      <c r="Y46" s="340"/>
      <c r="Z46" s="340"/>
      <c r="AA46" s="334"/>
      <c r="AB46" s="334"/>
      <c r="AC46" s="334"/>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08"/>
      <c r="BA46" s="259" t="str">
        <f t="shared" si="2"/>
        <v/>
      </c>
      <c r="BB46" s="259" t="str">
        <f t="shared" si="7"/>
        <v/>
      </c>
      <c r="BC46" s="259" t="str">
        <f>S205</f>
        <v/>
      </c>
      <c r="BD46" s="250"/>
    </row>
    <row r="47" spans="1:56" s="286" customFormat="1" ht="25.15" customHeight="1" x14ac:dyDescent="0.2">
      <c r="A47" s="344" t="e">
        <f>$A$1</f>
        <v>#N/A</v>
      </c>
      <c r="B47" s="340"/>
      <c r="C47" s="340"/>
      <c r="D47" s="340"/>
      <c r="E47" s="340"/>
      <c r="F47" s="340"/>
      <c r="G47" s="340"/>
      <c r="H47" s="340"/>
      <c r="I47" s="340"/>
      <c r="J47" s="340"/>
      <c r="K47" s="340"/>
      <c r="L47" s="340"/>
      <c r="M47" s="340"/>
      <c r="N47" s="340"/>
      <c r="O47" s="340"/>
      <c r="P47" s="773"/>
      <c r="Q47" s="773"/>
      <c r="R47" s="332"/>
      <c r="S47" s="332"/>
      <c r="T47" s="332"/>
      <c r="U47" s="332"/>
      <c r="V47" s="332"/>
      <c r="W47" s="340"/>
      <c r="X47" s="293"/>
      <c r="Y47" s="293"/>
      <c r="Z47" s="293"/>
      <c r="AA47" s="345"/>
      <c r="AB47" s="345"/>
      <c r="AC47" s="345"/>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08"/>
      <c r="BA47" s="259" t="str">
        <f t="shared" si="2"/>
        <v/>
      </c>
      <c r="BB47" s="259" t="str">
        <f t="shared" si="7"/>
        <v/>
      </c>
      <c r="BC47" s="259" t="str">
        <f>S206</f>
        <v/>
      </c>
      <c r="BD47" s="266"/>
    </row>
    <row r="48" spans="1:56" s="286" customFormat="1" ht="25.15" customHeight="1" thickBot="1" x14ac:dyDescent="0.25">
      <c r="A48" s="776" t="s">
        <v>447</v>
      </c>
      <c r="B48" s="777"/>
      <c r="C48" s="777"/>
      <c r="D48" s="777"/>
      <c r="E48" s="777"/>
      <c r="F48" s="777"/>
      <c r="G48" s="777"/>
      <c r="H48" s="777"/>
      <c r="I48" s="777"/>
      <c r="J48" s="777"/>
      <c r="K48" s="777"/>
      <c r="L48" s="777"/>
      <c r="M48" s="777"/>
      <c r="N48" s="774" t="str">
        <f>$N$5</f>
        <v>2022 Report Year</v>
      </c>
      <c r="O48" s="775"/>
      <c r="P48" s="775"/>
      <c r="Q48" s="775"/>
      <c r="R48" s="338"/>
      <c r="S48" s="338"/>
      <c r="T48" s="338"/>
      <c r="U48" s="338"/>
      <c r="V48" s="338"/>
      <c r="W48" s="340"/>
      <c r="X48" s="340"/>
      <c r="Y48" s="340"/>
      <c r="Z48" s="340"/>
      <c r="AA48" s="345"/>
      <c r="AB48" s="345"/>
      <c r="AC48" s="345"/>
      <c r="AD48" s="340"/>
      <c r="AE48" s="340"/>
      <c r="AF48" s="340"/>
      <c r="AG48" s="340"/>
      <c r="AH48" s="340"/>
      <c r="AI48" s="340"/>
      <c r="AJ48" s="340"/>
      <c r="AK48" s="340"/>
      <c r="AL48" s="340"/>
      <c r="AM48" s="340"/>
      <c r="AN48" s="340"/>
      <c r="AO48" s="340"/>
      <c r="AP48" s="340"/>
      <c r="AQ48" s="340"/>
      <c r="AR48" s="340"/>
      <c r="AS48" s="340"/>
      <c r="AT48" s="340"/>
      <c r="AU48" s="340"/>
      <c r="AV48" s="340"/>
      <c r="AW48" s="340"/>
      <c r="AX48" s="340"/>
      <c r="AY48" s="340"/>
      <c r="AZ48" s="308"/>
      <c r="BA48" s="292" t="str">
        <f t="shared" si="2"/>
        <v/>
      </c>
      <c r="BB48" s="292" t="str">
        <f>IF(BC48="","",$Q$221)</f>
        <v/>
      </c>
      <c r="BC48" s="292" t="str">
        <f>S236</f>
        <v/>
      </c>
      <c r="BD48" s="260" t="s">
        <v>579</v>
      </c>
    </row>
    <row r="49" spans="1:56" s="286" customFormat="1" ht="25.15" customHeight="1" x14ac:dyDescent="0.2">
      <c r="A49" s="821" t="e">
        <f>IF(AND(OR(ISNA(cap_exp_contact),TRIM(cap_exp_contact)=""),NOT(ISBLANK(code_7594))),"The Capital Expenditure Contact information has NOT been provided.  Please complete this information now.","")</f>
        <v>#N/A</v>
      </c>
      <c r="B49" s="822"/>
      <c r="C49" s="822"/>
      <c r="D49" s="822"/>
      <c r="E49" s="822"/>
      <c r="F49" s="822"/>
      <c r="G49" s="822"/>
      <c r="H49" s="822"/>
      <c r="I49" s="822"/>
      <c r="J49" s="822"/>
      <c r="K49" s="822"/>
      <c r="L49" s="822"/>
      <c r="M49" s="822"/>
      <c r="N49" s="271" t="s">
        <v>278</v>
      </c>
      <c r="O49" s="272" t="e">
        <f>'Capital Expend Detail'!$I$7</f>
        <v>#N/A</v>
      </c>
      <c r="P49" s="273" t="s">
        <v>431</v>
      </c>
      <c r="Q49" s="274" t="str">
        <f>IF(ISBLANK(Q6),"",Q6+1)</f>
        <v/>
      </c>
      <c r="R49" s="197"/>
      <c r="S49" s="340"/>
      <c r="T49" s="340"/>
      <c r="U49" s="340"/>
      <c r="V49" s="340"/>
      <c r="W49" s="340"/>
      <c r="X49" s="340"/>
      <c r="Y49" s="340"/>
      <c r="Z49" s="340"/>
      <c r="AA49" s="345"/>
      <c r="AB49" s="345"/>
      <c r="AC49" s="345"/>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c r="AZ49" s="308"/>
      <c r="BA49" s="292" t="str">
        <f t="shared" si="2"/>
        <v/>
      </c>
      <c r="BB49" s="292" t="str">
        <f t="shared" ref="BB49:BB56" si="8">IF(BC49="","",$Q$221)</f>
        <v/>
      </c>
      <c r="BC49" s="292" t="str">
        <f>T236</f>
        <v/>
      </c>
      <c r="BD49" s="250"/>
    </row>
    <row r="50" spans="1:56" s="286" customFormat="1" ht="25.15" customHeight="1" thickBot="1" x14ac:dyDescent="0.25">
      <c r="A50" s="778" t="s">
        <v>432</v>
      </c>
      <c r="B50" s="779"/>
      <c r="C50" s="779"/>
      <c r="D50" s="779"/>
      <c r="E50" s="815"/>
      <c r="F50" s="816"/>
      <c r="G50" s="816"/>
      <c r="H50" s="816"/>
      <c r="I50" s="816"/>
      <c r="J50" s="816"/>
      <c r="K50" s="816"/>
      <c r="L50" s="817"/>
      <c r="M50" s="276"/>
      <c r="N50" s="823" t="s">
        <v>443</v>
      </c>
      <c r="O50" s="824"/>
      <c r="P50" s="824"/>
      <c r="Q50" s="825"/>
      <c r="R50" s="197"/>
      <c r="S50" s="277" t="str">
        <f>IF(ISBLANK(E50),"",E50)</f>
        <v/>
      </c>
      <c r="T50" s="278" t="s">
        <v>407</v>
      </c>
      <c r="U50" s="197"/>
      <c r="V50" s="197"/>
      <c r="W50" s="340"/>
      <c r="X50" s="340"/>
      <c r="Y50" s="340"/>
      <c r="Z50" s="340"/>
      <c r="AA50" s="345"/>
      <c r="AB50" s="345"/>
      <c r="AC50" s="345"/>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08"/>
      <c r="BA50" s="292" t="str">
        <f t="shared" si="2"/>
        <v/>
      </c>
      <c r="BB50" s="292" t="str">
        <f t="shared" si="8"/>
        <v/>
      </c>
      <c r="BC50" s="292" t="str">
        <f>U236</f>
        <v/>
      </c>
      <c r="BD50" s="250"/>
    </row>
    <row r="51" spans="1:56" s="286" customFormat="1" ht="25.15" customHeight="1" x14ac:dyDescent="0.2">
      <c r="A51" s="833" t="s">
        <v>433</v>
      </c>
      <c r="B51" s="834"/>
      <c r="C51" s="834"/>
      <c r="D51" s="835"/>
      <c r="E51" s="788"/>
      <c r="F51" s="789"/>
      <c r="G51" s="789"/>
      <c r="H51" s="789"/>
      <c r="I51" s="789"/>
      <c r="J51" s="789"/>
      <c r="K51" s="789"/>
      <c r="L51" s="790"/>
      <c r="M51" s="793" t="str">
        <f>IF(AND(ISBLANK(E51),OR(NOT(ISBLANK(E52)),NOT(ISBLANK(E53)),NOT(ISBLANK(E54)),NOT(ISBLANK(I55)),NOT(ISBLANK(A57)))),"This information is required.","")</f>
        <v/>
      </c>
      <c r="N51" s="794"/>
      <c r="O51" s="794"/>
      <c r="P51" s="794"/>
      <c r="Q51" s="279"/>
      <c r="R51" s="197"/>
      <c r="S51" s="277" t="str">
        <f>IF(ISBLANK(E51),"",E51)</f>
        <v/>
      </c>
      <c r="T51" s="278" t="s">
        <v>27</v>
      </c>
      <c r="U51" s="197"/>
      <c r="V51" s="197"/>
      <c r="W51" s="293"/>
      <c r="X51" s="293"/>
      <c r="Y51" s="293"/>
      <c r="Z51" s="293"/>
      <c r="AA51" s="345"/>
      <c r="AB51" s="345"/>
      <c r="AC51" s="345"/>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08"/>
      <c r="BA51" s="292" t="str">
        <f t="shared" si="2"/>
        <v/>
      </c>
      <c r="BB51" s="292" t="str">
        <f t="shared" si="8"/>
        <v/>
      </c>
      <c r="BC51" s="292" t="str">
        <f>V236</f>
        <v/>
      </c>
      <c r="BD51" s="250"/>
    </row>
    <row r="52" spans="1:56" s="286" customFormat="1" ht="25.15" customHeight="1" x14ac:dyDescent="0.2">
      <c r="A52" s="783" t="s">
        <v>434</v>
      </c>
      <c r="B52" s="784"/>
      <c r="C52" s="784"/>
      <c r="D52" s="785"/>
      <c r="E52" s="788"/>
      <c r="F52" s="789"/>
      <c r="G52" s="789"/>
      <c r="H52" s="789"/>
      <c r="I52" s="789"/>
      <c r="J52" s="789"/>
      <c r="K52" s="789"/>
      <c r="L52" s="790"/>
      <c r="M52" s="793" t="str">
        <f>IF(AND(ISBLANK(E52),OR(NOT(ISBLANK(E51)),NOT(ISBLANK(E53)),NOT(ISBLANK(E54)),NOT(ISBLANK(I55)),NOT(ISBLANK(A57)))),"This information is required.","")</f>
        <v/>
      </c>
      <c r="N52" s="794"/>
      <c r="O52" s="794"/>
      <c r="P52" s="794"/>
      <c r="Q52" s="279"/>
      <c r="R52" s="197"/>
      <c r="S52" s="277" t="str">
        <f>IF(ISBLANK(E52),"",E52)</f>
        <v/>
      </c>
      <c r="T52" s="278" t="s">
        <v>28</v>
      </c>
      <c r="U52" s="197"/>
      <c r="V52" s="197"/>
      <c r="W52" s="340"/>
      <c r="X52" s="322"/>
      <c r="Y52" s="322"/>
      <c r="Z52" s="322"/>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08"/>
      <c r="BA52" s="292" t="str">
        <f t="shared" si="2"/>
        <v/>
      </c>
      <c r="BB52" s="292" t="str">
        <f t="shared" si="8"/>
        <v/>
      </c>
      <c r="BC52" s="292" t="str">
        <f>S238</f>
        <v/>
      </c>
      <c r="BD52" s="250"/>
    </row>
    <row r="53" spans="1:56" s="286" customFormat="1" ht="25.15" customHeight="1" x14ac:dyDescent="0.2">
      <c r="A53" s="873" t="s">
        <v>436</v>
      </c>
      <c r="B53" s="874"/>
      <c r="C53" s="874"/>
      <c r="D53" s="875"/>
      <c r="E53" s="813"/>
      <c r="F53" s="814"/>
      <c r="G53" s="786" t="s">
        <v>437</v>
      </c>
      <c r="H53" s="786"/>
      <c r="I53" s="786"/>
      <c r="J53" s="786"/>
      <c r="K53" s="786"/>
      <c r="L53" s="786"/>
      <c r="M53" s="787" t="str">
        <f>IF(AND(ISBLANK(E53),OR(NOT(ISBLANK(E51)),NOT(ISBLANK(E52)),NOT(ISBLANK(E54)),NOT(ISBLANK(I55)),NOT(ISBLANK(A57)))),"This information is required.","")</f>
        <v/>
      </c>
      <c r="N53" s="711"/>
      <c r="O53" s="711"/>
      <c r="P53" s="711"/>
      <c r="Q53" s="280"/>
      <c r="R53" s="281"/>
      <c r="S53" s="282" t="str">
        <f>IF(ISBLANK(E53),"",E53)</f>
        <v/>
      </c>
      <c r="T53" s="283" t="s">
        <v>30</v>
      </c>
      <c r="U53" s="281"/>
      <c r="V53" s="281"/>
      <c r="W53" s="340"/>
      <c r="X53" s="322"/>
      <c r="Y53" s="322"/>
      <c r="Z53" s="322"/>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08"/>
      <c r="BA53" s="292" t="str">
        <f t="shared" si="2"/>
        <v/>
      </c>
      <c r="BB53" s="292" t="str">
        <f t="shared" si="8"/>
        <v/>
      </c>
      <c r="BC53" s="292" t="str">
        <f>S239</f>
        <v/>
      </c>
      <c r="BD53" s="250"/>
    </row>
    <row r="54" spans="1:56" s="286" customFormat="1" ht="25.15" customHeight="1" x14ac:dyDescent="0.2">
      <c r="A54" s="783" t="s">
        <v>435</v>
      </c>
      <c r="B54" s="784"/>
      <c r="C54" s="784"/>
      <c r="D54" s="785"/>
      <c r="E54" s="828"/>
      <c r="F54" s="829"/>
      <c r="G54" s="284"/>
      <c r="H54" s="285"/>
      <c r="J54" s="281"/>
      <c r="K54" s="281"/>
      <c r="L54" s="281"/>
      <c r="M54" s="711" t="str">
        <f>IF(AND(ISBLANK(E54),OR(NOT(ISBLANK(E51)),NOT(ISBLANK(E52)),NOT(ISBLANK(E53)),NOT(ISBLANK(I55)),NOT(ISBLANK(A57)))),"This information is required.","")</f>
        <v/>
      </c>
      <c r="N54" s="711"/>
      <c r="O54" s="711"/>
      <c r="P54" s="711"/>
      <c r="Q54" s="280"/>
      <c r="R54" s="287"/>
      <c r="S54" s="288" t="str">
        <f>IF(ISBLANK(E54),"",E54)</f>
        <v/>
      </c>
      <c r="T54" s="289" t="s">
        <v>31</v>
      </c>
      <c r="U54" s="287"/>
      <c r="V54" s="287"/>
      <c r="W54" s="340"/>
      <c r="X54" s="322"/>
      <c r="Y54" s="322"/>
      <c r="Z54" s="322"/>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08"/>
      <c r="BA54" s="292" t="str">
        <f t="shared" si="2"/>
        <v/>
      </c>
      <c r="BB54" s="292" t="str">
        <f t="shared" si="8"/>
        <v/>
      </c>
      <c r="BC54" s="292" t="str">
        <f>S240</f>
        <v/>
      </c>
      <c r="BD54" s="250"/>
    </row>
    <row r="55" spans="1:56" s="286" customFormat="1" ht="25.15" customHeight="1" thickBot="1" x14ac:dyDescent="0.25">
      <c r="A55" s="797" t="s">
        <v>426</v>
      </c>
      <c r="B55" s="798"/>
      <c r="C55" s="798"/>
      <c r="D55" s="798"/>
      <c r="E55" s="799"/>
      <c r="F55" s="799"/>
      <c r="G55" s="799"/>
      <c r="H55" s="799"/>
      <c r="I55" s="832"/>
      <c r="J55" s="832"/>
      <c r="K55" s="795" t="s">
        <v>481</v>
      </c>
      <c r="L55" s="796"/>
      <c r="M55" s="827" t="str">
        <f>IF(AND(ISBLANK(I55),OR(NOT(ISBLANK(E51)),NOT(ISBLANK(E52)),NOT(ISBLANK(E53)),NOT(ISBLANK(E54)),NOT(ISBLANK(A57)))),"This information is required!","")</f>
        <v/>
      </c>
      <c r="N55" s="827"/>
      <c r="O55" s="827"/>
      <c r="P55" s="827"/>
      <c r="Q55" s="290"/>
      <c r="R55" s="287"/>
      <c r="S55" s="288" t="str">
        <f>IF(ISBLANK(I55),"",I55)</f>
        <v/>
      </c>
      <c r="T55" s="289" t="s">
        <v>32</v>
      </c>
      <c r="U55" s="291"/>
      <c r="V55" s="291"/>
      <c r="W55" s="293"/>
      <c r="X55" s="322"/>
      <c r="Y55" s="322"/>
      <c r="Z55" s="322"/>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08"/>
      <c r="BA55" s="292" t="str">
        <f t="shared" si="2"/>
        <v/>
      </c>
      <c r="BB55" s="292" t="str">
        <f t="shared" si="8"/>
        <v/>
      </c>
      <c r="BC55" s="292" t="str">
        <f>S248</f>
        <v/>
      </c>
      <c r="BD55" s="250"/>
    </row>
    <row r="56" spans="1:56" s="286" customFormat="1" ht="25.15" customHeight="1" x14ac:dyDescent="0.2">
      <c r="A56" s="841" t="s">
        <v>553</v>
      </c>
      <c r="B56" s="842"/>
      <c r="C56" s="842"/>
      <c r="D56" s="842"/>
      <c r="E56" s="842"/>
      <c r="F56" s="842"/>
      <c r="G56" s="842"/>
      <c r="H56" s="842"/>
      <c r="I56" s="842"/>
      <c r="J56" s="909"/>
      <c r="K56" s="907" t="s">
        <v>646</v>
      </c>
      <c r="L56" s="907"/>
      <c r="M56" s="907"/>
      <c r="N56" s="907"/>
      <c r="O56" s="830" t="s">
        <v>535</v>
      </c>
      <c r="P56" s="830"/>
      <c r="Q56" s="831"/>
      <c r="R56" s="293"/>
      <c r="S56" s="288" t="str">
        <f>IF(ISBLANK(A57),"",A57)</f>
        <v/>
      </c>
      <c r="T56" s="289" t="s">
        <v>33</v>
      </c>
      <c r="U56" s="294"/>
      <c r="V56" s="294"/>
      <c r="W56" s="322"/>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0"/>
      <c r="AY56" s="340"/>
      <c r="AZ56" s="308"/>
      <c r="BA56" s="292" t="str">
        <f t="shared" si="2"/>
        <v/>
      </c>
      <c r="BB56" s="292" t="str">
        <f t="shared" si="8"/>
        <v/>
      </c>
      <c r="BC56" s="292" t="str">
        <f>S249</f>
        <v/>
      </c>
      <c r="BD56" s="250"/>
    </row>
    <row r="57" spans="1:56" s="286" customFormat="1" ht="25.15" customHeight="1" x14ac:dyDescent="0.2">
      <c r="A57" s="853"/>
      <c r="B57" s="854"/>
      <c r="C57" s="854"/>
      <c r="D57" s="854"/>
      <c r="E57" s="854"/>
      <c r="F57" s="854"/>
      <c r="G57" s="854"/>
      <c r="H57" s="854"/>
      <c r="I57" s="854"/>
      <c r="J57" s="902"/>
      <c r="K57" s="908"/>
      <c r="L57" s="908"/>
      <c r="M57" s="908"/>
      <c r="N57" s="908"/>
      <c r="O57" s="295"/>
      <c r="P57" s="296" t="s">
        <v>43</v>
      </c>
      <c r="Q57" s="297" t="s">
        <v>44</v>
      </c>
      <c r="R57" s="293"/>
      <c r="S57" s="288" t="str">
        <f>IF(ISBLANK(A60),"",A60)</f>
        <v/>
      </c>
      <c r="T57" s="298" t="s">
        <v>34</v>
      </c>
      <c r="U57" s="294"/>
      <c r="V57" s="294"/>
      <c r="W57" s="322"/>
      <c r="X57" s="320"/>
      <c r="Y57" s="320"/>
      <c r="Z57" s="320"/>
      <c r="AA57" s="293"/>
      <c r="AB57" s="293"/>
      <c r="AC57" s="293"/>
      <c r="AD57" s="346"/>
      <c r="AE57" s="340"/>
      <c r="AF57" s="340"/>
      <c r="AG57" s="340"/>
      <c r="AH57" s="340"/>
      <c r="AI57" s="340"/>
      <c r="AJ57" s="340"/>
      <c r="AK57" s="340"/>
      <c r="AL57" s="340"/>
      <c r="AM57" s="340"/>
      <c r="AN57" s="340"/>
      <c r="AO57" s="340"/>
      <c r="AP57" s="340"/>
      <c r="AQ57" s="340"/>
      <c r="AR57" s="340"/>
      <c r="AS57" s="340"/>
      <c r="AT57" s="340"/>
      <c r="AU57" s="340"/>
      <c r="AV57" s="340"/>
      <c r="AW57" s="340"/>
      <c r="AX57" s="340"/>
      <c r="AY57" s="340"/>
      <c r="AZ57" s="308"/>
      <c r="BA57" s="259" t="str">
        <f t="shared" si="2"/>
        <v/>
      </c>
      <c r="BB57" s="259" t="str">
        <f>IF(BC57="","",$Q$264)</f>
        <v/>
      </c>
      <c r="BC57" s="259" t="str">
        <f>S279</f>
        <v/>
      </c>
      <c r="BD57" s="260" t="s">
        <v>580</v>
      </c>
    </row>
    <row r="58" spans="1:56" s="286" customFormat="1" ht="25.15" customHeight="1" x14ac:dyDescent="0.2">
      <c r="A58" s="882"/>
      <c r="B58" s="883"/>
      <c r="C58" s="883"/>
      <c r="D58" s="883"/>
      <c r="E58" s="883"/>
      <c r="F58" s="883"/>
      <c r="G58" s="883"/>
      <c r="H58" s="883"/>
      <c r="I58" s="883"/>
      <c r="J58" s="903"/>
      <c r="K58" s="899" t="s">
        <v>516</v>
      </c>
      <c r="L58" s="900"/>
      <c r="M58" s="900"/>
      <c r="N58" s="900"/>
      <c r="O58" s="901"/>
      <c r="P58" s="304"/>
      <c r="Q58" s="305"/>
      <c r="R58" s="291" t="str">
        <f>IF(COUNTBLANK(P58:Q58)=2,"Please enter response.",IF(COUNTBLANK(P58:Q58)&lt;&gt;1,"Please VERIFY response.",""))</f>
        <v>Please enter response.</v>
      </c>
      <c r="S58" s="306" t="str">
        <f>IF(AND(ISBLANK(P58),ISBLANK(Q58)),"",IF(ISBLANK(P58),0,1))</f>
        <v/>
      </c>
      <c r="T58" s="307" t="s">
        <v>563</v>
      </c>
      <c r="U58" s="266"/>
      <c r="V58" s="266"/>
      <c r="W58" s="322"/>
      <c r="X58" s="322"/>
      <c r="Y58" s="322"/>
      <c r="Z58" s="322"/>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08"/>
      <c r="BA58" s="259" t="str">
        <f t="shared" si="2"/>
        <v/>
      </c>
      <c r="BB58" s="259" t="str">
        <f t="shared" ref="BB58:BB65" si="9">IF(BC58="","",$Q$264)</f>
        <v/>
      </c>
      <c r="BC58" s="259" t="str">
        <f>T279</f>
        <v/>
      </c>
      <c r="BD58" s="266"/>
    </row>
    <row r="59" spans="1:56" s="286" customFormat="1" ht="25.15" customHeight="1" x14ac:dyDescent="0.2">
      <c r="A59" s="904" t="s">
        <v>558</v>
      </c>
      <c r="B59" s="905"/>
      <c r="C59" s="905"/>
      <c r="D59" s="905"/>
      <c r="E59" s="905"/>
      <c r="F59" s="905"/>
      <c r="G59" s="905"/>
      <c r="H59" s="905"/>
      <c r="I59" s="905"/>
      <c r="J59" s="906"/>
      <c r="K59" s="899" t="s">
        <v>517</v>
      </c>
      <c r="L59" s="900"/>
      <c r="M59" s="900"/>
      <c r="N59" s="900"/>
      <c r="O59" s="901"/>
      <c r="P59" s="304"/>
      <c r="Q59" s="305"/>
      <c r="R59" s="291" t="str">
        <f>IF(COUNTBLANK(P59:Q59)=2,"Please enter response.",IF(COUNTBLANK(P59:Q59)&lt;&gt;1,"Please VERIFY response.",""))</f>
        <v>Please enter response.</v>
      </c>
      <c r="S59" s="306" t="str">
        <f>IF(AND(ISBLANK(P59),ISBLANK(Q59)),"",IF(ISBLANK(P59),0,1))</f>
        <v/>
      </c>
      <c r="T59" s="307" t="s">
        <v>564</v>
      </c>
      <c r="U59" s="266"/>
      <c r="V59" s="266"/>
      <c r="W59" s="322"/>
      <c r="X59" s="322"/>
      <c r="Y59" s="322"/>
      <c r="Z59" s="322"/>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08"/>
      <c r="BA59" s="259" t="str">
        <f t="shared" si="2"/>
        <v/>
      </c>
      <c r="BB59" s="259" t="str">
        <f t="shared" si="9"/>
        <v/>
      </c>
      <c r="BC59" s="259" t="str">
        <f>U279</f>
        <v/>
      </c>
      <c r="BD59" s="250"/>
    </row>
    <row r="60" spans="1:56" s="286" customFormat="1" ht="25.15" customHeight="1" x14ac:dyDescent="0.2">
      <c r="A60" s="853"/>
      <c r="B60" s="854"/>
      <c r="C60" s="854"/>
      <c r="D60" s="854"/>
      <c r="E60" s="854"/>
      <c r="F60" s="854"/>
      <c r="G60" s="854"/>
      <c r="H60" s="854"/>
      <c r="I60" s="854"/>
      <c r="J60" s="902"/>
      <c r="K60" s="899" t="s">
        <v>518</v>
      </c>
      <c r="L60" s="900"/>
      <c r="M60" s="900"/>
      <c r="N60" s="900"/>
      <c r="O60" s="901"/>
      <c r="P60" s="304"/>
      <c r="Q60" s="305"/>
      <c r="R60" s="291" t="str">
        <f>IF(COUNTBLANK(P60:Q60)=2,"Please enter response.",IF(COUNTBLANK(P60:Q60)&lt;&gt;1,"Please VERIFY response.",""))</f>
        <v>Please enter response.</v>
      </c>
      <c r="S60" s="306" t="str">
        <f>IF(AND(ISBLANK(P60),ISBLANK(Q60)),"",IF(ISBLANK(P60),0,1))</f>
        <v/>
      </c>
      <c r="T60" s="307" t="s">
        <v>565</v>
      </c>
      <c r="U60" s="266"/>
      <c r="V60" s="266"/>
      <c r="W60" s="340"/>
      <c r="X60" s="322"/>
      <c r="Y60" s="322"/>
      <c r="Z60" s="322"/>
      <c r="AA60" s="340"/>
      <c r="AB60" s="340"/>
      <c r="AC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08"/>
      <c r="BA60" s="259" t="str">
        <f t="shared" si="2"/>
        <v/>
      </c>
      <c r="BB60" s="259" t="str">
        <f t="shared" si="9"/>
        <v/>
      </c>
      <c r="BC60" s="259" t="str">
        <f>V279</f>
        <v/>
      </c>
      <c r="BD60" s="250"/>
    </row>
    <row r="61" spans="1:56" s="286" customFormat="1" ht="25.15" customHeight="1" x14ac:dyDescent="0.25">
      <c r="A61" s="882"/>
      <c r="B61" s="883"/>
      <c r="C61" s="883"/>
      <c r="D61" s="883"/>
      <c r="E61" s="883"/>
      <c r="F61" s="883"/>
      <c r="G61" s="883"/>
      <c r="H61" s="883"/>
      <c r="I61" s="883"/>
      <c r="J61" s="903"/>
      <c r="K61" s="899" t="s">
        <v>520</v>
      </c>
      <c r="L61" s="900"/>
      <c r="M61" s="900"/>
      <c r="N61" s="900"/>
      <c r="O61" s="901"/>
      <c r="P61" s="304"/>
      <c r="Q61" s="305"/>
      <c r="R61" s="291" t="str">
        <f>IF(COUNTBLANK(P61:Q61)=2,"Please enter response.",IF(COUNTBLANK(P61:Q61)&lt;&gt;1,"Please VERIFY response.",""))</f>
        <v>Please enter response.</v>
      </c>
      <c r="S61" s="306" t="str">
        <f>IF(AND(ISBLANK(P61),ISBLANK(Q61)),"",IF(ISBLANK(P61),0,1))</f>
        <v/>
      </c>
      <c r="T61" s="307" t="s">
        <v>566</v>
      </c>
      <c r="U61" s="266"/>
      <c r="V61" s="266"/>
      <c r="W61" s="320"/>
      <c r="X61" s="332"/>
      <c r="Y61" s="332"/>
      <c r="Z61" s="332"/>
      <c r="AA61" s="293"/>
      <c r="AB61" s="293"/>
      <c r="AC61" s="293"/>
      <c r="AD61" s="328"/>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08"/>
      <c r="BA61" s="259" t="str">
        <f t="shared" si="2"/>
        <v/>
      </c>
      <c r="BB61" s="259" t="str">
        <f t="shared" si="9"/>
        <v/>
      </c>
      <c r="BC61" s="259" t="str">
        <f>S281</f>
        <v/>
      </c>
      <c r="BD61" s="250"/>
    </row>
    <row r="62" spans="1:56" s="286" customFormat="1" ht="25.15" customHeight="1" x14ac:dyDescent="0.2">
      <c r="A62" s="879" t="s">
        <v>546</v>
      </c>
      <c r="B62" s="880"/>
      <c r="C62" s="880"/>
      <c r="D62" s="880"/>
      <c r="E62" s="880"/>
      <c r="F62" s="880"/>
      <c r="G62" s="880"/>
      <c r="H62" s="880"/>
      <c r="I62" s="880"/>
      <c r="J62" s="880"/>
      <c r="K62" s="880"/>
      <c r="L62" s="880"/>
      <c r="M62" s="880"/>
      <c r="N62" s="880"/>
      <c r="O62" s="880"/>
      <c r="P62" s="880"/>
      <c r="Q62" s="881"/>
      <c r="R62" s="310"/>
      <c r="S62" s="319"/>
      <c r="T62" s="310"/>
      <c r="U62" s="310"/>
      <c r="V62" s="310"/>
      <c r="W62" s="322"/>
      <c r="X62" s="320"/>
      <c r="Y62" s="320"/>
      <c r="Z62" s="320"/>
      <c r="AA62" s="322"/>
      <c r="AB62" s="322"/>
      <c r="AC62" s="322"/>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08"/>
      <c r="BA62" s="259" t="str">
        <f t="shared" si="2"/>
        <v/>
      </c>
      <c r="BB62" s="259" t="str">
        <f t="shared" si="9"/>
        <v/>
      </c>
      <c r="BC62" s="259" t="str">
        <f>S282</f>
        <v/>
      </c>
      <c r="BD62" s="250"/>
    </row>
    <row r="63" spans="1:56" s="286" customFormat="1" ht="25.15" customHeight="1" x14ac:dyDescent="0.25">
      <c r="A63" s="870" t="s">
        <v>450</v>
      </c>
      <c r="B63" s="826"/>
      <c r="C63" s="826"/>
      <c r="D63" s="826"/>
      <c r="E63" s="826" t="s">
        <v>478</v>
      </c>
      <c r="F63" s="826"/>
      <c r="G63" s="826"/>
      <c r="H63" s="826"/>
      <c r="I63" s="826" t="s">
        <v>479</v>
      </c>
      <c r="J63" s="826"/>
      <c r="K63" s="826"/>
      <c r="L63" s="826"/>
      <c r="M63" s="871" t="s">
        <v>465</v>
      </c>
      <c r="N63" s="826"/>
      <c r="O63" s="826"/>
      <c r="P63" s="826"/>
      <c r="Q63" s="872"/>
      <c r="R63" s="315"/>
      <c r="S63" s="836" t="s">
        <v>491</v>
      </c>
      <c r="T63" s="836"/>
      <c r="U63" s="836"/>
      <c r="V63" s="836"/>
      <c r="W63" s="322"/>
      <c r="X63" s="322"/>
      <c r="Y63" s="322"/>
      <c r="Z63" s="322"/>
      <c r="AA63" s="322"/>
      <c r="AB63" s="322"/>
      <c r="AC63" s="322"/>
      <c r="AD63" s="328"/>
      <c r="AE63" s="340"/>
      <c r="AF63" s="340"/>
      <c r="AG63" s="340"/>
      <c r="AH63" s="340"/>
      <c r="AI63" s="340"/>
      <c r="AJ63" s="340"/>
      <c r="AK63" s="340"/>
      <c r="AL63" s="340"/>
      <c r="AM63" s="340"/>
      <c r="AN63" s="340"/>
      <c r="AO63" s="340"/>
      <c r="AP63" s="340"/>
      <c r="AQ63" s="340"/>
      <c r="AR63" s="340"/>
      <c r="AS63" s="340"/>
      <c r="AT63" s="340"/>
      <c r="AU63" s="340"/>
      <c r="AV63" s="340"/>
      <c r="AW63" s="340"/>
      <c r="AX63" s="340"/>
      <c r="AY63" s="340"/>
      <c r="AZ63" s="308"/>
      <c r="BA63" s="259" t="str">
        <f t="shared" si="2"/>
        <v/>
      </c>
      <c r="BB63" s="259" t="str">
        <f t="shared" si="9"/>
        <v/>
      </c>
      <c r="BC63" s="259" t="str">
        <f>S283</f>
        <v/>
      </c>
      <c r="BD63" s="250"/>
    </row>
    <row r="64" spans="1:56" s="286" customFormat="1" ht="25.15" customHeight="1" thickBot="1" x14ac:dyDescent="0.3">
      <c r="A64" s="791"/>
      <c r="B64" s="792"/>
      <c r="C64" s="792"/>
      <c r="D64" s="792"/>
      <c r="E64" s="792"/>
      <c r="F64" s="792"/>
      <c r="G64" s="792"/>
      <c r="H64" s="792"/>
      <c r="I64" s="792"/>
      <c r="J64" s="792"/>
      <c r="K64" s="792"/>
      <c r="L64" s="792"/>
      <c r="M64" s="894"/>
      <c r="N64" s="894"/>
      <c r="O64" s="894"/>
      <c r="P64" s="894"/>
      <c r="Q64" s="895"/>
      <c r="R64" s="310"/>
      <c r="S64" s="323" t="str">
        <f>IF(ISBLANK(A64),"",VLOOKUP(A64,VProjType,2,FALSE))</f>
        <v/>
      </c>
      <c r="T64" s="323" t="str">
        <f>IF(ISBLANK(E64),"",VLOOKUP(E64,VSubtype1,2,FALSE))</f>
        <v/>
      </c>
      <c r="U64" s="323" t="str">
        <f>IF(ISBLANK(I64),"",VLOOKUP(I64,VSubtype2,2,FALSE))</f>
        <v/>
      </c>
      <c r="V64" s="323" t="str">
        <f>IF(ISBLANK(M64),"",VLOOKUP(M64,VSubtype3,2,FALSE))</f>
        <v/>
      </c>
      <c r="W64" s="322"/>
      <c r="X64" s="322"/>
      <c r="Y64" s="322"/>
      <c r="Z64" s="322"/>
      <c r="AA64" s="322"/>
      <c r="AB64" s="322"/>
      <c r="AC64" s="322"/>
      <c r="AD64" s="328"/>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08"/>
      <c r="BA64" s="259" t="str">
        <f t="shared" si="2"/>
        <v/>
      </c>
      <c r="BB64" s="259" t="str">
        <f t="shared" si="9"/>
        <v/>
      </c>
      <c r="BC64" s="259" t="str">
        <f>S291</f>
        <v/>
      </c>
      <c r="BD64" s="250"/>
    </row>
    <row r="65" spans="1:56" s="286" customFormat="1" ht="25.15" customHeight="1" x14ac:dyDescent="0.25">
      <c r="A65" s="896" t="s">
        <v>483</v>
      </c>
      <c r="B65" s="897"/>
      <c r="C65" s="897"/>
      <c r="D65" s="897"/>
      <c r="E65" s="897"/>
      <c r="F65" s="897"/>
      <c r="G65" s="897"/>
      <c r="H65" s="897"/>
      <c r="I65" s="897"/>
      <c r="J65" s="897"/>
      <c r="K65" s="897"/>
      <c r="L65" s="897"/>
      <c r="M65" s="897"/>
      <c r="N65" s="897"/>
      <c r="O65" s="897"/>
      <c r="P65" s="897"/>
      <c r="Q65" s="898"/>
      <c r="R65" s="320"/>
      <c r="S65" s="324" t="s">
        <v>537</v>
      </c>
      <c r="T65" s="320"/>
      <c r="U65" s="320"/>
      <c r="V65" s="320"/>
      <c r="W65" s="332"/>
      <c r="X65" s="322"/>
      <c r="Y65" s="322"/>
      <c r="Z65" s="322"/>
      <c r="AA65" s="322"/>
      <c r="AB65" s="322"/>
      <c r="AC65" s="322"/>
      <c r="AD65" s="328"/>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08"/>
      <c r="BA65" s="259" t="str">
        <f t="shared" si="2"/>
        <v/>
      </c>
      <c r="BB65" s="259" t="str">
        <f t="shared" si="9"/>
        <v/>
      </c>
      <c r="BC65" s="259" t="str">
        <f>S292</f>
        <v/>
      </c>
      <c r="BD65" s="266"/>
    </row>
    <row r="66" spans="1:56" s="286" customFormat="1" ht="25.15" customHeight="1" x14ac:dyDescent="0.25">
      <c r="A66" s="859" t="s">
        <v>544</v>
      </c>
      <c r="B66" s="860"/>
      <c r="C66" s="860"/>
      <c r="D66" s="860"/>
      <c r="E66" s="860"/>
      <c r="F66" s="860"/>
      <c r="G66" s="860"/>
      <c r="H66" s="860"/>
      <c r="I66" s="860"/>
      <c r="J66" s="860"/>
      <c r="K66" s="860"/>
      <c r="L66" s="861"/>
      <c r="M66" s="876"/>
      <c r="N66" s="877"/>
      <c r="O66" s="877"/>
      <c r="P66" s="877"/>
      <c r="Q66" s="878"/>
      <c r="R66" s="320"/>
      <c r="S66" s="325" t="str">
        <f>IF(ISBLANK(M66),"",VLOOKUP(M66,VRemote,2,FALSE))</f>
        <v/>
      </c>
      <c r="T66" s="326" t="s">
        <v>545</v>
      </c>
      <c r="U66" s="320"/>
      <c r="V66" s="320"/>
      <c r="W66" s="320"/>
      <c r="X66" s="322"/>
      <c r="Y66" s="322"/>
      <c r="Z66" s="322"/>
      <c r="AA66" s="322"/>
      <c r="AB66" s="322"/>
      <c r="AC66" s="322"/>
      <c r="AD66" s="328"/>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08"/>
      <c r="BA66" s="292" t="str">
        <f t="shared" si="2"/>
        <v/>
      </c>
      <c r="BB66" s="292" t="str">
        <f>IF(BC66="","",$Q$307)</f>
        <v/>
      </c>
      <c r="BC66" s="292" t="str">
        <f>S322</f>
        <v/>
      </c>
      <c r="BD66" s="260" t="s">
        <v>581</v>
      </c>
    </row>
    <row r="67" spans="1:56" s="286" customFormat="1" ht="25.15" customHeight="1" x14ac:dyDescent="0.25">
      <c r="A67" s="859" t="s">
        <v>529</v>
      </c>
      <c r="B67" s="860"/>
      <c r="C67" s="860"/>
      <c r="D67" s="860"/>
      <c r="E67" s="860"/>
      <c r="F67" s="860"/>
      <c r="G67" s="860"/>
      <c r="H67" s="860"/>
      <c r="I67" s="860"/>
      <c r="J67" s="860"/>
      <c r="K67" s="860"/>
      <c r="L67" s="860"/>
      <c r="M67" s="876"/>
      <c r="N67" s="877"/>
      <c r="O67" s="877"/>
      <c r="P67" s="877"/>
      <c r="Q67" s="878"/>
      <c r="R67" s="322"/>
      <c r="S67" s="325" t="str">
        <f>IF(ISBLANK(M67),"",VLOOKUP(M67,VCapacity,2,FALSE))</f>
        <v/>
      </c>
      <c r="T67" s="327" t="s">
        <v>539</v>
      </c>
      <c r="U67" s="322"/>
      <c r="V67" s="322"/>
      <c r="W67" s="322"/>
      <c r="X67" s="322"/>
      <c r="Y67" s="322"/>
      <c r="Z67" s="322"/>
      <c r="AA67" s="322"/>
      <c r="AB67" s="322"/>
      <c r="AC67" s="322"/>
      <c r="AD67" s="328"/>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08"/>
      <c r="BA67" s="292" t="str">
        <f t="shared" si="2"/>
        <v/>
      </c>
      <c r="BB67" s="292" t="str">
        <f t="shared" ref="BB67:BB74" si="10">IF(BC67="","",$Q$307)</f>
        <v/>
      </c>
      <c r="BC67" s="292" t="str">
        <f>T322</f>
        <v/>
      </c>
      <c r="BD67" s="250"/>
    </row>
    <row r="68" spans="1:56" s="286" customFormat="1" ht="25.15" customHeight="1" x14ac:dyDescent="0.25">
      <c r="A68" s="859" t="s">
        <v>484</v>
      </c>
      <c r="B68" s="860"/>
      <c r="C68" s="860"/>
      <c r="D68" s="860"/>
      <c r="E68" s="860"/>
      <c r="F68" s="860"/>
      <c r="G68" s="860"/>
      <c r="H68" s="860"/>
      <c r="I68" s="860"/>
      <c r="J68" s="860"/>
      <c r="K68" s="860"/>
      <c r="L68" s="860"/>
      <c r="M68" s="876"/>
      <c r="N68" s="877"/>
      <c r="O68" s="877"/>
      <c r="P68" s="877"/>
      <c r="Q68" s="878"/>
      <c r="R68" s="322"/>
      <c r="S68" s="325" t="str">
        <f>IF(ISBLANK(M68),"",VLOOKUP(M68,VPriorCap,2,FALSE))</f>
        <v/>
      </c>
      <c r="T68" s="327" t="s">
        <v>489</v>
      </c>
      <c r="U68" s="322"/>
      <c r="V68" s="322"/>
      <c r="W68" s="322"/>
      <c r="X68" s="322"/>
      <c r="Y68" s="322"/>
      <c r="Z68" s="322"/>
      <c r="AA68" s="322"/>
      <c r="AB68" s="322"/>
      <c r="AC68" s="322"/>
      <c r="AD68" s="328"/>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08"/>
      <c r="BA68" s="292" t="str">
        <f t="shared" si="2"/>
        <v/>
      </c>
      <c r="BB68" s="292" t="str">
        <f t="shared" si="10"/>
        <v/>
      </c>
      <c r="BC68" s="292" t="str">
        <f>U322</f>
        <v/>
      </c>
      <c r="BD68" s="250"/>
    </row>
    <row r="69" spans="1:56" s="286" customFormat="1" ht="25.15" customHeight="1" x14ac:dyDescent="0.25">
      <c r="A69" s="780" t="s">
        <v>515</v>
      </c>
      <c r="B69" s="781"/>
      <c r="C69" s="781"/>
      <c r="D69" s="781"/>
      <c r="E69" s="781"/>
      <c r="F69" s="781"/>
      <c r="G69" s="781"/>
      <c r="H69" s="781"/>
      <c r="I69" s="781"/>
      <c r="J69" s="781"/>
      <c r="K69" s="781"/>
      <c r="L69" s="781"/>
      <c r="M69" s="781"/>
      <c r="N69" s="781"/>
      <c r="O69" s="781"/>
      <c r="P69" s="781"/>
      <c r="Q69" s="782"/>
      <c r="R69" s="322"/>
      <c r="S69" s="330" t="str">
        <f>IF(ISBLANK(A70),"",A70)</f>
        <v/>
      </c>
      <c r="T69" s="327" t="s">
        <v>490</v>
      </c>
      <c r="U69" s="322"/>
      <c r="V69" s="322"/>
      <c r="W69" s="322"/>
      <c r="X69" s="322"/>
      <c r="Y69" s="322"/>
      <c r="Z69" s="322"/>
      <c r="AA69" s="322"/>
      <c r="AB69" s="322"/>
      <c r="AC69" s="322"/>
      <c r="AD69" s="328"/>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08"/>
      <c r="BA69" s="292" t="str">
        <f t="shared" ref="BA69:BA110" si="11">IF(BC69="","",$O$6)</f>
        <v/>
      </c>
      <c r="BB69" s="292" t="str">
        <f t="shared" si="10"/>
        <v/>
      </c>
      <c r="BC69" s="292" t="str">
        <f>V322</f>
        <v/>
      </c>
      <c r="BD69" s="250"/>
    </row>
    <row r="70" spans="1:56" s="286" customFormat="1" ht="25.15" customHeight="1" x14ac:dyDescent="0.25">
      <c r="A70" s="862"/>
      <c r="B70" s="845"/>
      <c r="C70" s="845"/>
      <c r="D70" s="845"/>
      <c r="E70" s="845"/>
      <c r="F70" s="845"/>
      <c r="G70" s="845"/>
      <c r="H70" s="845"/>
      <c r="I70" s="845"/>
      <c r="J70" s="845"/>
      <c r="K70" s="845"/>
      <c r="L70" s="845"/>
      <c r="M70" s="845"/>
      <c r="N70" s="845"/>
      <c r="O70" s="845"/>
      <c r="P70" s="845"/>
      <c r="Q70" s="863"/>
      <c r="R70" s="322"/>
      <c r="S70" s="322"/>
      <c r="T70" s="322"/>
      <c r="U70" s="322"/>
      <c r="V70" s="322"/>
      <c r="W70" s="322"/>
      <c r="X70" s="322"/>
      <c r="Y70" s="322"/>
      <c r="Z70" s="322"/>
      <c r="AA70" s="322"/>
      <c r="AB70" s="322"/>
      <c r="AC70" s="322"/>
      <c r="AD70" s="328"/>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08"/>
      <c r="BA70" s="292" t="str">
        <f t="shared" si="11"/>
        <v/>
      </c>
      <c r="BB70" s="292" t="str">
        <f t="shared" si="10"/>
        <v/>
      </c>
      <c r="BC70" s="292" t="str">
        <f>S324</f>
        <v/>
      </c>
      <c r="BD70" s="250"/>
    </row>
    <row r="71" spans="1:56" s="286" customFormat="1" ht="25.15" customHeight="1" x14ac:dyDescent="0.25">
      <c r="A71" s="864"/>
      <c r="B71" s="865"/>
      <c r="C71" s="865"/>
      <c r="D71" s="865"/>
      <c r="E71" s="865"/>
      <c r="F71" s="865"/>
      <c r="G71" s="865"/>
      <c r="H71" s="865"/>
      <c r="I71" s="865"/>
      <c r="J71" s="865"/>
      <c r="K71" s="865"/>
      <c r="L71" s="865"/>
      <c r="M71" s="865"/>
      <c r="N71" s="865"/>
      <c r="O71" s="865"/>
      <c r="P71" s="865"/>
      <c r="Q71" s="866"/>
      <c r="R71" s="322"/>
      <c r="S71" s="322"/>
      <c r="T71" s="322"/>
      <c r="U71" s="322"/>
      <c r="V71" s="322"/>
      <c r="W71" s="322"/>
      <c r="X71" s="322"/>
      <c r="Y71" s="322"/>
      <c r="Z71" s="322"/>
      <c r="AA71" s="340"/>
      <c r="AB71" s="340"/>
      <c r="AC71" s="340"/>
      <c r="AD71" s="328"/>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08"/>
      <c r="BA71" s="292" t="str">
        <f t="shared" si="11"/>
        <v/>
      </c>
      <c r="BB71" s="292" t="str">
        <f t="shared" si="10"/>
        <v/>
      </c>
      <c r="BC71" s="292" t="str">
        <f>S325</f>
        <v/>
      </c>
      <c r="BD71" s="250"/>
    </row>
    <row r="72" spans="1:56" s="286" customFormat="1" ht="25.15" customHeight="1" x14ac:dyDescent="0.25">
      <c r="A72" s="885" t="s">
        <v>514</v>
      </c>
      <c r="B72" s="886"/>
      <c r="C72" s="886"/>
      <c r="D72" s="886"/>
      <c r="E72" s="886"/>
      <c r="F72" s="886"/>
      <c r="G72" s="886"/>
      <c r="H72" s="886"/>
      <c r="I72" s="886"/>
      <c r="J72" s="886"/>
      <c r="K72" s="886"/>
      <c r="L72" s="886"/>
      <c r="M72" s="886"/>
      <c r="N72" s="886"/>
      <c r="O72" s="886"/>
      <c r="P72" s="886"/>
      <c r="Q72" s="887"/>
      <c r="R72" s="324"/>
      <c r="S72" s="324"/>
      <c r="T72" s="324"/>
      <c r="U72" s="324"/>
      <c r="V72" s="324"/>
      <c r="W72" s="322"/>
      <c r="X72" s="340"/>
      <c r="Y72" s="340"/>
      <c r="Z72" s="340"/>
      <c r="AA72" s="320"/>
      <c r="AB72" s="320"/>
      <c r="AC72" s="320"/>
      <c r="AD72" s="328"/>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08"/>
      <c r="BA72" s="292" t="str">
        <f t="shared" si="11"/>
        <v/>
      </c>
      <c r="BB72" s="292" t="str">
        <f t="shared" si="10"/>
        <v/>
      </c>
      <c r="BC72" s="292" t="str">
        <f>S326</f>
        <v/>
      </c>
      <c r="BD72" s="250"/>
    </row>
    <row r="73" spans="1:56" s="286" customFormat="1" ht="25.15" customHeight="1" x14ac:dyDescent="0.2">
      <c r="A73" s="862"/>
      <c r="B73" s="845"/>
      <c r="C73" s="845"/>
      <c r="D73" s="845"/>
      <c r="E73" s="845"/>
      <c r="F73" s="845"/>
      <c r="G73" s="845"/>
      <c r="H73" s="845"/>
      <c r="I73" s="845"/>
      <c r="J73" s="845"/>
      <c r="K73" s="845"/>
      <c r="L73" s="845"/>
      <c r="M73" s="845"/>
      <c r="N73" s="845"/>
      <c r="O73" s="845"/>
      <c r="P73" s="845"/>
      <c r="Q73" s="846"/>
      <c r="R73" s="322"/>
      <c r="S73" s="330" t="str">
        <f>IF(ISBLANK(A73),"",A73)</f>
        <v/>
      </c>
      <c r="T73" s="289" t="s">
        <v>36</v>
      </c>
      <c r="U73" s="322"/>
      <c r="V73" s="322"/>
      <c r="W73" s="322"/>
      <c r="X73" s="324"/>
      <c r="Y73" s="324"/>
      <c r="Z73" s="324"/>
      <c r="AA73" s="322"/>
      <c r="AB73" s="322"/>
      <c r="AC73" s="322"/>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08"/>
      <c r="BA73" s="292" t="str">
        <f t="shared" si="11"/>
        <v/>
      </c>
      <c r="BB73" s="292" t="str">
        <f t="shared" si="10"/>
        <v/>
      </c>
      <c r="BC73" s="292" t="str">
        <f>S334</f>
        <v/>
      </c>
      <c r="BD73" s="250"/>
    </row>
    <row r="74" spans="1:56" s="286" customFormat="1" ht="25.15" customHeight="1" thickBot="1" x14ac:dyDescent="0.3">
      <c r="A74" s="856"/>
      <c r="B74" s="857"/>
      <c r="C74" s="857"/>
      <c r="D74" s="857"/>
      <c r="E74" s="857"/>
      <c r="F74" s="857"/>
      <c r="G74" s="857"/>
      <c r="H74" s="857"/>
      <c r="I74" s="857"/>
      <c r="J74" s="857"/>
      <c r="K74" s="857"/>
      <c r="L74" s="857"/>
      <c r="M74" s="857"/>
      <c r="N74" s="857"/>
      <c r="O74" s="857"/>
      <c r="P74" s="857"/>
      <c r="Q74" s="858"/>
      <c r="R74" s="322"/>
      <c r="S74" s="322"/>
      <c r="T74" s="289"/>
      <c r="U74" s="322"/>
      <c r="V74" s="322"/>
      <c r="W74" s="322"/>
      <c r="X74" s="322"/>
      <c r="Y74" s="322"/>
      <c r="Z74" s="322"/>
      <c r="AA74" s="322"/>
      <c r="AB74" s="322"/>
      <c r="AC74" s="322"/>
      <c r="AD74" s="328"/>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08"/>
      <c r="BA74" s="292" t="str">
        <f t="shared" si="11"/>
        <v/>
      </c>
      <c r="BB74" s="292" t="str">
        <f t="shared" si="10"/>
        <v/>
      </c>
      <c r="BC74" s="292" t="str">
        <f>S335</f>
        <v/>
      </c>
      <c r="BD74" s="250"/>
    </row>
    <row r="75" spans="1:56" s="286" customFormat="1" ht="25.15" customHeight="1" x14ac:dyDescent="0.25">
      <c r="A75" s="850" t="s">
        <v>504</v>
      </c>
      <c r="B75" s="851"/>
      <c r="C75" s="851"/>
      <c r="D75" s="851"/>
      <c r="E75" s="851"/>
      <c r="F75" s="851"/>
      <c r="G75" s="851"/>
      <c r="H75" s="851"/>
      <c r="I75" s="851"/>
      <c r="J75" s="851"/>
      <c r="K75" s="851"/>
      <c r="L75" s="851"/>
      <c r="M75" s="851"/>
      <c r="N75" s="851"/>
      <c r="O75" s="851"/>
      <c r="P75" s="851"/>
      <c r="Q75" s="852"/>
      <c r="R75" s="320"/>
      <c r="S75" s="324" t="s">
        <v>540</v>
      </c>
      <c r="T75" s="320"/>
      <c r="U75" s="320"/>
      <c r="V75" s="320"/>
      <c r="W75" s="322"/>
      <c r="X75" s="322"/>
      <c r="Y75" s="322"/>
      <c r="Z75" s="322"/>
      <c r="AA75" s="322"/>
      <c r="AB75" s="322"/>
      <c r="AC75" s="322"/>
      <c r="AD75" s="328"/>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08"/>
      <c r="BA75" s="259" t="str">
        <f t="shared" si="11"/>
        <v/>
      </c>
      <c r="BB75" s="259" t="str">
        <f>IF(BC75="","",$Q$350)</f>
        <v/>
      </c>
      <c r="BC75" s="259" t="str">
        <f>S365</f>
        <v/>
      </c>
      <c r="BD75" s="260" t="s">
        <v>582</v>
      </c>
    </row>
    <row r="76" spans="1:56" s="286" customFormat="1" ht="25.15" customHeight="1" x14ac:dyDescent="0.25">
      <c r="A76" s="891" t="s">
        <v>557</v>
      </c>
      <c r="B76" s="892"/>
      <c r="C76" s="892"/>
      <c r="D76" s="892"/>
      <c r="E76" s="892"/>
      <c r="F76" s="892"/>
      <c r="G76" s="892"/>
      <c r="H76" s="892"/>
      <c r="I76" s="892"/>
      <c r="J76" s="892"/>
      <c r="K76" s="892"/>
      <c r="L76" s="893"/>
      <c r="M76" s="876"/>
      <c r="N76" s="877"/>
      <c r="O76" s="877"/>
      <c r="P76" s="877"/>
      <c r="Q76" s="878"/>
      <c r="R76" s="322"/>
      <c r="S76" s="331" t="str">
        <f>IF(ISBLANK(M76),"",VLOOKUP(M76,VImpact,2,FALSE))</f>
        <v/>
      </c>
      <c r="T76" s="327" t="s">
        <v>493</v>
      </c>
      <c r="U76" s="322"/>
      <c r="V76" s="322"/>
      <c r="W76" s="340"/>
      <c r="X76" s="322"/>
      <c r="Y76" s="322"/>
      <c r="Z76" s="322"/>
      <c r="AA76" s="322"/>
      <c r="AB76" s="322"/>
      <c r="AC76" s="322"/>
      <c r="AD76" s="328"/>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08"/>
      <c r="BA76" s="259" t="str">
        <f t="shared" si="11"/>
        <v/>
      </c>
      <c r="BB76" s="259" t="str">
        <f t="shared" ref="BB76:BB83" si="12">IF(BC76="","",$Q$350)</f>
        <v/>
      </c>
      <c r="BC76" s="259" t="str">
        <f>T365</f>
        <v/>
      </c>
      <c r="BD76" s="266"/>
    </row>
    <row r="77" spans="1:56" s="286" customFormat="1" ht="25.15" customHeight="1" x14ac:dyDescent="0.25">
      <c r="A77" s="859" t="s">
        <v>554</v>
      </c>
      <c r="B77" s="860"/>
      <c r="C77" s="860"/>
      <c r="D77" s="860"/>
      <c r="E77" s="860"/>
      <c r="F77" s="860"/>
      <c r="G77" s="860"/>
      <c r="H77" s="860"/>
      <c r="I77" s="860"/>
      <c r="J77" s="860"/>
      <c r="K77" s="860"/>
      <c r="L77" s="861"/>
      <c r="M77" s="876"/>
      <c r="N77" s="877"/>
      <c r="O77" s="877"/>
      <c r="P77" s="877"/>
      <c r="Q77" s="878"/>
      <c r="R77" s="322"/>
      <c r="S77" s="331" t="str">
        <f>IF(ISBLANK(M77),"",VLOOKUP(M77,VEvidence,2,FALSE))</f>
        <v/>
      </c>
      <c r="T77" s="307" t="s">
        <v>494</v>
      </c>
      <c r="U77" s="322"/>
      <c r="V77" s="322"/>
      <c r="W77" s="324"/>
      <c r="X77" s="322"/>
      <c r="Y77" s="322"/>
      <c r="Z77" s="322"/>
      <c r="AA77" s="322"/>
      <c r="AB77" s="322"/>
      <c r="AC77" s="322"/>
      <c r="AD77" s="328"/>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08"/>
      <c r="BA77" s="259" t="str">
        <f t="shared" si="11"/>
        <v/>
      </c>
      <c r="BB77" s="259" t="str">
        <f t="shared" si="12"/>
        <v/>
      </c>
      <c r="BC77" s="259" t="str">
        <f>U365</f>
        <v/>
      </c>
      <c r="BD77" s="250"/>
    </row>
    <row r="78" spans="1:56" s="286" customFormat="1" ht="25.15" customHeight="1" x14ac:dyDescent="0.25">
      <c r="A78" s="888" t="s">
        <v>512</v>
      </c>
      <c r="B78" s="889"/>
      <c r="C78" s="889"/>
      <c r="D78" s="889"/>
      <c r="E78" s="889"/>
      <c r="F78" s="889"/>
      <c r="G78" s="889"/>
      <c r="H78" s="889"/>
      <c r="I78" s="889"/>
      <c r="J78" s="889"/>
      <c r="K78" s="889"/>
      <c r="L78" s="889"/>
      <c r="M78" s="889"/>
      <c r="N78" s="889"/>
      <c r="O78" s="889"/>
      <c r="P78" s="889"/>
      <c r="Q78" s="890"/>
      <c r="R78" s="322"/>
      <c r="S78" s="330" t="str">
        <f>IF(ISBLANK(A79),"",A79)</f>
        <v/>
      </c>
      <c r="T78" s="289" t="s">
        <v>35</v>
      </c>
      <c r="U78" s="322"/>
      <c r="V78" s="322"/>
      <c r="W78" s="322"/>
      <c r="X78" s="322"/>
      <c r="Y78" s="322"/>
      <c r="Z78" s="322"/>
      <c r="AA78" s="322"/>
      <c r="AB78" s="322"/>
      <c r="AC78" s="322"/>
      <c r="AD78" s="328"/>
      <c r="AE78" s="340"/>
      <c r="AF78" s="340"/>
      <c r="AG78" s="340"/>
      <c r="AH78" s="340"/>
      <c r="AI78" s="340"/>
      <c r="AJ78" s="340"/>
      <c r="AK78" s="340"/>
      <c r="AL78" s="340"/>
      <c r="AM78" s="340"/>
      <c r="AN78" s="340"/>
      <c r="AO78" s="340"/>
      <c r="AP78" s="340"/>
      <c r="AQ78" s="340"/>
      <c r="AR78" s="340"/>
      <c r="AS78" s="340"/>
      <c r="AT78" s="340"/>
      <c r="AU78" s="340"/>
      <c r="AV78" s="340"/>
      <c r="AW78" s="340"/>
      <c r="AX78" s="340"/>
      <c r="AY78" s="340"/>
      <c r="AZ78" s="308"/>
      <c r="BA78" s="259" t="str">
        <f t="shared" si="11"/>
        <v/>
      </c>
      <c r="BB78" s="259" t="str">
        <f t="shared" si="12"/>
        <v/>
      </c>
      <c r="BC78" s="259" t="str">
        <f>V365</f>
        <v/>
      </c>
      <c r="BD78" s="250"/>
    </row>
    <row r="79" spans="1:56" ht="25.15" customHeight="1" x14ac:dyDescent="0.25">
      <c r="A79" s="862"/>
      <c r="B79" s="845"/>
      <c r="C79" s="845"/>
      <c r="D79" s="845"/>
      <c r="E79" s="845"/>
      <c r="F79" s="845"/>
      <c r="G79" s="845"/>
      <c r="H79" s="845"/>
      <c r="I79" s="845"/>
      <c r="J79" s="845"/>
      <c r="K79" s="845"/>
      <c r="L79" s="845"/>
      <c r="M79" s="845"/>
      <c r="N79" s="845"/>
      <c r="O79" s="845"/>
      <c r="P79" s="845"/>
      <c r="Q79" s="846"/>
      <c r="R79" s="322"/>
      <c r="S79" s="322"/>
      <c r="T79" s="333"/>
      <c r="U79" s="322"/>
      <c r="V79" s="322"/>
      <c r="W79" s="322"/>
      <c r="X79" s="322"/>
      <c r="Y79" s="322"/>
      <c r="Z79" s="322"/>
      <c r="AA79" s="322"/>
      <c r="AB79" s="322"/>
      <c r="AC79" s="322"/>
      <c r="AD79" s="328"/>
      <c r="AE79" s="249"/>
      <c r="AF79" s="249"/>
      <c r="AG79" s="249"/>
      <c r="AH79" s="249"/>
      <c r="AI79" s="249"/>
      <c r="AJ79" s="249"/>
      <c r="AK79" s="249"/>
      <c r="AL79" s="249"/>
      <c r="AM79" s="249"/>
      <c r="AN79" s="249"/>
      <c r="AO79" s="249"/>
      <c r="AP79" s="249"/>
      <c r="AQ79" s="249"/>
      <c r="AR79" s="249"/>
      <c r="AS79" s="249"/>
      <c r="AT79" s="249"/>
      <c r="AU79" s="249"/>
      <c r="AV79" s="249"/>
      <c r="AW79" s="249"/>
      <c r="AX79" s="249"/>
      <c r="AY79" s="249"/>
      <c r="AZ79" s="308"/>
      <c r="BA79" s="259" t="str">
        <f t="shared" si="11"/>
        <v/>
      </c>
      <c r="BB79" s="259" t="str">
        <f t="shared" si="12"/>
        <v/>
      </c>
      <c r="BC79" s="259" t="str">
        <f>S367</f>
        <v/>
      </c>
    </row>
    <row r="80" spans="1:56" ht="25.15" customHeight="1" x14ac:dyDescent="0.25">
      <c r="A80" s="882"/>
      <c r="B80" s="883"/>
      <c r="C80" s="883"/>
      <c r="D80" s="883"/>
      <c r="E80" s="883"/>
      <c r="F80" s="883"/>
      <c r="G80" s="883"/>
      <c r="H80" s="883"/>
      <c r="I80" s="883"/>
      <c r="J80" s="883"/>
      <c r="K80" s="883"/>
      <c r="L80" s="883"/>
      <c r="M80" s="883"/>
      <c r="N80" s="883"/>
      <c r="O80" s="883"/>
      <c r="P80" s="883"/>
      <c r="Q80" s="884"/>
      <c r="R80" s="322"/>
      <c r="S80" s="322"/>
      <c r="T80" s="333"/>
      <c r="U80" s="322"/>
      <c r="V80" s="322"/>
      <c r="W80" s="322"/>
      <c r="X80" s="322"/>
      <c r="Y80" s="322"/>
      <c r="Z80" s="322"/>
      <c r="AA80" s="322"/>
      <c r="AB80" s="322"/>
      <c r="AC80" s="322"/>
      <c r="AD80" s="328"/>
      <c r="AE80" s="249"/>
      <c r="AF80" s="249"/>
      <c r="AG80" s="249"/>
      <c r="AH80" s="249"/>
      <c r="AI80" s="249"/>
      <c r="AJ80" s="249"/>
      <c r="AK80" s="249"/>
      <c r="AL80" s="249"/>
      <c r="AM80" s="249"/>
      <c r="AN80" s="249"/>
      <c r="AO80" s="249"/>
      <c r="AP80" s="249"/>
      <c r="AQ80" s="249"/>
      <c r="AR80" s="249"/>
      <c r="AS80" s="249"/>
      <c r="AT80" s="249"/>
      <c r="AU80" s="249"/>
      <c r="AV80" s="249"/>
      <c r="AW80" s="249"/>
      <c r="AX80" s="249"/>
      <c r="AY80" s="249"/>
      <c r="AZ80" s="308"/>
      <c r="BA80" s="259" t="str">
        <f t="shared" si="11"/>
        <v/>
      </c>
      <c r="BB80" s="259" t="str">
        <f t="shared" si="12"/>
        <v/>
      </c>
      <c r="BC80" s="259" t="str">
        <f>S368</f>
        <v/>
      </c>
    </row>
    <row r="81" spans="1:56" ht="25.15" customHeight="1" x14ac:dyDescent="0.25">
      <c r="A81" s="867" t="s">
        <v>513</v>
      </c>
      <c r="B81" s="868"/>
      <c r="C81" s="868"/>
      <c r="D81" s="868"/>
      <c r="E81" s="868"/>
      <c r="F81" s="868"/>
      <c r="G81" s="868"/>
      <c r="H81" s="868"/>
      <c r="I81" s="868"/>
      <c r="J81" s="868"/>
      <c r="K81" s="868"/>
      <c r="L81" s="868"/>
      <c r="M81" s="868"/>
      <c r="N81" s="868"/>
      <c r="O81" s="868"/>
      <c r="P81" s="868"/>
      <c r="Q81" s="869"/>
      <c r="R81" s="322"/>
      <c r="S81" s="330" t="str">
        <f>IF(ISBLANK(A82),"",A82)</f>
        <v/>
      </c>
      <c r="T81" s="333" t="s">
        <v>542</v>
      </c>
      <c r="U81" s="322"/>
      <c r="V81" s="322"/>
      <c r="W81" s="322"/>
      <c r="X81" s="322"/>
      <c r="Y81" s="322"/>
      <c r="Z81" s="322"/>
      <c r="AA81" s="322"/>
      <c r="AB81" s="322"/>
      <c r="AC81" s="322"/>
      <c r="AD81" s="328"/>
      <c r="AE81" s="249"/>
      <c r="AF81" s="249"/>
      <c r="AG81" s="249"/>
      <c r="AH81" s="249"/>
      <c r="AI81" s="249"/>
      <c r="AJ81" s="249"/>
      <c r="AK81" s="249"/>
      <c r="AL81" s="249"/>
      <c r="AM81" s="249"/>
      <c r="AN81" s="249"/>
      <c r="AO81" s="249"/>
      <c r="AP81" s="249"/>
      <c r="AQ81" s="249"/>
      <c r="AR81" s="249"/>
      <c r="AS81" s="249"/>
      <c r="AT81" s="249"/>
      <c r="AU81" s="249"/>
      <c r="AV81" s="249"/>
      <c r="AW81" s="249"/>
      <c r="AX81" s="249"/>
      <c r="AY81" s="249"/>
      <c r="AZ81" s="308"/>
      <c r="BA81" s="259" t="str">
        <f t="shared" si="11"/>
        <v/>
      </c>
      <c r="BB81" s="259" t="str">
        <f t="shared" si="12"/>
        <v/>
      </c>
      <c r="BC81" s="259" t="str">
        <f>S369</f>
        <v/>
      </c>
    </row>
    <row r="82" spans="1:56" ht="25.15" customHeight="1" x14ac:dyDescent="0.25">
      <c r="A82" s="862"/>
      <c r="B82" s="845"/>
      <c r="C82" s="845"/>
      <c r="D82" s="845"/>
      <c r="E82" s="845"/>
      <c r="F82" s="845"/>
      <c r="G82" s="845"/>
      <c r="H82" s="845"/>
      <c r="I82" s="845"/>
      <c r="J82" s="845"/>
      <c r="K82" s="845"/>
      <c r="L82" s="845"/>
      <c r="M82" s="845"/>
      <c r="N82" s="845"/>
      <c r="O82" s="845"/>
      <c r="P82" s="845"/>
      <c r="Q82" s="863"/>
      <c r="R82" s="322"/>
      <c r="U82" s="322"/>
      <c r="V82" s="322"/>
      <c r="W82" s="322"/>
      <c r="X82" s="340"/>
      <c r="Y82" s="340"/>
      <c r="Z82" s="340"/>
      <c r="AA82" s="332"/>
      <c r="AB82" s="332"/>
      <c r="AC82" s="332"/>
      <c r="AD82" s="328"/>
      <c r="AE82" s="249"/>
      <c r="AF82" s="249"/>
      <c r="AG82" s="249"/>
      <c r="AH82" s="249"/>
      <c r="AI82" s="249"/>
      <c r="AJ82" s="249"/>
      <c r="AK82" s="249"/>
      <c r="AL82" s="249"/>
      <c r="AM82" s="249"/>
      <c r="AN82" s="249"/>
      <c r="AO82" s="249"/>
      <c r="AP82" s="249"/>
      <c r="AQ82" s="249"/>
      <c r="AR82" s="249"/>
      <c r="AS82" s="249"/>
      <c r="AT82" s="249"/>
      <c r="AU82" s="249"/>
      <c r="AV82" s="249"/>
      <c r="AW82" s="249"/>
      <c r="AX82" s="249"/>
      <c r="AY82" s="249"/>
      <c r="AZ82" s="308"/>
      <c r="BA82" s="259" t="str">
        <f t="shared" si="11"/>
        <v/>
      </c>
      <c r="BB82" s="259" t="str">
        <f t="shared" si="12"/>
        <v/>
      </c>
      <c r="BC82" s="259" t="str">
        <f>S377</f>
        <v/>
      </c>
    </row>
    <row r="83" spans="1:56" ht="25.15" customHeight="1" thickBot="1" x14ac:dyDescent="0.3">
      <c r="A83" s="847"/>
      <c r="B83" s="848"/>
      <c r="C83" s="848"/>
      <c r="D83" s="848"/>
      <c r="E83" s="848"/>
      <c r="F83" s="848"/>
      <c r="G83" s="848"/>
      <c r="H83" s="848"/>
      <c r="I83" s="848"/>
      <c r="J83" s="848"/>
      <c r="K83" s="848"/>
      <c r="L83" s="848"/>
      <c r="M83" s="848"/>
      <c r="N83" s="848"/>
      <c r="O83" s="848"/>
      <c r="P83" s="848"/>
      <c r="Q83" s="849"/>
      <c r="R83" s="322"/>
      <c r="S83" s="322"/>
      <c r="T83" s="322"/>
      <c r="U83" s="322"/>
      <c r="V83" s="322"/>
      <c r="W83" s="322"/>
      <c r="X83" s="320"/>
      <c r="Y83" s="320"/>
      <c r="Z83" s="320"/>
      <c r="AA83" s="320"/>
      <c r="AB83" s="320"/>
      <c r="AC83" s="320"/>
      <c r="AD83" s="328"/>
      <c r="AE83" s="249"/>
      <c r="AF83" s="249"/>
      <c r="AG83" s="249"/>
      <c r="AH83" s="249"/>
      <c r="AI83" s="249"/>
      <c r="AJ83" s="249"/>
      <c r="AK83" s="249"/>
      <c r="AL83" s="249"/>
      <c r="AM83" s="249"/>
      <c r="AN83" s="249"/>
      <c r="AO83" s="249"/>
      <c r="AP83" s="249"/>
      <c r="AQ83" s="249"/>
      <c r="AR83" s="249"/>
      <c r="AS83" s="249"/>
      <c r="AT83" s="249"/>
      <c r="AU83" s="249"/>
      <c r="AV83" s="249"/>
      <c r="AW83" s="249"/>
      <c r="AX83" s="249"/>
      <c r="AY83" s="249"/>
      <c r="AZ83" s="308"/>
      <c r="BA83" s="259" t="str">
        <f t="shared" si="11"/>
        <v/>
      </c>
      <c r="BB83" s="259" t="str">
        <f t="shared" si="12"/>
        <v/>
      </c>
      <c r="BC83" s="259" t="str">
        <f>S378</f>
        <v/>
      </c>
      <c r="BD83" s="266"/>
    </row>
    <row r="84" spans="1:56" ht="25.15" customHeight="1" x14ac:dyDescent="0.2">
      <c r="A84" s="841" t="s">
        <v>555</v>
      </c>
      <c r="B84" s="842"/>
      <c r="C84" s="842"/>
      <c r="D84" s="842"/>
      <c r="E84" s="842"/>
      <c r="F84" s="842"/>
      <c r="G84" s="842"/>
      <c r="H84" s="842"/>
      <c r="I84" s="842"/>
      <c r="J84" s="842"/>
      <c r="K84" s="842"/>
      <c r="L84" s="842"/>
      <c r="M84" s="842"/>
      <c r="N84" s="842"/>
      <c r="O84" s="842"/>
      <c r="P84" s="842"/>
      <c r="Q84" s="843"/>
      <c r="S84" s="336" t="str">
        <f>IF(ISBLANK(A85),"",A85)</f>
        <v/>
      </c>
      <c r="T84" s="337" t="s">
        <v>556</v>
      </c>
      <c r="W84" s="322"/>
      <c r="X84" s="322"/>
      <c r="Y84" s="322"/>
      <c r="Z84" s="322"/>
      <c r="AA84" s="322"/>
      <c r="AB84" s="322"/>
      <c r="AC84" s="322"/>
      <c r="AD84" s="340"/>
      <c r="AE84" s="249"/>
      <c r="AF84" s="249"/>
      <c r="AG84" s="249"/>
      <c r="AH84" s="249"/>
      <c r="AI84" s="249"/>
      <c r="AJ84" s="249"/>
      <c r="AK84" s="249"/>
      <c r="AL84" s="249"/>
      <c r="AM84" s="249"/>
      <c r="AN84" s="249"/>
      <c r="AO84" s="249"/>
      <c r="AP84" s="249"/>
      <c r="AQ84" s="249"/>
      <c r="AR84" s="249"/>
      <c r="AS84" s="249"/>
      <c r="AT84" s="249"/>
      <c r="AU84" s="249"/>
      <c r="AV84" s="249"/>
      <c r="AW84" s="249"/>
      <c r="AX84" s="249"/>
      <c r="AY84" s="249"/>
      <c r="AZ84" s="308"/>
      <c r="BA84" s="292" t="str">
        <f t="shared" si="11"/>
        <v/>
      </c>
      <c r="BB84" s="292" t="str">
        <f>IF(BC84="","",$Q$393)</f>
        <v/>
      </c>
      <c r="BC84" s="292" t="str">
        <f>S408</f>
        <v/>
      </c>
      <c r="BD84" s="260" t="s">
        <v>583</v>
      </c>
    </row>
    <row r="85" spans="1:56" ht="25.15" customHeight="1" x14ac:dyDescent="0.25">
      <c r="A85" s="862"/>
      <c r="B85" s="845"/>
      <c r="C85" s="845"/>
      <c r="D85" s="845"/>
      <c r="E85" s="845"/>
      <c r="F85" s="845"/>
      <c r="G85" s="845"/>
      <c r="H85" s="845"/>
      <c r="I85" s="845"/>
      <c r="J85" s="845"/>
      <c r="K85" s="845"/>
      <c r="L85" s="845"/>
      <c r="M85" s="845"/>
      <c r="N85" s="845"/>
      <c r="O85" s="845"/>
      <c r="P85" s="845"/>
      <c r="Q85" s="846"/>
      <c r="W85" s="322"/>
      <c r="X85" s="322"/>
      <c r="Y85" s="322"/>
      <c r="Z85" s="322"/>
      <c r="AA85" s="322"/>
      <c r="AB85" s="322"/>
      <c r="AC85" s="322"/>
      <c r="AD85" s="328"/>
      <c r="AE85" s="249"/>
      <c r="AF85" s="249"/>
      <c r="AG85" s="249"/>
      <c r="AH85" s="249"/>
      <c r="AI85" s="249"/>
      <c r="AJ85" s="249"/>
      <c r="AK85" s="249"/>
      <c r="AL85" s="249"/>
      <c r="AM85" s="249"/>
      <c r="AN85" s="249"/>
      <c r="AO85" s="249"/>
      <c r="AP85" s="249"/>
      <c r="AQ85" s="249"/>
      <c r="AR85" s="249"/>
      <c r="AS85" s="249"/>
      <c r="AT85" s="249"/>
      <c r="AU85" s="249"/>
      <c r="AV85" s="249"/>
      <c r="AW85" s="249"/>
      <c r="AX85" s="249"/>
      <c r="AY85" s="249"/>
      <c r="AZ85" s="308"/>
      <c r="BA85" s="292" t="str">
        <f t="shared" si="11"/>
        <v/>
      </c>
      <c r="BB85" s="292" t="str">
        <f t="shared" ref="BB85:BB92" si="13">IF(BC85="","",$Q$393)</f>
        <v/>
      </c>
      <c r="BC85" s="292" t="str">
        <f>T408</f>
        <v/>
      </c>
    </row>
    <row r="86" spans="1:56" ht="25.15" customHeight="1" thickBot="1" x14ac:dyDescent="0.25">
      <c r="A86" s="847"/>
      <c r="B86" s="848"/>
      <c r="C86" s="848"/>
      <c r="D86" s="848"/>
      <c r="E86" s="848"/>
      <c r="F86" s="848"/>
      <c r="G86" s="848"/>
      <c r="H86" s="848"/>
      <c r="I86" s="848"/>
      <c r="J86" s="848"/>
      <c r="K86" s="848"/>
      <c r="L86" s="848"/>
      <c r="M86" s="848"/>
      <c r="N86" s="848"/>
      <c r="O86" s="848"/>
      <c r="P86" s="848"/>
      <c r="Q86" s="849"/>
      <c r="R86" s="286"/>
      <c r="S86" s="286"/>
      <c r="T86" s="286"/>
      <c r="U86" s="286"/>
      <c r="V86" s="286"/>
      <c r="W86" s="340"/>
      <c r="X86" s="322"/>
      <c r="Y86" s="322"/>
      <c r="Z86" s="322"/>
      <c r="AA86" s="322"/>
      <c r="AB86" s="322"/>
      <c r="AC86" s="322"/>
      <c r="AD86" s="340"/>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08"/>
      <c r="BA86" s="292" t="str">
        <f t="shared" si="11"/>
        <v/>
      </c>
      <c r="BB86" s="292" t="str">
        <f t="shared" si="13"/>
        <v/>
      </c>
      <c r="BC86" s="292" t="str">
        <f>U408</f>
        <v/>
      </c>
    </row>
    <row r="87" spans="1:56" ht="25.15" customHeight="1" x14ac:dyDescent="0.2">
      <c r="A87" s="850" t="s">
        <v>482</v>
      </c>
      <c r="B87" s="851"/>
      <c r="C87" s="851"/>
      <c r="D87" s="851"/>
      <c r="E87" s="851"/>
      <c r="F87" s="851"/>
      <c r="G87" s="851"/>
      <c r="H87" s="851"/>
      <c r="I87" s="851"/>
      <c r="J87" s="851"/>
      <c r="K87" s="851"/>
      <c r="L87" s="851"/>
      <c r="M87" s="851"/>
      <c r="N87" s="851"/>
      <c r="O87" s="851"/>
      <c r="P87" s="851"/>
      <c r="Q87" s="852"/>
      <c r="R87" s="334"/>
      <c r="S87" s="341"/>
      <c r="T87" s="342"/>
      <c r="U87" s="334"/>
      <c r="V87" s="334"/>
      <c r="W87" s="320"/>
      <c r="X87" s="322"/>
      <c r="Y87" s="322"/>
      <c r="Z87" s="322"/>
      <c r="AA87" s="322"/>
      <c r="AB87" s="322"/>
      <c r="AC87" s="322"/>
      <c r="AD87" s="340"/>
      <c r="AE87" s="249"/>
      <c r="AF87" s="249"/>
      <c r="AG87" s="249"/>
      <c r="AH87" s="249"/>
      <c r="AI87" s="249"/>
      <c r="AJ87" s="249"/>
      <c r="AK87" s="249"/>
      <c r="AL87" s="249"/>
      <c r="AM87" s="249"/>
      <c r="AN87" s="249"/>
      <c r="AO87" s="249"/>
      <c r="AP87" s="249"/>
      <c r="AQ87" s="249"/>
      <c r="AR87" s="249"/>
      <c r="AS87" s="249"/>
      <c r="AT87" s="249"/>
      <c r="AU87" s="249"/>
      <c r="AV87" s="249"/>
      <c r="AW87" s="249"/>
      <c r="AX87" s="249"/>
      <c r="AY87" s="249"/>
      <c r="AZ87" s="308"/>
      <c r="BA87" s="292" t="str">
        <f t="shared" si="11"/>
        <v/>
      </c>
      <c r="BB87" s="292" t="str">
        <f t="shared" si="13"/>
        <v/>
      </c>
      <c r="BC87" s="292" t="str">
        <f>V408</f>
        <v/>
      </c>
    </row>
    <row r="88" spans="1:56" ht="25.15" customHeight="1" x14ac:dyDescent="0.2">
      <c r="A88" s="853"/>
      <c r="B88" s="854"/>
      <c r="C88" s="854"/>
      <c r="D88" s="854"/>
      <c r="E88" s="854"/>
      <c r="F88" s="854"/>
      <c r="G88" s="854"/>
      <c r="H88" s="854"/>
      <c r="I88" s="854"/>
      <c r="J88" s="854"/>
      <c r="K88" s="854"/>
      <c r="L88" s="854"/>
      <c r="M88" s="854"/>
      <c r="N88" s="854"/>
      <c r="O88" s="854"/>
      <c r="P88" s="854"/>
      <c r="Q88" s="855"/>
      <c r="R88" s="186"/>
      <c r="S88" s="343" t="str">
        <f>IF(ISBLANK(A88),"",CONCATENATE(S87,A88))</f>
        <v/>
      </c>
      <c r="T88" s="289" t="s">
        <v>37</v>
      </c>
      <c r="U88" s="186"/>
      <c r="V88" s="186"/>
      <c r="W88" s="322"/>
      <c r="X88" s="322"/>
      <c r="Y88" s="322"/>
      <c r="Z88" s="322"/>
      <c r="AA88" s="322"/>
      <c r="AB88" s="322"/>
      <c r="AC88" s="322"/>
      <c r="AD88" s="340"/>
      <c r="AE88" s="249"/>
      <c r="AF88" s="249"/>
      <c r="AG88" s="249"/>
      <c r="AH88" s="249"/>
      <c r="AI88" s="249"/>
      <c r="AJ88" s="249"/>
      <c r="AK88" s="249"/>
      <c r="AL88" s="249"/>
      <c r="AM88" s="249"/>
      <c r="AN88" s="249"/>
      <c r="AO88" s="249"/>
      <c r="AP88" s="249"/>
      <c r="AQ88" s="249"/>
      <c r="AR88" s="249"/>
      <c r="AS88" s="249"/>
      <c r="AT88" s="249"/>
      <c r="AU88" s="249"/>
      <c r="AV88" s="249"/>
      <c r="AW88" s="249"/>
      <c r="AX88" s="249"/>
      <c r="AY88" s="249"/>
      <c r="AZ88" s="308"/>
      <c r="BA88" s="292" t="str">
        <f t="shared" si="11"/>
        <v/>
      </c>
      <c r="BB88" s="292" t="str">
        <f t="shared" si="13"/>
        <v/>
      </c>
      <c r="BC88" s="292" t="str">
        <f>S410</f>
        <v/>
      </c>
    </row>
    <row r="89" spans="1:56" ht="25.15" customHeight="1" thickBot="1" x14ac:dyDescent="0.25">
      <c r="A89" s="856"/>
      <c r="B89" s="857"/>
      <c r="C89" s="857"/>
      <c r="D89" s="857"/>
      <c r="E89" s="857"/>
      <c r="F89" s="857"/>
      <c r="G89" s="857"/>
      <c r="H89" s="857"/>
      <c r="I89" s="857"/>
      <c r="J89" s="857"/>
      <c r="K89" s="857"/>
      <c r="L89" s="857"/>
      <c r="M89" s="857"/>
      <c r="N89" s="857"/>
      <c r="O89" s="857"/>
      <c r="P89" s="857"/>
      <c r="Q89" s="858"/>
      <c r="R89" s="186"/>
      <c r="S89" s="340"/>
      <c r="T89" s="340"/>
      <c r="U89" s="340"/>
      <c r="V89" s="340"/>
      <c r="W89" s="322"/>
      <c r="X89" s="322"/>
      <c r="Y89" s="322"/>
      <c r="Z89" s="322"/>
      <c r="AA89" s="322"/>
      <c r="AB89" s="322"/>
      <c r="AC89" s="322"/>
      <c r="AD89" s="340"/>
      <c r="AE89" s="249"/>
      <c r="AF89" s="249"/>
      <c r="AG89" s="249"/>
      <c r="AH89" s="249"/>
      <c r="AI89" s="249"/>
      <c r="AJ89" s="249"/>
      <c r="AK89" s="249"/>
      <c r="AL89" s="249"/>
      <c r="AM89" s="249"/>
      <c r="AN89" s="249"/>
      <c r="AO89" s="249"/>
      <c r="AP89" s="249"/>
      <c r="AQ89" s="249"/>
      <c r="AR89" s="249"/>
      <c r="AS89" s="249"/>
      <c r="AT89" s="249"/>
      <c r="AU89" s="249"/>
      <c r="AV89" s="249"/>
      <c r="AW89" s="249"/>
      <c r="AX89" s="249"/>
      <c r="AY89" s="249"/>
      <c r="AZ89" s="308"/>
      <c r="BA89" s="292" t="str">
        <f t="shared" si="11"/>
        <v/>
      </c>
      <c r="BB89" s="292" t="str">
        <f t="shared" si="13"/>
        <v/>
      </c>
      <c r="BC89" s="292" t="str">
        <f>S411</f>
        <v/>
      </c>
    </row>
    <row r="90" spans="1:56" ht="26.25" customHeight="1" x14ac:dyDescent="0.2">
      <c r="A90" s="344" t="e">
        <f>$A$1</f>
        <v>#N/A</v>
      </c>
      <c r="B90" s="340"/>
      <c r="C90" s="340"/>
      <c r="D90" s="340"/>
      <c r="E90" s="340"/>
      <c r="F90" s="340"/>
      <c r="G90" s="340"/>
      <c r="H90" s="340"/>
      <c r="I90" s="340"/>
      <c r="J90" s="340"/>
      <c r="K90" s="340"/>
      <c r="L90" s="340"/>
      <c r="M90" s="340"/>
      <c r="N90" s="340"/>
      <c r="O90" s="340"/>
      <c r="P90" s="773"/>
      <c r="Q90" s="773"/>
      <c r="R90" s="332"/>
      <c r="S90" s="332"/>
      <c r="T90" s="332"/>
      <c r="U90" s="332"/>
      <c r="V90" s="332"/>
      <c r="W90" s="322"/>
      <c r="X90" s="322"/>
      <c r="Y90" s="322"/>
      <c r="Z90" s="322"/>
      <c r="AA90" s="322"/>
      <c r="AB90" s="322"/>
      <c r="AC90" s="322"/>
      <c r="AD90" s="340"/>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308"/>
      <c r="BA90" s="292" t="str">
        <f t="shared" si="11"/>
        <v/>
      </c>
      <c r="BB90" s="292" t="str">
        <f t="shared" si="13"/>
        <v/>
      </c>
      <c r="BC90" s="292" t="str">
        <f>S412</f>
        <v/>
      </c>
    </row>
    <row r="91" spans="1:56" s="300" customFormat="1" ht="26.25" customHeight="1" thickBot="1" x14ac:dyDescent="0.25">
      <c r="A91" s="910" t="s">
        <v>567</v>
      </c>
      <c r="B91" s="811"/>
      <c r="C91" s="811"/>
      <c r="D91" s="811"/>
      <c r="E91" s="811"/>
      <c r="F91" s="811"/>
      <c r="G91" s="811"/>
      <c r="H91" s="811"/>
      <c r="I91" s="811"/>
      <c r="J91" s="811"/>
      <c r="K91" s="811"/>
      <c r="L91" s="811"/>
      <c r="M91" s="811"/>
      <c r="N91" s="774" t="str">
        <f>$N$5</f>
        <v>2022 Report Year</v>
      </c>
      <c r="O91" s="775"/>
      <c r="P91" s="775"/>
      <c r="Q91" s="775"/>
      <c r="R91" s="338"/>
      <c r="S91" s="338"/>
      <c r="T91" s="338"/>
      <c r="U91" s="338"/>
      <c r="V91" s="338"/>
      <c r="W91" s="322"/>
      <c r="X91" s="322"/>
      <c r="Y91" s="322"/>
      <c r="Z91" s="322"/>
      <c r="AA91" s="322"/>
      <c r="AB91" s="322"/>
      <c r="AC91" s="322"/>
      <c r="AD91" s="340"/>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340"/>
      <c r="BA91" s="490" t="str">
        <f t="shared" si="11"/>
        <v/>
      </c>
      <c r="BB91" s="490" t="str">
        <f t="shared" si="13"/>
        <v/>
      </c>
      <c r="BC91" s="490" t="str">
        <f>S420</f>
        <v/>
      </c>
    </row>
    <row r="92" spans="1:56" ht="26.25" customHeight="1" x14ac:dyDescent="0.2">
      <c r="A92" s="821" t="e">
        <f>IF(AND(OR(ISNA(cap_exp_contact),TRIM(cap_exp_contact)=""),NOT(ISBLANK(code_7594))),"The Capital Expenditure Contact information has NOT been provided.  Please complete this information now.","")</f>
        <v>#N/A</v>
      </c>
      <c r="B92" s="822"/>
      <c r="C92" s="822"/>
      <c r="D92" s="822"/>
      <c r="E92" s="822"/>
      <c r="F92" s="822"/>
      <c r="G92" s="822"/>
      <c r="H92" s="822"/>
      <c r="I92" s="822"/>
      <c r="J92" s="822"/>
      <c r="K92" s="822"/>
      <c r="L92" s="822"/>
      <c r="M92" s="822"/>
      <c r="N92" s="271" t="s">
        <v>278</v>
      </c>
      <c r="O92" s="272" t="e">
        <f>'Capital Expend Detail'!$I$7</f>
        <v>#N/A</v>
      </c>
      <c r="P92" s="273" t="s">
        <v>431</v>
      </c>
      <c r="Q92" s="274" t="e">
        <f>IF(ISBLANK(Q49),"",Q49+1)</f>
        <v>#VALUE!</v>
      </c>
      <c r="R92" s="197"/>
      <c r="S92" s="340"/>
      <c r="T92" s="340"/>
      <c r="U92" s="340"/>
      <c r="V92" s="340"/>
      <c r="W92" s="322"/>
      <c r="X92" s="322"/>
      <c r="Y92" s="322"/>
      <c r="Z92" s="322"/>
      <c r="AA92" s="340"/>
      <c r="AB92" s="340"/>
      <c r="AC92" s="340"/>
      <c r="AD92" s="340"/>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308"/>
      <c r="BA92" s="292" t="str">
        <f t="shared" si="11"/>
        <v/>
      </c>
      <c r="BB92" s="292" t="str">
        <f t="shared" si="13"/>
        <v/>
      </c>
      <c r="BC92" s="292" t="str">
        <f>S421</f>
        <v/>
      </c>
    </row>
    <row r="93" spans="1:56" ht="26.25" customHeight="1" thickBot="1" x14ac:dyDescent="0.25">
      <c r="A93" s="778" t="s">
        <v>432</v>
      </c>
      <c r="B93" s="779"/>
      <c r="C93" s="779"/>
      <c r="D93" s="779"/>
      <c r="E93" s="815"/>
      <c r="F93" s="816"/>
      <c r="G93" s="816"/>
      <c r="H93" s="816"/>
      <c r="I93" s="816"/>
      <c r="J93" s="816"/>
      <c r="K93" s="816"/>
      <c r="L93" s="817"/>
      <c r="M93" s="276"/>
      <c r="N93" s="823" t="s">
        <v>443</v>
      </c>
      <c r="O93" s="824"/>
      <c r="P93" s="824"/>
      <c r="Q93" s="825"/>
      <c r="R93" s="197"/>
      <c r="S93" s="277" t="str">
        <f>IF(ISBLANK(E93),"",E93)</f>
        <v/>
      </c>
      <c r="T93" s="278" t="s">
        <v>407</v>
      </c>
      <c r="U93" s="197"/>
      <c r="V93" s="197"/>
      <c r="W93" s="322"/>
      <c r="X93" s="332"/>
      <c r="Y93" s="332"/>
      <c r="Z93" s="332"/>
      <c r="AA93" s="324"/>
      <c r="AB93" s="324"/>
      <c r="AC93" s="324"/>
      <c r="AD93" s="340"/>
      <c r="AE93" s="249"/>
      <c r="AF93" s="249"/>
      <c r="AG93" s="249"/>
      <c r="AH93" s="249"/>
      <c r="AI93" s="249"/>
      <c r="AJ93" s="249"/>
      <c r="AK93" s="249"/>
      <c r="AL93" s="249"/>
      <c r="AM93" s="249"/>
      <c r="AN93" s="249"/>
      <c r="AO93" s="249"/>
      <c r="AP93" s="249"/>
      <c r="AQ93" s="249"/>
      <c r="AR93" s="249"/>
      <c r="AS93" s="249"/>
      <c r="AT93" s="249"/>
      <c r="AU93" s="249"/>
      <c r="AV93" s="249"/>
      <c r="AW93" s="249"/>
      <c r="AX93" s="249"/>
      <c r="AY93" s="249"/>
      <c r="AZ93" s="308"/>
      <c r="BA93" s="259" t="str">
        <f t="shared" si="11"/>
        <v/>
      </c>
      <c r="BB93" s="259" t="str">
        <f>IF(BC93="","",$Q$436)</f>
        <v/>
      </c>
      <c r="BC93" s="259" t="str">
        <f>S451</f>
        <v/>
      </c>
      <c r="BD93" s="260" t="s">
        <v>584</v>
      </c>
    </row>
    <row r="94" spans="1:56" ht="26.25" customHeight="1" x14ac:dyDescent="0.2">
      <c r="A94" s="833" t="s">
        <v>433</v>
      </c>
      <c r="B94" s="834"/>
      <c r="C94" s="834"/>
      <c r="D94" s="835"/>
      <c r="E94" s="788"/>
      <c r="F94" s="789"/>
      <c r="G94" s="789"/>
      <c r="H94" s="789"/>
      <c r="I94" s="789"/>
      <c r="J94" s="789"/>
      <c r="K94" s="789"/>
      <c r="L94" s="790"/>
      <c r="M94" s="793" t="str">
        <f>IF(AND(ISBLANK(E94),OR(NOT(ISBLANK(E95)),NOT(ISBLANK(E96)),NOT(ISBLANK(E97)),NOT(ISBLANK(I98)),NOT(ISBLANK(A100)))),"This information is required.","")</f>
        <v/>
      </c>
      <c r="N94" s="794"/>
      <c r="O94" s="794"/>
      <c r="P94" s="794"/>
      <c r="Q94" s="279"/>
      <c r="R94" s="197"/>
      <c r="S94" s="277" t="str">
        <f>IF(ISBLANK(E94),"",E94)</f>
        <v/>
      </c>
      <c r="T94" s="278" t="s">
        <v>27</v>
      </c>
      <c r="U94" s="197"/>
      <c r="V94" s="197"/>
      <c r="W94" s="322"/>
      <c r="X94" s="338"/>
      <c r="Y94" s="338"/>
      <c r="Z94" s="338"/>
      <c r="AA94" s="322"/>
      <c r="AB94" s="322"/>
      <c r="AC94" s="322"/>
      <c r="AD94" s="340"/>
      <c r="AE94" s="249"/>
      <c r="AF94" s="249"/>
      <c r="AG94" s="249"/>
      <c r="AH94" s="249"/>
      <c r="AI94" s="249"/>
      <c r="AJ94" s="249"/>
      <c r="AK94" s="249"/>
      <c r="AL94" s="249"/>
      <c r="AM94" s="249"/>
      <c r="AN94" s="249"/>
      <c r="AO94" s="249"/>
      <c r="AP94" s="249"/>
      <c r="AQ94" s="249"/>
      <c r="AR94" s="249"/>
      <c r="AS94" s="249"/>
      <c r="AT94" s="249"/>
      <c r="AU94" s="249"/>
      <c r="AV94" s="249"/>
      <c r="AW94" s="249"/>
      <c r="AX94" s="249"/>
      <c r="AY94" s="249"/>
      <c r="AZ94" s="308"/>
      <c r="BA94" s="259" t="str">
        <f t="shared" si="11"/>
        <v/>
      </c>
      <c r="BB94" s="259" t="str">
        <f t="shared" ref="BB94:BB101" si="14">IF(BC94="","",$Q$436)</f>
        <v/>
      </c>
      <c r="BC94" s="259" t="str">
        <f>T451</f>
        <v/>
      </c>
      <c r="BD94" s="266"/>
    </row>
    <row r="95" spans="1:56" ht="26.25" customHeight="1" x14ac:dyDescent="0.2">
      <c r="A95" s="783" t="s">
        <v>434</v>
      </c>
      <c r="B95" s="784"/>
      <c r="C95" s="784"/>
      <c r="D95" s="785"/>
      <c r="E95" s="788"/>
      <c r="F95" s="789"/>
      <c r="G95" s="789"/>
      <c r="H95" s="789"/>
      <c r="I95" s="789"/>
      <c r="J95" s="789"/>
      <c r="K95" s="789"/>
      <c r="L95" s="790"/>
      <c r="M95" s="793" t="str">
        <f>IF(AND(ISBLANK(E95),OR(NOT(ISBLANK(E94)),NOT(ISBLANK(E96)),NOT(ISBLANK(E97)),NOT(ISBLANK(I98)),NOT(ISBLANK(A100)))),"This information is required.","")</f>
        <v/>
      </c>
      <c r="N95" s="794"/>
      <c r="O95" s="794"/>
      <c r="P95" s="794"/>
      <c r="Q95" s="279"/>
      <c r="R95" s="197"/>
      <c r="S95" s="277" t="str">
        <f>IF(ISBLANK(E95),"",E95)</f>
        <v/>
      </c>
      <c r="T95" s="278" t="s">
        <v>28</v>
      </c>
      <c r="U95" s="197"/>
      <c r="V95" s="197"/>
      <c r="W95" s="322"/>
      <c r="X95" s="340"/>
      <c r="Y95" s="340"/>
      <c r="Z95" s="340"/>
      <c r="AA95" s="322"/>
      <c r="AB95" s="322"/>
      <c r="AC95" s="322"/>
      <c r="AD95" s="340"/>
      <c r="AE95" s="249"/>
      <c r="AF95" s="249"/>
      <c r="AG95" s="249"/>
      <c r="AH95" s="249"/>
      <c r="AI95" s="249"/>
      <c r="AJ95" s="249"/>
      <c r="AK95" s="249"/>
      <c r="AL95" s="249"/>
      <c r="AM95" s="249"/>
      <c r="AN95" s="249"/>
      <c r="AO95" s="249"/>
      <c r="AP95" s="249"/>
      <c r="AQ95" s="249"/>
      <c r="AR95" s="249"/>
      <c r="AS95" s="249"/>
      <c r="AT95" s="249"/>
      <c r="AU95" s="249"/>
      <c r="AV95" s="249"/>
      <c r="AW95" s="249"/>
      <c r="AX95" s="249"/>
      <c r="AY95" s="249"/>
      <c r="AZ95" s="308"/>
      <c r="BA95" s="259" t="str">
        <f t="shared" si="11"/>
        <v/>
      </c>
      <c r="BB95" s="259" t="str">
        <f t="shared" si="14"/>
        <v/>
      </c>
      <c r="BC95" s="259" t="str">
        <f>U451</f>
        <v/>
      </c>
    </row>
    <row r="96" spans="1:56" ht="26.25" customHeight="1" x14ac:dyDescent="0.2">
      <c r="A96" s="873" t="s">
        <v>436</v>
      </c>
      <c r="B96" s="874"/>
      <c r="C96" s="874"/>
      <c r="D96" s="875"/>
      <c r="E96" s="813"/>
      <c r="F96" s="814"/>
      <c r="G96" s="786" t="s">
        <v>437</v>
      </c>
      <c r="H96" s="786"/>
      <c r="I96" s="786"/>
      <c r="J96" s="786"/>
      <c r="K96" s="786"/>
      <c r="L96" s="786"/>
      <c r="M96" s="787" t="str">
        <f>IF(AND(ISBLANK(E96),OR(NOT(ISBLANK(E94)),NOT(ISBLANK(E95)),NOT(ISBLANK(E97)),NOT(ISBLANK(I98)),NOT(ISBLANK(A100)))),"This information is required.","")</f>
        <v/>
      </c>
      <c r="N96" s="711"/>
      <c r="O96" s="711"/>
      <c r="P96" s="711"/>
      <c r="Q96" s="280"/>
      <c r="R96" s="281"/>
      <c r="S96" s="282" t="str">
        <f>IF(ISBLANK(E96),"",E96)</f>
        <v/>
      </c>
      <c r="T96" s="283" t="s">
        <v>30</v>
      </c>
      <c r="U96" s="281"/>
      <c r="V96" s="281"/>
      <c r="W96" s="322"/>
      <c r="X96" s="340"/>
      <c r="Y96" s="340"/>
      <c r="Z96" s="340"/>
      <c r="AA96" s="322"/>
      <c r="AB96" s="322"/>
      <c r="AC96" s="322"/>
      <c r="AD96" s="340"/>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308"/>
      <c r="BA96" s="259" t="str">
        <f t="shared" si="11"/>
        <v/>
      </c>
      <c r="BB96" s="259" t="str">
        <f t="shared" si="14"/>
        <v/>
      </c>
      <c r="BC96" s="259" t="str">
        <f>V451</f>
        <v/>
      </c>
    </row>
    <row r="97" spans="1:56" ht="26.25" customHeight="1" x14ac:dyDescent="0.2">
      <c r="A97" s="783" t="s">
        <v>435</v>
      </c>
      <c r="B97" s="784"/>
      <c r="C97" s="784"/>
      <c r="D97" s="785"/>
      <c r="E97" s="828"/>
      <c r="F97" s="829"/>
      <c r="G97" s="284"/>
      <c r="H97" s="285"/>
      <c r="I97" s="286"/>
      <c r="J97" s="281"/>
      <c r="K97" s="281"/>
      <c r="L97" s="281"/>
      <c r="M97" s="711" t="str">
        <f>IF(AND(ISBLANK(E97),OR(NOT(ISBLANK(E94)),NOT(ISBLANK(E95)),NOT(ISBLANK(E96)),NOT(ISBLANK(I98)),NOT(ISBLANK(A100)))),"This information is required.","")</f>
        <v/>
      </c>
      <c r="N97" s="711"/>
      <c r="O97" s="711"/>
      <c r="P97" s="711"/>
      <c r="Q97" s="280"/>
      <c r="R97" s="287"/>
      <c r="S97" s="288" t="str">
        <f>IF(ISBLANK(E97),"",E97)</f>
        <v/>
      </c>
      <c r="T97" s="289" t="s">
        <v>31</v>
      </c>
      <c r="U97" s="287"/>
      <c r="V97" s="287"/>
      <c r="W97" s="332"/>
      <c r="X97" s="340"/>
      <c r="Y97" s="340"/>
      <c r="Z97" s="340"/>
      <c r="AA97" s="322"/>
      <c r="AB97" s="322"/>
      <c r="AC97" s="322"/>
      <c r="AD97" s="340"/>
      <c r="AE97" s="249"/>
      <c r="AF97" s="249"/>
      <c r="AG97" s="249"/>
      <c r="AH97" s="249"/>
      <c r="AI97" s="249"/>
      <c r="AJ97" s="249"/>
      <c r="AK97" s="249"/>
      <c r="AL97" s="249"/>
      <c r="AM97" s="249"/>
      <c r="AN97" s="249"/>
      <c r="AO97" s="249"/>
      <c r="AP97" s="249"/>
      <c r="AQ97" s="249"/>
      <c r="AR97" s="249"/>
      <c r="AS97" s="249"/>
      <c r="AT97" s="249"/>
      <c r="AU97" s="249"/>
      <c r="AV97" s="249"/>
      <c r="AW97" s="249"/>
      <c r="AX97" s="249"/>
      <c r="AY97" s="249"/>
      <c r="AZ97" s="308"/>
      <c r="BA97" s="259" t="str">
        <f t="shared" si="11"/>
        <v/>
      </c>
      <c r="BB97" s="259" t="str">
        <f t="shared" si="14"/>
        <v/>
      </c>
      <c r="BC97" s="259" t="str">
        <f>S453</f>
        <v/>
      </c>
    </row>
    <row r="98" spans="1:56" ht="26.25" customHeight="1" thickBot="1" x14ac:dyDescent="0.25">
      <c r="A98" s="797" t="s">
        <v>426</v>
      </c>
      <c r="B98" s="798"/>
      <c r="C98" s="798"/>
      <c r="D98" s="798"/>
      <c r="E98" s="799"/>
      <c r="F98" s="799"/>
      <c r="G98" s="799"/>
      <c r="H98" s="799"/>
      <c r="I98" s="832"/>
      <c r="J98" s="832"/>
      <c r="K98" s="795" t="s">
        <v>481</v>
      </c>
      <c r="L98" s="796"/>
      <c r="M98" s="827" t="str">
        <f>IF(AND(ISBLANK(I98),OR(NOT(ISBLANK(E94)),NOT(ISBLANK(E95)),NOT(ISBLANK(E96)),NOT(ISBLANK(E97)),NOT(ISBLANK(A100)))),"This information is required!","")</f>
        <v/>
      </c>
      <c r="N98" s="827"/>
      <c r="O98" s="827"/>
      <c r="P98" s="827"/>
      <c r="Q98" s="290"/>
      <c r="R98" s="287"/>
      <c r="S98" s="288" t="str">
        <f>IF(ISBLANK(I98),"",I98)</f>
        <v/>
      </c>
      <c r="T98" s="289" t="s">
        <v>32</v>
      </c>
      <c r="U98" s="291"/>
      <c r="V98" s="291"/>
      <c r="W98" s="338"/>
      <c r="X98" s="340"/>
      <c r="Y98" s="340"/>
      <c r="Z98" s="340"/>
      <c r="AA98" s="322"/>
      <c r="AB98" s="322"/>
      <c r="AC98" s="322"/>
      <c r="AD98" s="340"/>
      <c r="AE98" s="249"/>
      <c r="AF98" s="249"/>
      <c r="AG98" s="249"/>
      <c r="AH98" s="249"/>
      <c r="AI98" s="249"/>
      <c r="AJ98" s="249"/>
      <c r="AK98" s="249"/>
      <c r="AL98" s="249"/>
      <c r="AM98" s="249"/>
      <c r="AN98" s="249"/>
      <c r="AO98" s="249"/>
      <c r="AP98" s="249"/>
      <c r="AQ98" s="249"/>
      <c r="AR98" s="249"/>
      <c r="AS98" s="249"/>
      <c r="AT98" s="249"/>
      <c r="AU98" s="249"/>
      <c r="AV98" s="249"/>
      <c r="AW98" s="249"/>
      <c r="AX98" s="249"/>
      <c r="AY98" s="249"/>
      <c r="AZ98" s="308"/>
      <c r="BA98" s="259" t="str">
        <f t="shared" si="11"/>
        <v/>
      </c>
      <c r="BB98" s="259" t="str">
        <f t="shared" si="14"/>
        <v/>
      </c>
      <c r="BC98" s="259" t="str">
        <f>S454</f>
        <v/>
      </c>
    </row>
    <row r="99" spans="1:56" ht="26.25" customHeight="1" x14ac:dyDescent="0.2">
      <c r="A99" s="841" t="s">
        <v>553</v>
      </c>
      <c r="B99" s="842"/>
      <c r="C99" s="842"/>
      <c r="D99" s="842"/>
      <c r="E99" s="842"/>
      <c r="F99" s="842"/>
      <c r="G99" s="842"/>
      <c r="H99" s="842"/>
      <c r="I99" s="842"/>
      <c r="J99" s="909"/>
      <c r="K99" s="907" t="s">
        <v>646</v>
      </c>
      <c r="L99" s="907"/>
      <c r="M99" s="907"/>
      <c r="N99" s="907"/>
      <c r="O99" s="830" t="s">
        <v>535</v>
      </c>
      <c r="P99" s="830"/>
      <c r="Q99" s="831"/>
      <c r="R99" s="293"/>
      <c r="S99" s="288" t="str">
        <f>IF(ISBLANK(A100),"",A100)</f>
        <v/>
      </c>
      <c r="T99" s="289" t="s">
        <v>33</v>
      </c>
      <c r="U99" s="294"/>
      <c r="V99" s="294"/>
      <c r="W99" s="340"/>
      <c r="X99" s="340"/>
      <c r="Y99" s="340"/>
      <c r="Z99" s="340"/>
      <c r="AA99" s="322"/>
      <c r="AB99" s="322"/>
      <c r="AC99" s="322"/>
      <c r="AD99" s="340"/>
      <c r="AE99" s="249"/>
      <c r="AF99" s="249"/>
      <c r="AG99" s="249"/>
      <c r="AH99" s="249"/>
      <c r="AI99" s="249"/>
      <c r="AJ99" s="249"/>
      <c r="AK99" s="249"/>
      <c r="AL99" s="249"/>
      <c r="AM99" s="249"/>
      <c r="AN99" s="249"/>
      <c r="AO99" s="249"/>
      <c r="AP99" s="249"/>
      <c r="AQ99" s="249"/>
      <c r="AR99" s="249"/>
      <c r="AS99" s="249"/>
      <c r="AT99" s="249"/>
      <c r="AU99" s="249"/>
      <c r="AV99" s="249"/>
      <c r="AW99" s="249"/>
      <c r="AX99" s="249"/>
      <c r="AY99" s="249"/>
      <c r="AZ99" s="308"/>
      <c r="BA99" s="259" t="str">
        <f t="shared" si="11"/>
        <v/>
      </c>
      <c r="BB99" s="259" t="str">
        <f t="shared" si="14"/>
        <v/>
      </c>
      <c r="BC99" s="259" t="str">
        <f>S455</f>
        <v/>
      </c>
    </row>
    <row r="100" spans="1:56" ht="26.25" customHeight="1" x14ac:dyDescent="0.2">
      <c r="A100" s="853"/>
      <c r="B100" s="854"/>
      <c r="C100" s="854"/>
      <c r="D100" s="854"/>
      <c r="E100" s="854"/>
      <c r="F100" s="854"/>
      <c r="G100" s="854"/>
      <c r="H100" s="854"/>
      <c r="I100" s="854"/>
      <c r="J100" s="902"/>
      <c r="K100" s="908"/>
      <c r="L100" s="908"/>
      <c r="M100" s="908"/>
      <c r="N100" s="908"/>
      <c r="O100" s="295"/>
      <c r="P100" s="296" t="s">
        <v>43</v>
      </c>
      <c r="Q100" s="297" t="s">
        <v>44</v>
      </c>
      <c r="R100" s="293"/>
      <c r="S100" s="288" t="str">
        <f>IF(ISBLANK(A103),"",A103)</f>
        <v/>
      </c>
      <c r="T100" s="298" t="s">
        <v>34</v>
      </c>
      <c r="U100" s="294"/>
      <c r="V100" s="294"/>
      <c r="W100" s="340"/>
      <c r="X100" s="293"/>
      <c r="Y100" s="293"/>
      <c r="Z100" s="293"/>
      <c r="AA100" s="322"/>
      <c r="AB100" s="322"/>
      <c r="AC100" s="322"/>
      <c r="AD100" s="340"/>
      <c r="AE100" s="249"/>
      <c r="AF100" s="249"/>
      <c r="AG100" s="249"/>
      <c r="AH100" s="249"/>
      <c r="AI100" s="249"/>
      <c r="AJ100" s="249"/>
      <c r="AK100" s="249"/>
      <c r="AL100" s="249"/>
      <c r="AM100" s="249"/>
      <c r="AN100" s="249"/>
      <c r="AO100" s="249"/>
      <c r="AP100" s="249"/>
      <c r="AQ100" s="249"/>
      <c r="AR100" s="249"/>
      <c r="AS100" s="249"/>
      <c r="AT100" s="249"/>
      <c r="AU100" s="249"/>
      <c r="AV100" s="249"/>
      <c r="AW100" s="249"/>
      <c r="AX100" s="249"/>
      <c r="AY100" s="249"/>
      <c r="AZ100" s="308"/>
      <c r="BA100" s="259" t="str">
        <f t="shared" si="11"/>
        <v/>
      </c>
      <c r="BB100" s="259" t="str">
        <f t="shared" si="14"/>
        <v/>
      </c>
      <c r="BC100" s="259" t="str">
        <f>S463</f>
        <v/>
      </c>
    </row>
    <row r="101" spans="1:56" ht="26.25" customHeight="1" x14ac:dyDescent="0.2">
      <c r="A101" s="882"/>
      <c r="B101" s="883"/>
      <c r="C101" s="883"/>
      <c r="D101" s="883"/>
      <c r="E101" s="883"/>
      <c r="F101" s="883"/>
      <c r="G101" s="883"/>
      <c r="H101" s="883"/>
      <c r="I101" s="883"/>
      <c r="J101" s="903"/>
      <c r="K101" s="899" t="s">
        <v>516</v>
      </c>
      <c r="L101" s="900"/>
      <c r="M101" s="900"/>
      <c r="N101" s="900"/>
      <c r="O101" s="901"/>
      <c r="P101" s="304"/>
      <c r="Q101" s="305"/>
      <c r="R101" s="291" t="str">
        <f>IF(COUNTBLANK(P101:Q101)=2,"Please enter response.",IF(COUNTBLANK(P101:Q101)&lt;&gt;1,"Please VERIFY response.",""))</f>
        <v>Please enter response.</v>
      </c>
      <c r="S101" s="306" t="str">
        <f>IF(AND(ISBLANK(P101),ISBLANK(Q101)),"",IF(ISBLANK(P101),0,1))</f>
        <v/>
      </c>
      <c r="T101" s="307" t="s">
        <v>563</v>
      </c>
      <c r="U101" s="266"/>
      <c r="V101" s="266"/>
      <c r="W101" s="340"/>
      <c r="X101" s="340"/>
      <c r="Y101" s="340"/>
      <c r="Z101" s="340"/>
      <c r="AA101" s="322"/>
      <c r="AB101" s="322"/>
      <c r="AC101" s="322"/>
      <c r="AD101" s="340"/>
      <c r="AE101" s="249"/>
      <c r="AF101" s="249"/>
      <c r="AG101" s="249"/>
      <c r="AH101" s="249"/>
      <c r="AI101" s="249"/>
      <c r="AJ101" s="249"/>
      <c r="AK101" s="249"/>
      <c r="AL101" s="249"/>
      <c r="AM101" s="249"/>
      <c r="AN101" s="249"/>
      <c r="AO101" s="249"/>
      <c r="AP101" s="249"/>
      <c r="AQ101" s="249"/>
      <c r="AR101" s="249"/>
      <c r="AS101" s="249"/>
      <c r="AT101" s="249"/>
      <c r="AU101" s="249"/>
      <c r="AV101" s="249"/>
      <c r="AW101" s="249"/>
      <c r="AX101" s="249"/>
      <c r="AY101" s="249"/>
      <c r="AZ101" s="308"/>
      <c r="BA101" s="259" t="str">
        <f t="shared" si="11"/>
        <v/>
      </c>
      <c r="BB101" s="259" t="str">
        <f t="shared" si="14"/>
        <v/>
      </c>
      <c r="BC101" s="259" t="str">
        <f>S464</f>
        <v/>
      </c>
      <c r="BD101" s="266"/>
    </row>
    <row r="102" spans="1:56" ht="26.25" customHeight="1" x14ac:dyDescent="0.2">
      <c r="A102" s="904" t="s">
        <v>558</v>
      </c>
      <c r="B102" s="905"/>
      <c r="C102" s="905"/>
      <c r="D102" s="905"/>
      <c r="E102" s="905"/>
      <c r="F102" s="905"/>
      <c r="G102" s="905"/>
      <c r="H102" s="905"/>
      <c r="I102" s="905"/>
      <c r="J102" s="906"/>
      <c r="K102" s="899" t="s">
        <v>517</v>
      </c>
      <c r="L102" s="900"/>
      <c r="M102" s="900"/>
      <c r="N102" s="900"/>
      <c r="O102" s="901"/>
      <c r="P102" s="304"/>
      <c r="Q102" s="305"/>
      <c r="R102" s="291" t="str">
        <f>IF(COUNTBLANK(P102:Q102)=2,"Please enter response.",IF(COUNTBLANK(P102:Q102)&lt;&gt;1,"Please VERIFY response.",""))</f>
        <v>Please enter response.</v>
      </c>
      <c r="S102" s="306" t="str">
        <f>IF(AND(ISBLANK(P102),ISBLANK(Q102)),"",IF(ISBLANK(P102),0,1))</f>
        <v/>
      </c>
      <c r="T102" s="307" t="s">
        <v>564</v>
      </c>
      <c r="U102" s="266"/>
      <c r="V102" s="266"/>
      <c r="W102" s="340"/>
      <c r="X102" s="340"/>
      <c r="Y102" s="340"/>
      <c r="Z102" s="340"/>
      <c r="AA102" s="322"/>
      <c r="AB102" s="322"/>
      <c r="AC102" s="322"/>
      <c r="AD102" s="340"/>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308"/>
      <c r="BA102" s="292" t="str">
        <f t="shared" si="11"/>
        <v/>
      </c>
      <c r="BB102" s="292" t="str">
        <f>IF(BC102="","",$Q$479)</f>
        <v/>
      </c>
      <c r="BC102" s="292" t="str">
        <f>S494</f>
        <v/>
      </c>
      <c r="BD102" s="260" t="s">
        <v>585</v>
      </c>
    </row>
    <row r="103" spans="1:56" ht="26.25" customHeight="1" x14ac:dyDescent="0.2">
      <c r="A103" s="853"/>
      <c r="B103" s="854"/>
      <c r="C103" s="854"/>
      <c r="D103" s="854"/>
      <c r="E103" s="854"/>
      <c r="F103" s="854"/>
      <c r="G103" s="854"/>
      <c r="H103" s="854"/>
      <c r="I103" s="854"/>
      <c r="J103" s="902"/>
      <c r="K103" s="899" t="s">
        <v>518</v>
      </c>
      <c r="L103" s="900"/>
      <c r="M103" s="900"/>
      <c r="N103" s="900"/>
      <c r="O103" s="901"/>
      <c r="P103" s="304"/>
      <c r="Q103" s="305"/>
      <c r="R103" s="291" t="str">
        <f>IF(COUNTBLANK(P103:Q103)=2,"Please enter response.",IF(COUNTBLANK(P103:Q103)&lt;&gt;1,"Please VERIFY response.",""))</f>
        <v>Please enter response.</v>
      </c>
      <c r="S103" s="306" t="str">
        <f>IF(AND(ISBLANK(P103),ISBLANK(Q103)),"",IF(ISBLANK(P103),0,1))</f>
        <v/>
      </c>
      <c r="T103" s="307" t="s">
        <v>565</v>
      </c>
      <c r="U103" s="266"/>
      <c r="V103" s="266"/>
      <c r="W103" s="340"/>
      <c r="X103" s="340"/>
      <c r="Y103" s="340"/>
      <c r="Z103" s="340"/>
      <c r="AA103" s="340"/>
      <c r="AB103" s="340"/>
      <c r="AC103" s="340"/>
      <c r="AD103" s="340"/>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308"/>
      <c r="BA103" s="292" t="str">
        <f t="shared" si="11"/>
        <v/>
      </c>
      <c r="BB103" s="292" t="str">
        <f t="shared" ref="BB103:BB110" si="15">IF(BC103="","",$Q$479)</f>
        <v/>
      </c>
      <c r="BC103" s="292" t="str">
        <f>T494</f>
        <v/>
      </c>
    </row>
    <row r="104" spans="1:56" ht="26.25" customHeight="1" x14ac:dyDescent="0.2">
      <c r="A104" s="882"/>
      <c r="B104" s="883"/>
      <c r="C104" s="883"/>
      <c r="D104" s="883"/>
      <c r="E104" s="883"/>
      <c r="F104" s="883"/>
      <c r="G104" s="883"/>
      <c r="H104" s="883"/>
      <c r="I104" s="883"/>
      <c r="J104" s="903"/>
      <c r="K104" s="899" t="s">
        <v>520</v>
      </c>
      <c r="L104" s="900"/>
      <c r="M104" s="900"/>
      <c r="N104" s="900"/>
      <c r="O104" s="901"/>
      <c r="P104" s="304"/>
      <c r="Q104" s="305"/>
      <c r="R104" s="291" t="str">
        <f>IF(COUNTBLANK(P104:Q104)=2,"Please enter response.",IF(COUNTBLANK(P104:Q104)&lt;&gt;1,"Please VERIFY response.",""))</f>
        <v>Please enter response.</v>
      </c>
      <c r="S104" s="306" t="str">
        <f>IF(AND(ISBLANK(P104),ISBLANK(Q104)),"",IF(ISBLANK(P104),0,1))</f>
        <v/>
      </c>
      <c r="T104" s="307" t="s">
        <v>566</v>
      </c>
      <c r="U104" s="266"/>
      <c r="V104" s="266"/>
      <c r="W104" s="293"/>
      <c r="X104" s="293"/>
      <c r="Y104" s="293"/>
      <c r="Z104" s="293"/>
      <c r="AA104" s="320"/>
      <c r="AB104" s="320"/>
      <c r="AC104" s="320"/>
      <c r="AD104" s="340"/>
      <c r="AE104" s="249"/>
      <c r="AF104" s="249"/>
      <c r="AG104" s="249"/>
      <c r="AH104" s="249"/>
      <c r="AI104" s="249"/>
      <c r="AJ104" s="249"/>
      <c r="AK104" s="249"/>
      <c r="AL104" s="249"/>
      <c r="AM104" s="249"/>
      <c r="AN104" s="249"/>
      <c r="AO104" s="249"/>
      <c r="AP104" s="249"/>
      <c r="AQ104" s="249"/>
      <c r="AR104" s="249"/>
      <c r="AS104" s="249"/>
      <c r="AT104" s="249"/>
      <c r="AU104" s="249"/>
      <c r="AV104" s="249"/>
      <c r="AW104" s="249"/>
      <c r="AX104" s="249"/>
      <c r="AY104" s="249"/>
      <c r="AZ104" s="308"/>
      <c r="BA104" s="292" t="str">
        <f t="shared" si="11"/>
        <v/>
      </c>
      <c r="BB104" s="292" t="str">
        <f t="shared" si="15"/>
        <v/>
      </c>
      <c r="BC104" s="292" t="str">
        <f>U494</f>
        <v/>
      </c>
    </row>
    <row r="105" spans="1:56" ht="26.25" customHeight="1" x14ac:dyDescent="0.2">
      <c r="A105" s="879" t="s">
        <v>546</v>
      </c>
      <c r="B105" s="880"/>
      <c r="C105" s="880"/>
      <c r="D105" s="880"/>
      <c r="E105" s="880"/>
      <c r="F105" s="880"/>
      <c r="G105" s="880"/>
      <c r="H105" s="880"/>
      <c r="I105" s="880"/>
      <c r="J105" s="880"/>
      <c r="K105" s="880"/>
      <c r="L105" s="880"/>
      <c r="M105" s="880"/>
      <c r="N105" s="880"/>
      <c r="O105" s="880"/>
      <c r="P105" s="880"/>
      <c r="Q105" s="881"/>
      <c r="R105" s="310"/>
      <c r="S105" s="319"/>
      <c r="T105" s="310"/>
      <c r="U105" s="310"/>
      <c r="V105" s="310"/>
      <c r="W105" s="340"/>
      <c r="X105" s="322"/>
      <c r="Y105" s="322"/>
      <c r="Z105" s="322"/>
      <c r="AA105" s="322"/>
      <c r="AB105" s="322"/>
      <c r="AC105" s="322"/>
      <c r="AD105" s="340"/>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308"/>
      <c r="BA105" s="292" t="str">
        <f t="shared" si="11"/>
        <v/>
      </c>
      <c r="BB105" s="292" t="str">
        <f t="shared" si="15"/>
        <v/>
      </c>
      <c r="BC105" s="292" t="str">
        <f>V494</f>
        <v/>
      </c>
    </row>
    <row r="106" spans="1:56" ht="26.25" customHeight="1" x14ac:dyDescent="0.2">
      <c r="A106" s="870" t="s">
        <v>450</v>
      </c>
      <c r="B106" s="826"/>
      <c r="C106" s="826"/>
      <c r="D106" s="826"/>
      <c r="E106" s="826" t="s">
        <v>478</v>
      </c>
      <c r="F106" s="826"/>
      <c r="G106" s="826"/>
      <c r="H106" s="826"/>
      <c r="I106" s="826" t="s">
        <v>479</v>
      </c>
      <c r="J106" s="826"/>
      <c r="K106" s="826"/>
      <c r="L106" s="826"/>
      <c r="M106" s="871" t="s">
        <v>465</v>
      </c>
      <c r="N106" s="826"/>
      <c r="O106" s="826"/>
      <c r="P106" s="826"/>
      <c r="Q106" s="872"/>
      <c r="R106" s="315"/>
      <c r="S106" s="836" t="s">
        <v>491</v>
      </c>
      <c r="T106" s="836"/>
      <c r="U106" s="836"/>
      <c r="V106" s="836"/>
      <c r="W106" s="340"/>
      <c r="X106" s="322"/>
      <c r="Y106" s="322"/>
      <c r="Z106" s="322"/>
      <c r="AA106" s="322"/>
      <c r="AB106" s="322"/>
      <c r="AC106" s="322"/>
      <c r="AD106" s="340"/>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308"/>
      <c r="BA106" s="292" t="str">
        <f t="shared" si="11"/>
        <v/>
      </c>
      <c r="BB106" s="292" t="str">
        <f t="shared" si="15"/>
        <v/>
      </c>
      <c r="BC106" s="292" t="str">
        <f>S496</f>
        <v/>
      </c>
    </row>
    <row r="107" spans="1:56" ht="26.25" customHeight="1" thickBot="1" x14ac:dyDescent="0.25">
      <c r="A107" s="791"/>
      <c r="B107" s="792"/>
      <c r="C107" s="792"/>
      <c r="D107" s="792"/>
      <c r="E107" s="792"/>
      <c r="F107" s="792"/>
      <c r="G107" s="792"/>
      <c r="H107" s="792"/>
      <c r="I107" s="792"/>
      <c r="J107" s="792"/>
      <c r="K107" s="792"/>
      <c r="L107" s="792"/>
      <c r="M107" s="894"/>
      <c r="N107" s="894"/>
      <c r="O107" s="894"/>
      <c r="P107" s="894"/>
      <c r="Q107" s="895"/>
      <c r="R107" s="310"/>
      <c r="S107" s="323" t="str">
        <f>IF(ISBLANK(A107),"",VLOOKUP(A107,VProjType,2,FALSE))</f>
        <v/>
      </c>
      <c r="T107" s="323" t="str">
        <f>IF(ISBLANK(E107),"",VLOOKUP(E107,VSubtype1,2,FALSE))</f>
        <v/>
      </c>
      <c r="U107" s="323" t="str">
        <f>IF(ISBLANK(I107),"",VLOOKUP(I107,VSubtype2,2,FALSE))</f>
        <v/>
      </c>
      <c r="V107" s="323" t="str">
        <f>IF(ISBLANK(M107),"",VLOOKUP(M107,VSubtype3,2,FALSE))</f>
        <v/>
      </c>
      <c r="W107" s="340"/>
      <c r="X107" s="322"/>
      <c r="Y107" s="322"/>
      <c r="Z107" s="322"/>
      <c r="AA107" s="322"/>
      <c r="AB107" s="322"/>
      <c r="AC107" s="322"/>
      <c r="AD107" s="340"/>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308"/>
      <c r="BA107" s="292" t="str">
        <f t="shared" si="11"/>
        <v/>
      </c>
      <c r="BB107" s="292" t="str">
        <f t="shared" si="15"/>
        <v/>
      </c>
      <c r="BC107" s="292" t="str">
        <f>S497</f>
        <v/>
      </c>
    </row>
    <row r="108" spans="1:56" ht="26.25" customHeight="1" x14ac:dyDescent="0.2">
      <c r="A108" s="896" t="s">
        <v>483</v>
      </c>
      <c r="B108" s="897"/>
      <c r="C108" s="897"/>
      <c r="D108" s="897"/>
      <c r="E108" s="897"/>
      <c r="F108" s="897"/>
      <c r="G108" s="897"/>
      <c r="H108" s="897"/>
      <c r="I108" s="897"/>
      <c r="J108" s="897"/>
      <c r="K108" s="897"/>
      <c r="L108" s="897"/>
      <c r="M108" s="897"/>
      <c r="N108" s="897"/>
      <c r="O108" s="897"/>
      <c r="P108" s="897"/>
      <c r="Q108" s="898"/>
      <c r="R108" s="320"/>
      <c r="S108" s="324" t="s">
        <v>537</v>
      </c>
      <c r="T108" s="320"/>
      <c r="U108" s="320"/>
      <c r="V108" s="320"/>
      <c r="W108" s="293"/>
      <c r="X108" s="322"/>
      <c r="Y108" s="322"/>
      <c r="Z108" s="322"/>
      <c r="AA108" s="322"/>
      <c r="AB108" s="322"/>
      <c r="AC108" s="322"/>
      <c r="AD108" s="340"/>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49"/>
      <c r="AZ108" s="308"/>
      <c r="BA108" s="292" t="str">
        <f t="shared" si="11"/>
        <v/>
      </c>
      <c r="BB108" s="292" t="str">
        <f t="shared" si="15"/>
        <v/>
      </c>
      <c r="BC108" s="292" t="str">
        <f>S498</f>
        <v/>
      </c>
    </row>
    <row r="109" spans="1:56" ht="26.25" customHeight="1" x14ac:dyDescent="0.2">
      <c r="A109" s="859" t="s">
        <v>544</v>
      </c>
      <c r="B109" s="860"/>
      <c r="C109" s="860"/>
      <c r="D109" s="860"/>
      <c r="E109" s="860"/>
      <c r="F109" s="860"/>
      <c r="G109" s="860"/>
      <c r="H109" s="860"/>
      <c r="I109" s="860"/>
      <c r="J109" s="860"/>
      <c r="K109" s="860"/>
      <c r="L109" s="861"/>
      <c r="M109" s="876"/>
      <c r="N109" s="877"/>
      <c r="O109" s="877"/>
      <c r="P109" s="877"/>
      <c r="Q109" s="878"/>
      <c r="R109" s="320"/>
      <c r="S109" s="325" t="str">
        <f>IF(ISBLANK(M109),"",VLOOKUP(M109,VRemote,2,FALSE))</f>
        <v/>
      </c>
      <c r="T109" s="326" t="s">
        <v>545</v>
      </c>
      <c r="U109" s="320"/>
      <c r="V109" s="320"/>
      <c r="W109" s="322"/>
      <c r="X109" s="322"/>
      <c r="Y109" s="322"/>
      <c r="Z109" s="322"/>
      <c r="AA109" s="322"/>
      <c r="AB109" s="322"/>
      <c r="AC109" s="322"/>
      <c r="AD109" s="340"/>
      <c r="AE109" s="249"/>
      <c r="AF109" s="249"/>
      <c r="AG109" s="249"/>
      <c r="AH109" s="249"/>
      <c r="AI109" s="249"/>
      <c r="AJ109" s="249"/>
      <c r="AK109" s="249"/>
      <c r="AL109" s="249"/>
      <c r="AM109" s="249"/>
      <c r="AN109" s="249"/>
      <c r="AO109" s="249"/>
      <c r="AP109" s="249"/>
      <c r="AQ109" s="249"/>
      <c r="AR109" s="249"/>
      <c r="AS109" s="249"/>
      <c r="AT109" s="249"/>
      <c r="AU109" s="249"/>
      <c r="AV109" s="249"/>
      <c r="AW109" s="249"/>
      <c r="AX109" s="249"/>
      <c r="AY109" s="249"/>
      <c r="AZ109" s="308"/>
      <c r="BA109" s="292" t="str">
        <f t="shared" si="11"/>
        <v/>
      </c>
      <c r="BB109" s="292" t="str">
        <f t="shared" si="15"/>
        <v/>
      </c>
      <c r="BC109" s="292" t="str">
        <f>S506</f>
        <v/>
      </c>
    </row>
    <row r="110" spans="1:56" ht="26.25" customHeight="1" x14ac:dyDescent="0.2">
      <c r="A110" s="859" t="s">
        <v>529</v>
      </c>
      <c r="B110" s="860"/>
      <c r="C110" s="860"/>
      <c r="D110" s="860"/>
      <c r="E110" s="860"/>
      <c r="F110" s="860"/>
      <c r="G110" s="860"/>
      <c r="H110" s="860"/>
      <c r="I110" s="860"/>
      <c r="J110" s="860"/>
      <c r="K110" s="860"/>
      <c r="L110" s="860"/>
      <c r="M110" s="876"/>
      <c r="N110" s="877"/>
      <c r="O110" s="877"/>
      <c r="P110" s="877"/>
      <c r="Q110" s="878"/>
      <c r="R110" s="322"/>
      <c r="S110" s="325" t="str">
        <f>IF(ISBLANK(M110),"",VLOOKUP(M110,VCapacity,2,FALSE))</f>
        <v/>
      </c>
      <c r="T110" s="327" t="s">
        <v>539</v>
      </c>
      <c r="U110" s="322"/>
      <c r="V110" s="322"/>
      <c r="W110" s="322"/>
      <c r="X110" s="322"/>
      <c r="Y110" s="322"/>
      <c r="Z110" s="322"/>
      <c r="AA110" s="322"/>
      <c r="AB110" s="322"/>
      <c r="AC110" s="322"/>
      <c r="AD110" s="340"/>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49"/>
      <c r="AZ110" s="308"/>
      <c r="BA110" s="292" t="str">
        <f t="shared" si="11"/>
        <v/>
      </c>
      <c r="BB110" s="292" t="str">
        <f t="shared" si="15"/>
        <v/>
      </c>
      <c r="BC110" s="292" t="str">
        <f>S507</f>
        <v/>
      </c>
    </row>
    <row r="111" spans="1:56" ht="26.25" customHeight="1" x14ac:dyDescent="0.2">
      <c r="A111" s="859" t="s">
        <v>484</v>
      </c>
      <c r="B111" s="860"/>
      <c r="C111" s="860"/>
      <c r="D111" s="860"/>
      <c r="E111" s="860"/>
      <c r="F111" s="860"/>
      <c r="G111" s="860"/>
      <c r="H111" s="860"/>
      <c r="I111" s="860"/>
      <c r="J111" s="860"/>
      <c r="K111" s="860"/>
      <c r="L111" s="860"/>
      <c r="M111" s="876"/>
      <c r="N111" s="877"/>
      <c r="O111" s="877"/>
      <c r="P111" s="877"/>
      <c r="Q111" s="878"/>
      <c r="R111" s="322"/>
      <c r="S111" s="325" t="str">
        <f>IF(ISBLANK(M111),"",VLOOKUP(M111,VPriorCap,2,FALSE))</f>
        <v/>
      </c>
      <c r="T111" s="327" t="s">
        <v>489</v>
      </c>
      <c r="U111" s="322"/>
      <c r="V111" s="322"/>
      <c r="W111" s="322"/>
      <c r="X111" s="322"/>
      <c r="Y111" s="322"/>
      <c r="Z111" s="322"/>
      <c r="AA111" s="322"/>
      <c r="AB111" s="322"/>
      <c r="AC111" s="322"/>
      <c r="AD111" s="340"/>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row>
    <row r="112" spans="1:56" ht="26.25" customHeight="1" x14ac:dyDescent="0.2">
      <c r="A112" s="780" t="s">
        <v>515</v>
      </c>
      <c r="B112" s="781"/>
      <c r="C112" s="781"/>
      <c r="D112" s="781"/>
      <c r="E112" s="781"/>
      <c r="F112" s="781"/>
      <c r="G112" s="781"/>
      <c r="H112" s="781"/>
      <c r="I112" s="781"/>
      <c r="J112" s="781"/>
      <c r="K112" s="781"/>
      <c r="L112" s="781"/>
      <c r="M112" s="781"/>
      <c r="N112" s="781"/>
      <c r="O112" s="781"/>
      <c r="P112" s="781"/>
      <c r="Q112" s="782"/>
      <c r="R112" s="322"/>
      <c r="S112" s="330" t="str">
        <f>IF(ISBLANK(A113),"",A113)</f>
        <v/>
      </c>
      <c r="T112" s="327" t="s">
        <v>490</v>
      </c>
      <c r="U112" s="322"/>
      <c r="V112" s="322"/>
      <c r="W112" s="322"/>
      <c r="X112" s="322"/>
      <c r="Y112" s="322"/>
      <c r="Z112" s="322"/>
      <c r="AA112" s="322"/>
      <c r="AB112" s="322"/>
      <c r="AC112" s="322"/>
      <c r="AD112" s="340"/>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row>
    <row r="113" spans="1:52" ht="26.25" customHeight="1" x14ac:dyDescent="0.2">
      <c r="A113" s="862"/>
      <c r="B113" s="845"/>
      <c r="C113" s="845"/>
      <c r="D113" s="845"/>
      <c r="E113" s="845"/>
      <c r="F113" s="845"/>
      <c r="G113" s="845"/>
      <c r="H113" s="845"/>
      <c r="I113" s="845"/>
      <c r="J113" s="845"/>
      <c r="K113" s="845"/>
      <c r="L113" s="845"/>
      <c r="M113" s="845"/>
      <c r="N113" s="845"/>
      <c r="O113" s="845"/>
      <c r="P113" s="845"/>
      <c r="Q113" s="863"/>
      <c r="R113" s="322"/>
      <c r="S113" s="322"/>
      <c r="T113" s="322"/>
      <c r="U113" s="322"/>
      <c r="V113" s="322"/>
      <c r="W113" s="322"/>
      <c r="X113" s="322"/>
      <c r="Y113" s="322"/>
      <c r="Z113" s="322"/>
      <c r="AA113" s="322"/>
      <c r="AB113" s="322"/>
      <c r="AC113" s="322"/>
      <c r="AD113" s="340"/>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249"/>
    </row>
    <row r="114" spans="1:52" ht="26.25" customHeight="1" x14ac:dyDescent="0.2">
      <c r="A114" s="864"/>
      <c r="B114" s="865"/>
      <c r="C114" s="865"/>
      <c r="D114" s="865"/>
      <c r="E114" s="865"/>
      <c r="F114" s="865"/>
      <c r="G114" s="865"/>
      <c r="H114" s="865"/>
      <c r="I114" s="865"/>
      <c r="J114" s="865"/>
      <c r="K114" s="865"/>
      <c r="L114" s="865"/>
      <c r="M114" s="865"/>
      <c r="N114" s="865"/>
      <c r="O114" s="865"/>
      <c r="P114" s="865"/>
      <c r="Q114" s="866"/>
      <c r="R114" s="322"/>
      <c r="S114" s="322"/>
      <c r="T114" s="322"/>
      <c r="U114" s="322"/>
      <c r="V114" s="322"/>
      <c r="W114" s="322"/>
      <c r="X114" s="340"/>
      <c r="Y114" s="340"/>
      <c r="Z114" s="340"/>
      <c r="AA114" s="332"/>
      <c r="AB114" s="332"/>
      <c r="AC114" s="332"/>
      <c r="AD114" s="340"/>
      <c r="AE114" s="249"/>
      <c r="AF114" s="249"/>
      <c r="AG114" s="249"/>
      <c r="AH114" s="249"/>
      <c r="AI114" s="249"/>
      <c r="AJ114" s="249"/>
      <c r="AK114" s="249"/>
      <c r="AL114" s="308"/>
      <c r="AM114" s="249"/>
      <c r="AN114" s="249"/>
      <c r="AO114" s="249"/>
      <c r="AP114" s="249"/>
      <c r="AQ114" s="249"/>
      <c r="AR114" s="249"/>
      <c r="AS114" s="249"/>
      <c r="AT114" s="249"/>
      <c r="AU114" s="249"/>
      <c r="AV114" s="249"/>
      <c r="AW114" s="249"/>
      <c r="AX114" s="249"/>
      <c r="AY114" s="249"/>
      <c r="AZ114" s="249"/>
    </row>
    <row r="115" spans="1:52" ht="26.25" customHeight="1" x14ac:dyDescent="0.2">
      <c r="A115" s="885" t="s">
        <v>514</v>
      </c>
      <c r="B115" s="886"/>
      <c r="C115" s="886"/>
      <c r="D115" s="886"/>
      <c r="E115" s="886"/>
      <c r="F115" s="886"/>
      <c r="G115" s="886"/>
      <c r="H115" s="886"/>
      <c r="I115" s="886"/>
      <c r="J115" s="886"/>
      <c r="K115" s="886"/>
      <c r="L115" s="886"/>
      <c r="M115" s="886"/>
      <c r="N115" s="886"/>
      <c r="O115" s="886"/>
      <c r="P115" s="886"/>
      <c r="Q115" s="887"/>
      <c r="R115" s="324"/>
      <c r="S115" s="324"/>
      <c r="T115" s="324"/>
      <c r="U115" s="324"/>
      <c r="V115" s="324"/>
      <c r="W115" s="322"/>
      <c r="X115" s="320"/>
      <c r="Y115" s="320"/>
      <c r="Z115" s="320"/>
      <c r="AA115" s="338"/>
      <c r="AB115" s="338"/>
      <c r="AC115" s="338"/>
      <c r="AD115" s="340"/>
      <c r="AE115" s="249"/>
      <c r="AF115" s="249"/>
      <c r="AG115" s="249"/>
      <c r="AH115" s="249"/>
      <c r="AI115" s="249"/>
      <c r="AJ115" s="249"/>
      <c r="AK115" s="249"/>
      <c r="AL115" s="308"/>
      <c r="AM115" s="249"/>
      <c r="AN115" s="249"/>
      <c r="AO115" s="249"/>
      <c r="AP115" s="249"/>
      <c r="AQ115" s="249"/>
      <c r="AR115" s="249"/>
      <c r="AS115" s="249"/>
      <c r="AT115" s="249"/>
      <c r="AU115" s="249"/>
      <c r="AV115" s="249"/>
      <c r="AW115" s="249"/>
      <c r="AX115" s="249"/>
      <c r="AY115" s="249"/>
      <c r="AZ115" s="249"/>
    </row>
    <row r="116" spans="1:52" ht="26.25" customHeight="1" x14ac:dyDescent="0.2">
      <c r="A116" s="862"/>
      <c r="B116" s="845"/>
      <c r="C116" s="845"/>
      <c r="D116" s="845"/>
      <c r="E116" s="845"/>
      <c r="F116" s="845"/>
      <c r="G116" s="845"/>
      <c r="H116" s="845"/>
      <c r="I116" s="845"/>
      <c r="J116" s="845"/>
      <c r="K116" s="845"/>
      <c r="L116" s="845"/>
      <c r="M116" s="845"/>
      <c r="N116" s="845"/>
      <c r="O116" s="845"/>
      <c r="P116" s="845"/>
      <c r="Q116" s="846"/>
      <c r="R116" s="322"/>
      <c r="S116" s="330" t="str">
        <f>IF(ISBLANK(A116),"",A116)</f>
        <v/>
      </c>
      <c r="T116" s="289" t="s">
        <v>36</v>
      </c>
      <c r="U116" s="322"/>
      <c r="V116" s="322"/>
      <c r="W116" s="322"/>
      <c r="X116" s="322"/>
      <c r="Y116" s="322"/>
      <c r="Z116" s="322"/>
      <c r="AA116" s="340"/>
      <c r="AB116" s="340"/>
      <c r="AC116" s="340"/>
      <c r="AD116" s="340"/>
      <c r="AE116" s="249"/>
      <c r="AF116" s="249"/>
      <c r="AG116" s="249"/>
      <c r="AH116" s="249"/>
      <c r="AI116" s="249"/>
      <c r="AJ116" s="249"/>
      <c r="AK116" s="249"/>
      <c r="AL116" s="308"/>
      <c r="AM116" s="249"/>
      <c r="AN116" s="249"/>
      <c r="AO116" s="249"/>
      <c r="AP116" s="249"/>
      <c r="AQ116" s="249"/>
      <c r="AR116" s="249"/>
      <c r="AS116" s="249"/>
      <c r="AT116" s="249"/>
      <c r="AU116" s="249"/>
      <c r="AV116" s="249"/>
      <c r="AW116" s="249"/>
      <c r="AX116" s="249"/>
      <c r="AY116" s="249"/>
      <c r="AZ116" s="249"/>
    </row>
    <row r="117" spans="1:52" ht="26.25" customHeight="1" thickBot="1" x14ac:dyDescent="0.25">
      <c r="A117" s="856"/>
      <c r="B117" s="857"/>
      <c r="C117" s="857"/>
      <c r="D117" s="857"/>
      <c r="E117" s="857"/>
      <c r="F117" s="857"/>
      <c r="G117" s="857"/>
      <c r="H117" s="857"/>
      <c r="I117" s="857"/>
      <c r="J117" s="857"/>
      <c r="K117" s="857"/>
      <c r="L117" s="857"/>
      <c r="M117" s="857"/>
      <c r="N117" s="857"/>
      <c r="O117" s="857"/>
      <c r="P117" s="857"/>
      <c r="Q117" s="858"/>
      <c r="R117" s="322"/>
      <c r="S117" s="322"/>
      <c r="T117" s="289"/>
      <c r="U117" s="322"/>
      <c r="V117" s="322"/>
      <c r="W117" s="322"/>
      <c r="X117" s="322"/>
      <c r="Y117" s="322"/>
      <c r="Z117" s="322"/>
      <c r="AA117" s="340"/>
      <c r="AB117" s="340"/>
      <c r="AC117" s="340"/>
      <c r="AD117" s="340"/>
      <c r="AE117" s="249"/>
      <c r="AF117" s="249"/>
      <c r="AG117" s="249"/>
      <c r="AH117" s="249"/>
      <c r="AI117" s="249"/>
      <c r="AJ117" s="249"/>
      <c r="AK117" s="249"/>
      <c r="AL117" s="308"/>
      <c r="AM117" s="249"/>
      <c r="AN117" s="249"/>
      <c r="AO117" s="249"/>
      <c r="AP117" s="249"/>
      <c r="AQ117" s="249"/>
      <c r="AR117" s="249"/>
      <c r="AS117" s="249"/>
      <c r="AT117" s="249"/>
      <c r="AU117" s="249"/>
      <c r="AV117" s="249"/>
      <c r="AW117" s="249"/>
      <c r="AX117" s="249"/>
      <c r="AY117" s="249"/>
      <c r="AZ117" s="249"/>
    </row>
    <row r="118" spans="1:52" ht="26.25" customHeight="1" x14ac:dyDescent="0.2">
      <c r="A118" s="850" t="s">
        <v>504</v>
      </c>
      <c r="B118" s="851"/>
      <c r="C118" s="851"/>
      <c r="D118" s="851"/>
      <c r="E118" s="851"/>
      <c r="F118" s="851"/>
      <c r="G118" s="851"/>
      <c r="H118" s="851"/>
      <c r="I118" s="851"/>
      <c r="J118" s="851"/>
      <c r="K118" s="851"/>
      <c r="L118" s="851"/>
      <c r="M118" s="851"/>
      <c r="N118" s="851"/>
      <c r="O118" s="851"/>
      <c r="P118" s="851"/>
      <c r="Q118" s="852"/>
      <c r="R118" s="320"/>
      <c r="S118" s="324" t="s">
        <v>540</v>
      </c>
      <c r="T118" s="320"/>
      <c r="U118" s="320"/>
      <c r="V118" s="320"/>
      <c r="W118" s="340"/>
      <c r="X118" s="322"/>
      <c r="Y118" s="322"/>
      <c r="Z118" s="322"/>
      <c r="AA118" s="340"/>
      <c r="AB118" s="340"/>
      <c r="AC118" s="340"/>
      <c r="AD118" s="340"/>
      <c r="AE118" s="249"/>
      <c r="AF118" s="249"/>
      <c r="AG118" s="249"/>
      <c r="AH118" s="249"/>
      <c r="AI118" s="249"/>
      <c r="AJ118" s="249"/>
      <c r="AK118" s="249"/>
      <c r="AL118" s="308"/>
      <c r="AM118" s="249"/>
      <c r="AN118" s="249"/>
      <c r="AO118" s="249"/>
      <c r="AP118" s="249"/>
      <c r="AQ118" s="249"/>
      <c r="AR118" s="249"/>
      <c r="AS118" s="249"/>
      <c r="AT118" s="249"/>
      <c r="AU118" s="249"/>
      <c r="AV118" s="249"/>
      <c r="AW118" s="249"/>
      <c r="AX118" s="249"/>
      <c r="AY118" s="249"/>
      <c r="AZ118" s="249"/>
    </row>
    <row r="119" spans="1:52" ht="26.25" customHeight="1" x14ac:dyDescent="0.2">
      <c r="A119" s="891" t="s">
        <v>557</v>
      </c>
      <c r="B119" s="892"/>
      <c r="C119" s="892"/>
      <c r="D119" s="892"/>
      <c r="E119" s="892"/>
      <c r="F119" s="892"/>
      <c r="G119" s="892"/>
      <c r="H119" s="892"/>
      <c r="I119" s="892"/>
      <c r="J119" s="892"/>
      <c r="K119" s="892"/>
      <c r="L119" s="893"/>
      <c r="M119" s="876"/>
      <c r="N119" s="877"/>
      <c r="O119" s="877"/>
      <c r="P119" s="877"/>
      <c r="Q119" s="878"/>
      <c r="R119" s="322"/>
      <c r="S119" s="331" t="str">
        <f>IF(ISBLANK(M119),"",VLOOKUP(M119,VImpact,2,FALSE))</f>
        <v/>
      </c>
      <c r="T119" s="327" t="s">
        <v>493</v>
      </c>
      <c r="U119" s="322"/>
      <c r="V119" s="322"/>
      <c r="W119" s="320"/>
      <c r="X119" s="322"/>
      <c r="Y119" s="322"/>
      <c r="Z119" s="322"/>
      <c r="AA119" s="340"/>
      <c r="AB119" s="340"/>
      <c r="AC119" s="340"/>
      <c r="AD119" s="340"/>
      <c r="AE119" s="249"/>
      <c r="AF119" s="249"/>
      <c r="AG119" s="249"/>
      <c r="AH119" s="249"/>
      <c r="AI119" s="249"/>
      <c r="AJ119" s="249"/>
      <c r="AK119" s="249"/>
      <c r="AL119" s="308"/>
      <c r="AM119" s="249"/>
      <c r="AN119" s="249"/>
      <c r="AO119" s="249"/>
      <c r="AP119" s="249"/>
      <c r="AQ119" s="249"/>
      <c r="AR119" s="249"/>
      <c r="AS119" s="249"/>
      <c r="AT119" s="249"/>
      <c r="AU119" s="249"/>
      <c r="AV119" s="249"/>
      <c r="AW119" s="249"/>
      <c r="AX119" s="249"/>
      <c r="AY119" s="249"/>
      <c r="AZ119" s="249"/>
    </row>
    <row r="120" spans="1:52" ht="26.25" customHeight="1" x14ac:dyDescent="0.2">
      <c r="A120" s="859" t="s">
        <v>554</v>
      </c>
      <c r="B120" s="860"/>
      <c r="C120" s="860"/>
      <c r="D120" s="860"/>
      <c r="E120" s="860"/>
      <c r="F120" s="860"/>
      <c r="G120" s="860"/>
      <c r="H120" s="860"/>
      <c r="I120" s="860"/>
      <c r="J120" s="860"/>
      <c r="K120" s="860"/>
      <c r="L120" s="861"/>
      <c r="M120" s="876"/>
      <c r="N120" s="877"/>
      <c r="O120" s="877"/>
      <c r="P120" s="877"/>
      <c r="Q120" s="878"/>
      <c r="R120" s="322"/>
      <c r="S120" s="331" t="str">
        <f>IF(ISBLANK(M120),"",VLOOKUP(M120,VEvidence,2,FALSE))</f>
        <v/>
      </c>
      <c r="T120" s="307" t="s">
        <v>494</v>
      </c>
      <c r="U120" s="322"/>
      <c r="V120" s="322"/>
      <c r="W120" s="322"/>
      <c r="X120" s="322"/>
      <c r="Y120" s="322"/>
      <c r="Z120" s="322"/>
      <c r="AA120" s="340"/>
      <c r="AB120" s="340"/>
      <c r="AC120" s="340"/>
      <c r="AD120" s="340"/>
      <c r="AE120" s="249"/>
      <c r="AF120" s="249"/>
      <c r="AG120" s="249"/>
      <c r="AH120" s="249"/>
      <c r="AI120" s="249"/>
      <c r="AJ120" s="249"/>
      <c r="AK120" s="249"/>
      <c r="AL120" s="308"/>
      <c r="AM120" s="249"/>
      <c r="AN120" s="249"/>
      <c r="AO120" s="249"/>
      <c r="AP120" s="249"/>
      <c r="AQ120" s="249"/>
      <c r="AR120" s="249"/>
      <c r="AS120" s="249"/>
      <c r="AT120" s="249"/>
      <c r="AU120" s="249"/>
      <c r="AV120" s="249"/>
      <c r="AW120" s="249"/>
      <c r="AX120" s="249"/>
      <c r="AY120" s="249"/>
      <c r="AZ120" s="249"/>
    </row>
    <row r="121" spans="1:52" ht="26.25" customHeight="1" x14ac:dyDescent="0.2">
      <c r="A121" s="888" t="s">
        <v>512</v>
      </c>
      <c r="B121" s="889"/>
      <c r="C121" s="889"/>
      <c r="D121" s="889"/>
      <c r="E121" s="889"/>
      <c r="F121" s="889"/>
      <c r="G121" s="889"/>
      <c r="H121" s="889"/>
      <c r="I121" s="889"/>
      <c r="J121" s="889"/>
      <c r="K121" s="889"/>
      <c r="L121" s="889"/>
      <c r="M121" s="889"/>
      <c r="N121" s="889"/>
      <c r="O121" s="889"/>
      <c r="P121" s="889"/>
      <c r="Q121" s="890"/>
      <c r="R121" s="322"/>
      <c r="S121" s="330" t="str">
        <f>IF(ISBLANK(A122),"",A122)</f>
        <v/>
      </c>
      <c r="T121" s="289" t="s">
        <v>35</v>
      </c>
      <c r="U121" s="322"/>
      <c r="V121" s="322"/>
      <c r="W121" s="322"/>
      <c r="X121" s="322"/>
      <c r="Y121" s="322"/>
      <c r="Z121" s="322"/>
      <c r="AA121" s="293"/>
      <c r="AB121" s="293"/>
      <c r="AC121" s="293"/>
      <c r="AD121" s="346"/>
      <c r="AE121" s="249"/>
      <c r="AF121" s="249"/>
      <c r="AG121" s="249"/>
      <c r="AH121" s="249"/>
      <c r="AI121" s="249"/>
      <c r="AJ121" s="249"/>
      <c r="AK121" s="249"/>
      <c r="AL121" s="308"/>
      <c r="AM121" s="249"/>
      <c r="AN121" s="249"/>
      <c r="AO121" s="249"/>
      <c r="AP121" s="249"/>
      <c r="AQ121" s="249"/>
      <c r="AR121" s="249"/>
      <c r="AS121" s="249"/>
      <c r="AT121" s="249"/>
      <c r="AU121" s="249"/>
      <c r="AV121" s="249"/>
      <c r="AW121" s="249"/>
      <c r="AX121" s="249"/>
      <c r="AY121" s="249"/>
      <c r="AZ121" s="249"/>
    </row>
    <row r="122" spans="1:52" ht="26.25" customHeight="1" x14ac:dyDescent="0.2">
      <c r="A122" s="862"/>
      <c r="B122" s="845"/>
      <c r="C122" s="845"/>
      <c r="D122" s="845"/>
      <c r="E122" s="845"/>
      <c r="F122" s="845"/>
      <c r="G122" s="845"/>
      <c r="H122" s="845"/>
      <c r="I122" s="845"/>
      <c r="J122" s="845"/>
      <c r="K122" s="845"/>
      <c r="L122" s="845"/>
      <c r="M122" s="845"/>
      <c r="N122" s="845"/>
      <c r="O122" s="845"/>
      <c r="P122" s="845"/>
      <c r="Q122" s="846"/>
      <c r="R122" s="322"/>
      <c r="S122" s="322"/>
      <c r="T122" s="333"/>
      <c r="U122" s="322"/>
      <c r="V122" s="322"/>
      <c r="W122" s="322"/>
      <c r="X122" s="322"/>
      <c r="Y122" s="322"/>
      <c r="Z122" s="322"/>
      <c r="AA122" s="340"/>
      <c r="AB122" s="340"/>
      <c r="AC122" s="340"/>
      <c r="AD122" s="340"/>
      <c r="AE122" s="249"/>
      <c r="AF122" s="249"/>
      <c r="AG122" s="249"/>
      <c r="AH122" s="249"/>
      <c r="AI122" s="249"/>
      <c r="AJ122" s="249"/>
      <c r="AK122" s="249"/>
      <c r="AL122" s="308"/>
      <c r="AM122" s="249"/>
      <c r="AN122" s="249"/>
      <c r="AO122" s="249"/>
      <c r="AP122" s="249"/>
      <c r="AQ122" s="249"/>
      <c r="AR122" s="249"/>
      <c r="AS122" s="249"/>
      <c r="AT122" s="249"/>
      <c r="AU122" s="249"/>
      <c r="AV122" s="249"/>
      <c r="AW122" s="249"/>
      <c r="AX122" s="249"/>
      <c r="AY122" s="249"/>
      <c r="AZ122" s="249"/>
    </row>
    <row r="123" spans="1:52" ht="26.25" customHeight="1" x14ac:dyDescent="0.2">
      <c r="A123" s="882"/>
      <c r="B123" s="883"/>
      <c r="C123" s="883"/>
      <c r="D123" s="883"/>
      <c r="E123" s="883"/>
      <c r="F123" s="883"/>
      <c r="G123" s="883"/>
      <c r="H123" s="883"/>
      <c r="I123" s="883"/>
      <c r="J123" s="883"/>
      <c r="K123" s="883"/>
      <c r="L123" s="883"/>
      <c r="M123" s="883"/>
      <c r="N123" s="883"/>
      <c r="O123" s="883"/>
      <c r="P123" s="883"/>
      <c r="Q123" s="884"/>
      <c r="R123" s="322"/>
      <c r="S123" s="322"/>
      <c r="T123" s="333"/>
      <c r="U123" s="322"/>
      <c r="V123" s="322"/>
      <c r="W123" s="322"/>
      <c r="X123" s="322"/>
      <c r="Y123" s="322"/>
      <c r="Z123" s="322"/>
      <c r="AA123" s="340"/>
      <c r="AB123" s="340"/>
      <c r="AC123" s="340"/>
      <c r="AD123" s="340"/>
      <c r="AE123" s="249"/>
      <c r="AF123" s="249"/>
      <c r="AG123" s="249"/>
      <c r="AH123" s="249"/>
      <c r="AI123" s="249"/>
      <c r="AJ123" s="249"/>
      <c r="AK123" s="249"/>
      <c r="AL123" s="308"/>
      <c r="AM123" s="249"/>
      <c r="AN123" s="249"/>
      <c r="AO123" s="249"/>
      <c r="AP123" s="249"/>
      <c r="AQ123" s="249"/>
      <c r="AR123" s="249"/>
      <c r="AS123" s="249"/>
      <c r="AT123" s="249"/>
      <c r="AU123" s="249"/>
      <c r="AV123" s="249"/>
      <c r="AW123" s="249"/>
      <c r="AX123" s="249"/>
      <c r="AY123" s="249"/>
      <c r="AZ123" s="249"/>
    </row>
    <row r="124" spans="1:52" ht="26.25" customHeight="1" x14ac:dyDescent="0.2">
      <c r="A124" s="867" t="s">
        <v>513</v>
      </c>
      <c r="B124" s="868"/>
      <c r="C124" s="868"/>
      <c r="D124" s="868"/>
      <c r="E124" s="868"/>
      <c r="F124" s="868"/>
      <c r="G124" s="868"/>
      <c r="H124" s="868"/>
      <c r="I124" s="868"/>
      <c r="J124" s="868"/>
      <c r="K124" s="868"/>
      <c r="L124" s="868"/>
      <c r="M124" s="868"/>
      <c r="N124" s="868"/>
      <c r="O124" s="868"/>
      <c r="P124" s="868"/>
      <c r="Q124" s="869"/>
      <c r="R124" s="322"/>
      <c r="S124" s="330" t="str">
        <f>IF(ISBLANK(A125),"",A125)</f>
        <v/>
      </c>
      <c r="T124" s="333" t="s">
        <v>542</v>
      </c>
      <c r="U124" s="322"/>
      <c r="V124" s="322"/>
      <c r="W124" s="322"/>
      <c r="X124" s="322"/>
      <c r="Y124" s="322"/>
      <c r="Z124" s="322"/>
      <c r="AA124" s="340"/>
      <c r="AB124" s="340"/>
      <c r="AC124" s="340"/>
      <c r="AD124" s="286"/>
      <c r="AE124" s="249"/>
      <c r="AF124" s="249"/>
      <c r="AG124" s="249"/>
      <c r="AH124" s="249"/>
      <c r="AI124" s="249"/>
      <c r="AJ124" s="249"/>
      <c r="AK124" s="249"/>
      <c r="AL124" s="308"/>
      <c r="AM124" s="249"/>
      <c r="AN124" s="249"/>
      <c r="AO124" s="249"/>
      <c r="AP124" s="249"/>
      <c r="AQ124" s="249"/>
      <c r="AR124" s="249"/>
      <c r="AS124" s="249"/>
      <c r="AT124" s="249"/>
      <c r="AU124" s="249"/>
      <c r="AV124" s="249"/>
      <c r="AW124" s="249"/>
      <c r="AX124" s="249"/>
      <c r="AY124" s="249"/>
      <c r="AZ124" s="249"/>
    </row>
    <row r="125" spans="1:52" ht="26.25" customHeight="1" x14ac:dyDescent="0.25">
      <c r="A125" s="862"/>
      <c r="B125" s="845"/>
      <c r="C125" s="845"/>
      <c r="D125" s="845"/>
      <c r="E125" s="845"/>
      <c r="F125" s="845"/>
      <c r="G125" s="845"/>
      <c r="H125" s="845"/>
      <c r="I125" s="845"/>
      <c r="J125" s="845"/>
      <c r="K125" s="845"/>
      <c r="L125" s="845"/>
      <c r="M125" s="845"/>
      <c r="N125" s="845"/>
      <c r="O125" s="845"/>
      <c r="P125" s="845"/>
      <c r="Q125" s="863"/>
      <c r="R125" s="322"/>
      <c r="U125" s="322"/>
      <c r="V125" s="322"/>
      <c r="W125" s="322"/>
      <c r="X125" s="332"/>
      <c r="Y125" s="332"/>
      <c r="Z125" s="332"/>
      <c r="AA125" s="293"/>
      <c r="AB125" s="293"/>
      <c r="AC125" s="293"/>
      <c r="AD125" s="328"/>
      <c r="AE125" s="249"/>
      <c r="AF125" s="249"/>
      <c r="AG125" s="249"/>
      <c r="AH125" s="249"/>
      <c r="AI125" s="249"/>
      <c r="AJ125" s="249"/>
      <c r="AK125" s="249"/>
      <c r="AL125" s="308"/>
      <c r="AM125" s="249"/>
      <c r="AN125" s="249"/>
      <c r="AO125" s="249"/>
      <c r="AP125" s="249"/>
      <c r="AQ125" s="249"/>
      <c r="AR125" s="249"/>
      <c r="AS125" s="249"/>
      <c r="AT125" s="249"/>
      <c r="AU125" s="249"/>
      <c r="AV125" s="249"/>
      <c r="AW125" s="249"/>
      <c r="AX125" s="249"/>
      <c r="AY125" s="249"/>
      <c r="AZ125" s="249"/>
    </row>
    <row r="126" spans="1:52" ht="26.25" customHeight="1" thickBot="1" x14ac:dyDescent="0.25">
      <c r="A126" s="847"/>
      <c r="B126" s="848"/>
      <c r="C126" s="848"/>
      <c r="D126" s="848"/>
      <c r="E126" s="848"/>
      <c r="F126" s="848"/>
      <c r="G126" s="848"/>
      <c r="H126" s="848"/>
      <c r="I126" s="848"/>
      <c r="J126" s="848"/>
      <c r="K126" s="848"/>
      <c r="L126" s="848"/>
      <c r="M126" s="848"/>
      <c r="N126" s="848"/>
      <c r="O126" s="848"/>
      <c r="P126" s="848"/>
      <c r="Q126" s="849"/>
      <c r="R126" s="322"/>
      <c r="S126" s="322"/>
      <c r="T126" s="322"/>
      <c r="U126" s="322"/>
      <c r="V126" s="322"/>
      <c r="W126" s="322"/>
      <c r="X126" s="320"/>
      <c r="Y126" s="320"/>
      <c r="Z126" s="320"/>
      <c r="AA126" s="322"/>
      <c r="AB126" s="322"/>
      <c r="AC126" s="322"/>
      <c r="AD126" s="340"/>
      <c r="AE126" s="249"/>
      <c r="AF126" s="249"/>
      <c r="AG126" s="249"/>
      <c r="AH126" s="249"/>
      <c r="AI126" s="249"/>
      <c r="AJ126" s="249"/>
      <c r="AK126" s="249"/>
      <c r="AL126" s="308"/>
      <c r="AM126" s="249"/>
      <c r="AN126" s="249"/>
      <c r="AO126" s="249"/>
      <c r="AP126" s="249"/>
      <c r="AQ126" s="249"/>
      <c r="AR126" s="249"/>
      <c r="AS126" s="249"/>
      <c r="AT126" s="249"/>
      <c r="AU126" s="249"/>
      <c r="AV126" s="249"/>
      <c r="AW126" s="249"/>
      <c r="AX126" s="249"/>
      <c r="AY126" s="249"/>
      <c r="AZ126" s="249"/>
    </row>
    <row r="127" spans="1:52" ht="26.25" customHeight="1" x14ac:dyDescent="0.25">
      <c r="A127" s="841" t="s">
        <v>555</v>
      </c>
      <c r="B127" s="842"/>
      <c r="C127" s="842"/>
      <c r="D127" s="842"/>
      <c r="E127" s="842"/>
      <c r="F127" s="842"/>
      <c r="G127" s="842"/>
      <c r="H127" s="842"/>
      <c r="I127" s="842"/>
      <c r="J127" s="842"/>
      <c r="K127" s="842"/>
      <c r="L127" s="842"/>
      <c r="M127" s="842"/>
      <c r="N127" s="842"/>
      <c r="O127" s="842"/>
      <c r="P127" s="842"/>
      <c r="Q127" s="843"/>
      <c r="S127" s="336" t="str">
        <f>IF(ISBLANK(A128),"",A128)</f>
        <v/>
      </c>
      <c r="T127" s="337" t="s">
        <v>556</v>
      </c>
      <c r="W127" s="322"/>
      <c r="X127" s="322"/>
      <c r="Y127" s="322"/>
      <c r="Z127" s="322"/>
      <c r="AA127" s="322"/>
      <c r="AB127" s="322"/>
      <c r="AC127" s="322"/>
      <c r="AD127" s="328"/>
      <c r="AE127" s="249"/>
      <c r="AF127" s="249"/>
      <c r="AG127" s="249"/>
      <c r="AH127" s="249"/>
      <c r="AI127" s="249"/>
      <c r="AJ127" s="249"/>
      <c r="AK127" s="249"/>
      <c r="AL127" s="308"/>
      <c r="AM127" s="249"/>
      <c r="AN127" s="249"/>
      <c r="AO127" s="249"/>
      <c r="AP127" s="249"/>
      <c r="AQ127" s="249"/>
      <c r="AR127" s="249"/>
      <c r="AS127" s="249"/>
      <c r="AT127" s="249"/>
      <c r="AU127" s="249"/>
      <c r="AV127" s="249"/>
      <c r="AW127" s="249"/>
      <c r="AX127" s="249"/>
      <c r="AY127" s="249"/>
      <c r="AZ127" s="249"/>
    </row>
    <row r="128" spans="1:52" ht="26.25" customHeight="1" x14ac:dyDescent="0.25">
      <c r="A128" s="862"/>
      <c r="B128" s="845"/>
      <c r="C128" s="845"/>
      <c r="D128" s="845"/>
      <c r="E128" s="845"/>
      <c r="F128" s="845"/>
      <c r="G128" s="845"/>
      <c r="H128" s="845"/>
      <c r="I128" s="845"/>
      <c r="J128" s="845"/>
      <c r="K128" s="845"/>
      <c r="L128" s="845"/>
      <c r="M128" s="845"/>
      <c r="N128" s="845"/>
      <c r="O128" s="845"/>
      <c r="P128" s="845"/>
      <c r="Q128" s="846"/>
      <c r="W128" s="322"/>
      <c r="X128" s="322"/>
      <c r="Y128" s="322"/>
      <c r="Z128" s="322"/>
      <c r="AA128" s="322"/>
      <c r="AB128" s="322"/>
      <c r="AC128" s="322"/>
      <c r="AD128" s="328"/>
      <c r="AE128" s="249"/>
      <c r="AF128" s="249"/>
      <c r="AG128" s="249"/>
      <c r="AH128" s="249"/>
      <c r="AI128" s="249"/>
      <c r="AJ128" s="249"/>
      <c r="AK128" s="249"/>
      <c r="AL128" s="308"/>
      <c r="AM128" s="249"/>
      <c r="AN128" s="249"/>
      <c r="AO128" s="249"/>
      <c r="AP128" s="249"/>
      <c r="AQ128" s="249"/>
      <c r="AR128" s="249"/>
      <c r="AS128" s="249"/>
      <c r="AT128" s="249"/>
      <c r="AU128" s="249"/>
      <c r="AV128" s="249"/>
      <c r="AW128" s="249"/>
      <c r="AX128" s="249"/>
      <c r="AY128" s="249"/>
      <c r="AZ128" s="249"/>
    </row>
    <row r="129" spans="1:52" ht="26.25" customHeight="1" thickBot="1" x14ac:dyDescent="0.3">
      <c r="A129" s="847"/>
      <c r="B129" s="848"/>
      <c r="C129" s="848"/>
      <c r="D129" s="848"/>
      <c r="E129" s="848"/>
      <c r="F129" s="848"/>
      <c r="G129" s="848"/>
      <c r="H129" s="848"/>
      <c r="I129" s="848"/>
      <c r="J129" s="848"/>
      <c r="K129" s="848"/>
      <c r="L129" s="848"/>
      <c r="M129" s="848"/>
      <c r="N129" s="848"/>
      <c r="O129" s="848"/>
      <c r="P129" s="848"/>
      <c r="Q129" s="849"/>
      <c r="R129" s="286"/>
      <c r="S129" s="286"/>
      <c r="T129" s="286"/>
      <c r="U129" s="286"/>
      <c r="V129" s="286"/>
      <c r="W129" s="332"/>
      <c r="X129" s="322"/>
      <c r="Y129" s="322"/>
      <c r="Z129" s="322"/>
      <c r="AA129" s="322"/>
      <c r="AB129" s="322"/>
      <c r="AC129" s="322"/>
      <c r="AD129" s="328"/>
      <c r="AE129" s="249"/>
      <c r="AF129" s="249"/>
      <c r="AG129" s="249"/>
      <c r="AH129" s="249"/>
      <c r="AI129" s="249"/>
      <c r="AJ129" s="249"/>
      <c r="AK129" s="249"/>
      <c r="AL129" s="249"/>
      <c r="AM129" s="249"/>
      <c r="AN129" s="249"/>
      <c r="AO129" s="249"/>
      <c r="AP129" s="249"/>
      <c r="AQ129" s="249"/>
      <c r="AR129" s="249"/>
      <c r="AS129" s="249"/>
      <c r="AT129" s="249"/>
      <c r="AU129" s="249"/>
      <c r="AV129" s="249"/>
      <c r="AW129" s="249"/>
      <c r="AX129" s="249"/>
      <c r="AY129" s="249"/>
      <c r="AZ129" s="249"/>
    </row>
    <row r="130" spans="1:52" ht="26.25" customHeight="1" x14ac:dyDescent="0.25">
      <c r="A130" s="850" t="s">
        <v>482</v>
      </c>
      <c r="B130" s="851"/>
      <c r="C130" s="851"/>
      <c r="D130" s="851"/>
      <c r="E130" s="851"/>
      <c r="F130" s="851"/>
      <c r="G130" s="851"/>
      <c r="H130" s="851"/>
      <c r="I130" s="851"/>
      <c r="J130" s="851"/>
      <c r="K130" s="851"/>
      <c r="L130" s="851"/>
      <c r="M130" s="851"/>
      <c r="N130" s="851"/>
      <c r="O130" s="851"/>
      <c r="P130" s="851"/>
      <c r="Q130" s="852"/>
      <c r="R130" s="334"/>
      <c r="S130" s="341"/>
      <c r="T130" s="342"/>
      <c r="U130" s="334"/>
      <c r="V130" s="334"/>
      <c r="W130" s="320"/>
      <c r="X130" s="322"/>
      <c r="Y130" s="322"/>
      <c r="Z130" s="322"/>
      <c r="AA130" s="322"/>
      <c r="AB130" s="322"/>
      <c r="AC130" s="322"/>
      <c r="AD130" s="328"/>
      <c r="AE130" s="249"/>
      <c r="AF130" s="249"/>
      <c r="AG130" s="249"/>
      <c r="AH130" s="249"/>
      <c r="AI130" s="249"/>
      <c r="AJ130" s="249"/>
      <c r="AK130" s="249"/>
      <c r="AL130" s="249"/>
      <c r="AM130" s="249"/>
      <c r="AN130" s="249"/>
      <c r="AO130" s="249"/>
      <c r="AP130" s="249"/>
      <c r="AQ130" s="249"/>
      <c r="AR130" s="249"/>
      <c r="AS130" s="249"/>
      <c r="AT130" s="249"/>
      <c r="AU130" s="249"/>
      <c r="AV130" s="249"/>
      <c r="AW130" s="249"/>
      <c r="AX130" s="249"/>
      <c r="AY130" s="249"/>
      <c r="AZ130" s="249"/>
    </row>
    <row r="131" spans="1:52" ht="26.25" customHeight="1" x14ac:dyDescent="0.25">
      <c r="A131" s="853"/>
      <c r="B131" s="854"/>
      <c r="C131" s="854"/>
      <c r="D131" s="854"/>
      <c r="E131" s="854"/>
      <c r="F131" s="854"/>
      <c r="G131" s="854"/>
      <c r="H131" s="854"/>
      <c r="I131" s="854"/>
      <c r="J131" s="854"/>
      <c r="K131" s="854"/>
      <c r="L131" s="854"/>
      <c r="M131" s="854"/>
      <c r="N131" s="854"/>
      <c r="O131" s="854"/>
      <c r="P131" s="854"/>
      <c r="Q131" s="855"/>
      <c r="R131" s="186"/>
      <c r="S131" s="343" t="str">
        <f>IF(ISBLANK(A131),"",CONCATENATE(S130,A131))</f>
        <v/>
      </c>
      <c r="T131" s="289" t="s">
        <v>37</v>
      </c>
      <c r="U131" s="186"/>
      <c r="V131" s="186"/>
      <c r="W131" s="322"/>
      <c r="X131" s="322"/>
      <c r="Y131" s="322"/>
      <c r="Z131" s="322"/>
      <c r="AA131" s="322"/>
      <c r="AB131" s="322"/>
      <c r="AC131" s="322"/>
      <c r="AD131" s="328"/>
      <c r="AE131" s="249"/>
      <c r="AF131" s="249"/>
      <c r="AG131" s="249"/>
      <c r="AH131" s="249"/>
      <c r="AI131" s="249"/>
      <c r="AJ131" s="249"/>
      <c r="AK131" s="249"/>
      <c r="AL131" s="249"/>
      <c r="AM131" s="249"/>
      <c r="AN131" s="249"/>
      <c r="AO131" s="249"/>
      <c r="AP131" s="249"/>
      <c r="AQ131" s="249"/>
      <c r="AR131" s="249"/>
      <c r="AS131" s="249"/>
      <c r="AT131" s="249"/>
      <c r="AU131" s="249"/>
      <c r="AV131" s="249"/>
      <c r="AW131" s="249"/>
      <c r="AX131" s="249"/>
      <c r="AY131" s="249"/>
      <c r="AZ131" s="249"/>
    </row>
    <row r="132" spans="1:52" ht="26.25" customHeight="1" thickBot="1" x14ac:dyDescent="0.3">
      <c r="A132" s="856"/>
      <c r="B132" s="857"/>
      <c r="C132" s="857"/>
      <c r="D132" s="857"/>
      <c r="E132" s="857"/>
      <c r="F132" s="857"/>
      <c r="G132" s="857"/>
      <c r="H132" s="857"/>
      <c r="I132" s="857"/>
      <c r="J132" s="857"/>
      <c r="K132" s="857"/>
      <c r="L132" s="857"/>
      <c r="M132" s="857"/>
      <c r="N132" s="857"/>
      <c r="O132" s="857"/>
      <c r="P132" s="857"/>
      <c r="Q132" s="858"/>
      <c r="R132" s="186"/>
      <c r="S132" s="340"/>
      <c r="T132" s="340"/>
      <c r="U132" s="340"/>
      <c r="V132" s="340"/>
      <c r="W132" s="322"/>
      <c r="X132" s="322"/>
      <c r="Y132" s="322"/>
      <c r="Z132" s="322"/>
      <c r="AA132" s="322"/>
      <c r="AB132" s="322"/>
      <c r="AC132" s="322"/>
      <c r="AD132" s="328"/>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row>
    <row r="133" spans="1:52" ht="26.45" customHeight="1" x14ac:dyDescent="0.25">
      <c r="A133" s="344" t="e">
        <f>$A$1</f>
        <v>#N/A</v>
      </c>
      <c r="B133" s="340"/>
      <c r="C133" s="340"/>
      <c r="D133" s="340"/>
      <c r="E133" s="340"/>
      <c r="F133" s="340"/>
      <c r="G133" s="340"/>
      <c r="H133" s="340"/>
      <c r="I133" s="340"/>
      <c r="J133" s="340"/>
      <c r="K133" s="340"/>
      <c r="L133" s="340"/>
      <c r="M133" s="340"/>
      <c r="N133" s="340"/>
      <c r="O133" s="340"/>
      <c r="P133" s="773"/>
      <c r="Q133" s="773"/>
      <c r="R133" s="332"/>
      <c r="S133" s="332"/>
      <c r="T133" s="332"/>
      <c r="U133" s="332"/>
      <c r="V133" s="332"/>
      <c r="W133" s="322"/>
      <c r="X133" s="322"/>
      <c r="Y133" s="322"/>
      <c r="Z133" s="322"/>
      <c r="AA133" s="322"/>
      <c r="AB133" s="322"/>
      <c r="AC133" s="322"/>
      <c r="AD133" s="328"/>
      <c r="AE133" s="249"/>
      <c r="AF133" s="249"/>
      <c r="AG133" s="249"/>
      <c r="AH133" s="249"/>
      <c r="AI133" s="249"/>
      <c r="AJ133" s="249"/>
      <c r="AK133" s="249"/>
      <c r="AL133" s="249"/>
      <c r="AM133" s="249"/>
      <c r="AN133" s="249"/>
      <c r="AO133" s="249"/>
      <c r="AP133" s="249"/>
      <c r="AQ133" s="249"/>
      <c r="AR133" s="249"/>
      <c r="AS133" s="249"/>
      <c r="AT133" s="249"/>
      <c r="AU133" s="249"/>
      <c r="AV133" s="249"/>
      <c r="AW133" s="249"/>
      <c r="AX133" s="249"/>
      <c r="AY133" s="249"/>
      <c r="AZ133" s="249"/>
    </row>
    <row r="134" spans="1:52" ht="26.25" customHeight="1" thickBot="1" x14ac:dyDescent="0.3">
      <c r="A134" s="776" t="s">
        <v>568</v>
      </c>
      <c r="B134" s="777"/>
      <c r="C134" s="777"/>
      <c r="D134" s="777"/>
      <c r="E134" s="777"/>
      <c r="F134" s="777"/>
      <c r="G134" s="777"/>
      <c r="H134" s="777"/>
      <c r="I134" s="777"/>
      <c r="J134" s="777"/>
      <c r="K134" s="777"/>
      <c r="L134" s="777"/>
      <c r="M134" s="777"/>
      <c r="N134" s="774" t="str">
        <f>$N$5</f>
        <v>2022 Report Year</v>
      </c>
      <c r="O134" s="775"/>
      <c r="P134" s="775"/>
      <c r="Q134" s="775"/>
      <c r="R134" s="338"/>
      <c r="S134" s="338"/>
      <c r="T134" s="338"/>
      <c r="U134" s="338"/>
      <c r="V134" s="338"/>
      <c r="W134" s="322"/>
      <c r="X134" s="322"/>
      <c r="Y134" s="322"/>
      <c r="Z134" s="322"/>
      <c r="AA134" s="322"/>
      <c r="AB134" s="322"/>
      <c r="AC134" s="322"/>
      <c r="AD134" s="328"/>
      <c r="AE134" s="249"/>
      <c r="AF134" s="249"/>
      <c r="AG134" s="249"/>
      <c r="AH134" s="249"/>
      <c r="AI134" s="249"/>
      <c r="AJ134" s="249"/>
      <c r="AK134" s="249"/>
      <c r="AL134" s="249"/>
      <c r="AM134" s="249"/>
      <c r="AN134" s="249"/>
      <c r="AO134" s="249"/>
      <c r="AP134" s="249"/>
      <c r="AQ134" s="249"/>
      <c r="AR134" s="249"/>
      <c r="AS134" s="249"/>
      <c r="AT134" s="249"/>
      <c r="AU134" s="249"/>
      <c r="AV134" s="249"/>
      <c r="AW134" s="249"/>
      <c r="AX134" s="249"/>
      <c r="AY134" s="249"/>
      <c r="AZ134" s="249"/>
    </row>
    <row r="135" spans="1:52" ht="26.25" customHeight="1" x14ac:dyDescent="0.25">
      <c r="A135" s="821" t="e">
        <f>IF(AND(OR(ISNA(cap_exp_contact),TRIM(cap_exp_contact)=""),NOT(ISBLANK(code_7594))),"The Capital Expenditure Contact information has NOT been provided.  Please complete this information now.","")</f>
        <v>#N/A</v>
      </c>
      <c r="B135" s="822"/>
      <c r="C135" s="822"/>
      <c r="D135" s="822"/>
      <c r="E135" s="822"/>
      <c r="F135" s="822"/>
      <c r="G135" s="822"/>
      <c r="H135" s="822"/>
      <c r="I135" s="822"/>
      <c r="J135" s="822"/>
      <c r="K135" s="822"/>
      <c r="L135" s="822"/>
      <c r="M135" s="822"/>
      <c r="N135" s="271" t="s">
        <v>278</v>
      </c>
      <c r="O135" s="272" t="e">
        <f>'Capital Expend Detail'!$I$7</f>
        <v>#N/A</v>
      </c>
      <c r="P135" s="273" t="s">
        <v>431</v>
      </c>
      <c r="Q135" s="274" t="e">
        <f>IF(ISBLANK(Q92),"",Q92+1)</f>
        <v>#VALUE!</v>
      </c>
      <c r="R135" s="197"/>
      <c r="S135" s="340"/>
      <c r="T135" s="340"/>
      <c r="U135" s="340"/>
      <c r="V135" s="340"/>
      <c r="W135" s="322"/>
      <c r="X135" s="322"/>
      <c r="Y135" s="322"/>
      <c r="Z135" s="322"/>
      <c r="AA135" s="340"/>
      <c r="AB135" s="340"/>
      <c r="AC135" s="340"/>
      <c r="AD135" s="328"/>
      <c r="AE135" s="249"/>
      <c r="AF135" s="249"/>
      <c r="AG135" s="249"/>
      <c r="AH135" s="249"/>
      <c r="AI135" s="249"/>
      <c r="AJ135" s="249"/>
      <c r="AK135" s="249"/>
      <c r="AL135" s="249"/>
      <c r="AM135" s="249"/>
      <c r="AN135" s="249"/>
      <c r="AO135" s="249"/>
      <c r="AP135" s="249"/>
      <c r="AQ135" s="249"/>
      <c r="AR135" s="249"/>
      <c r="AS135" s="249"/>
      <c r="AT135" s="249"/>
      <c r="AU135" s="249"/>
      <c r="AV135" s="249"/>
      <c r="AW135" s="249"/>
      <c r="AX135" s="249"/>
      <c r="AY135" s="249"/>
      <c r="AZ135" s="249"/>
    </row>
    <row r="136" spans="1:52" ht="26.25" customHeight="1" thickBot="1" x14ac:dyDescent="0.3">
      <c r="A136" s="778" t="s">
        <v>432</v>
      </c>
      <c r="B136" s="779"/>
      <c r="C136" s="779"/>
      <c r="D136" s="779"/>
      <c r="E136" s="815"/>
      <c r="F136" s="816"/>
      <c r="G136" s="816"/>
      <c r="H136" s="816"/>
      <c r="I136" s="816"/>
      <c r="J136" s="816"/>
      <c r="K136" s="816"/>
      <c r="L136" s="817"/>
      <c r="M136" s="276"/>
      <c r="N136" s="823" t="s">
        <v>443</v>
      </c>
      <c r="O136" s="824"/>
      <c r="P136" s="824"/>
      <c r="Q136" s="825"/>
      <c r="R136" s="197"/>
      <c r="S136" s="277" t="str">
        <f>IF(ISBLANK(E136),"",E136)</f>
        <v/>
      </c>
      <c r="T136" s="278" t="s">
        <v>407</v>
      </c>
      <c r="U136" s="197"/>
      <c r="V136" s="197"/>
      <c r="W136" s="322"/>
      <c r="X136" s="340"/>
      <c r="Y136" s="340"/>
      <c r="Z136" s="340"/>
      <c r="AA136" s="320"/>
      <c r="AB136" s="320"/>
      <c r="AC136" s="320"/>
      <c r="AD136" s="328"/>
      <c r="AE136" s="249"/>
      <c r="AF136" s="249"/>
      <c r="AG136" s="249"/>
      <c r="AH136" s="249"/>
      <c r="AI136" s="249"/>
      <c r="AJ136" s="249"/>
      <c r="AK136" s="249"/>
      <c r="AL136" s="249"/>
      <c r="AM136" s="249"/>
      <c r="AN136" s="249"/>
      <c r="AO136" s="249"/>
      <c r="AP136" s="249"/>
      <c r="AQ136" s="249"/>
      <c r="AR136" s="249"/>
      <c r="AS136" s="249"/>
      <c r="AT136" s="249"/>
      <c r="AU136" s="249"/>
      <c r="AV136" s="249"/>
      <c r="AW136" s="249"/>
      <c r="AX136" s="249"/>
      <c r="AY136" s="249"/>
      <c r="AZ136" s="249"/>
    </row>
    <row r="137" spans="1:52" ht="26.25" customHeight="1" x14ac:dyDescent="0.2">
      <c r="A137" s="833" t="s">
        <v>433</v>
      </c>
      <c r="B137" s="834"/>
      <c r="C137" s="834"/>
      <c r="D137" s="835"/>
      <c r="E137" s="788"/>
      <c r="F137" s="789"/>
      <c r="G137" s="789"/>
      <c r="H137" s="789"/>
      <c r="I137" s="789"/>
      <c r="J137" s="789"/>
      <c r="K137" s="789"/>
      <c r="L137" s="790"/>
      <c r="M137" s="793" t="str">
        <f>IF(AND(ISBLANK(E137),OR(NOT(ISBLANK(E138)),NOT(ISBLANK(E139)),NOT(ISBLANK(E140)),NOT(ISBLANK(I141)),NOT(ISBLANK(A143)))),"This information is required.","")</f>
        <v/>
      </c>
      <c r="N137" s="794"/>
      <c r="O137" s="794"/>
      <c r="P137" s="794"/>
      <c r="Q137" s="279"/>
      <c r="R137" s="197"/>
      <c r="S137" s="277" t="str">
        <f>IF(ISBLANK(E137),"",E137)</f>
        <v/>
      </c>
      <c r="T137" s="278" t="s">
        <v>27</v>
      </c>
      <c r="U137" s="197"/>
      <c r="V137" s="197"/>
      <c r="W137" s="322"/>
      <c r="X137" s="324"/>
      <c r="Y137" s="324"/>
      <c r="Z137" s="324"/>
      <c r="AA137" s="322"/>
      <c r="AB137" s="322"/>
      <c r="AC137" s="322"/>
      <c r="AD137" s="340"/>
      <c r="AE137" s="249"/>
      <c r="AF137" s="249"/>
      <c r="AG137" s="249"/>
      <c r="AH137" s="249"/>
      <c r="AI137" s="249"/>
      <c r="AJ137" s="249"/>
      <c r="AK137" s="249"/>
      <c r="AL137" s="249"/>
      <c r="AM137" s="249"/>
      <c r="AN137" s="249"/>
      <c r="AO137" s="249"/>
      <c r="AP137" s="249"/>
      <c r="AQ137" s="249"/>
      <c r="AR137" s="249"/>
      <c r="AS137" s="249"/>
      <c r="AT137" s="249"/>
      <c r="AU137" s="249"/>
      <c r="AV137" s="249"/>
      <c r="AW137" s="249"/>
      <c r="AX137" s="249"/>
      <c r="AY137" s="249"/>
      <c r="AZ137" s="249"/>
    </row>
    <row r="138" spans="1:52" ht="26.25" customHeight="1" x14ac:dyDescent="0.25">
      <c r="A138" s="783" t="s">
        <v>434</v>
      </c>
      <c r="B138" s="784"/>
      <c r="C138" s="784"/>
      <c r="D138" s="785"/>
      <c r="E138" s="788"/>
      <c r="F138" s="789"/>
      <c r="G138" s="789"/>
      <c r="H138" s="789"/>
      <c r="I138" s="789"/>
      <c r="J138" s="789"/>
      <c r="K138" s="789"/>
      <c r="L138" s="790"/>
      <c r="M138" s="793" t="str">
        <f>IF(AND(ISBLANK(E138),OR(NOT(ISBLANK(E137)),NOT(ISBLANK(E139)),NOT(ISBLANK(E140)),NOT(ISBLANK(I141)),NOT(ISBLANK(A143)))),"This information is required.","")</f>
        <v/>
      </c>
      <c r="N138" s="794"/>
      <c r="O138" s="794"/>
      <c r="P138" s="794"/>
      <c r="Q138" s="279"/>
      <c r="R138" s="197"/>
      <c r="S138" s="277" t="str">
        <f>IF(ISBLANK(E138),"",E138)</f>
        <v/>
      </c>
      <c r="T138" s="278" t="s">
        <v>28</v>
      </c>
      <c r="U138" s="197"/>
      <c r="V138" s="197"/>
      <c r="W138" s="322"/>
      <c r="X138" s="322"/>
      <c r="Y138" s="322"/>
      <c r="Z138" s="322"/>
      <c r="AA138" s="322"/>
      <c r="AB138" s="322"/>
      <c r="AC138" s="322"/>
      <c r="AD138" s="328"/>
      <c r="AE138" s="249"/>
      <c r="AF138" s="249"/>
      <c r="AG138" s="249"/>
      <c r="AH138" s="249"/>
      <c r="AI138" s="249"/>
      <c r="AJ138" s="249"/>
      <c r="AK138" s="249"/>
      <c r="AL138" s="249"/>
      <c r="AM138" s="249"/>
      <c r="AN138" s="249"/>
      <c r="AO138" s="249"/>
      <c r="AP138" s="249"/>
      <c r="AQ138" s="249"/>
      <c r="AR138" s="249"/>
      <c r="AS138" s="249"/>
      <c r="AT138" s="249"/>
      <c r="AU138" s="249"/>
      <c r="AV138" s="249"/>
      <c r="AW138" s="249"/>
      <c r="AX138" s="249"/>
      <c r="AY138" s="249"/>
      <c r="AZ138" s="249"/>
    </row>
    <row r="139" spans="1:52" ht="26.25" customHeight="1" x14ac:dyDescent="0.25">
      <c r="A139" s="873" t="s">
        <v>436</v>
      </c>
      <c r="B139" s="874"/>
      <c r="C139" s="874"/>
      <c r="D139" s="875"/>
      <c r="E139" s="813"/>
      <c r="F139" s="814"/>
      <c r="G139" s="786" t="s">
        <v>437</v>
      </c>
      <c r="H139" s="786"/>
      <c r="I139" s="786"/>
      <c r="J139" s="786"/>
      <c r="K139" s="786"/>
      <c r="L139" s="786"/>
      <c r="M139" s="787" t="str">
        <f>IF(AND(ISBLANK(E139),OR(NOT(ISBLANK(E137)),NOT(ISBLANK(E138)),NOT(ISBLANK(E140)),NOT(ISBLANK(I141)),NOT(ISBLANK(A143)))),"This information is required.","")</f>
        <v/>
      </c>
      <c r="N139" s="711"/>
      <c r="O139" s="711"/>
      <c r="P139" s="711"/>
      <c r="Q139" s="280"/>
      <c r="R139" s="281"/>
      <c r="S139" s="282" t="str">
        <f>IF(ISBLANK(E139),"",E139)</f>
        <v/>
      </c>
      <c r="T139" s="283" t="s">
        <v>30</v>
      </c>
      <c r="U139" s="281"/>
      <c r="V139" s="281"/>
      <c r="W139" s="322"/>
      <c r="X139" s="322"/>
      <c r="Y139" s="322"/>
      <c r="Z139" s="322"/>
      <c r="AA139" s="322"/>
      <c r="AB139" s="322"/>
      <c r="AC139" s="322"/>
      <c r="AD139" s="328"/>
      <c r="AE139" s="249"/>
      <c r="AF139" s="249"/>
      <c r="AG139" s="249"/>
      <c r="AH139" s="249"/>
      <c r="AI139" s="249"/>
      <c r="AJ139" s="249"/>
      <c r="AK139" s="249"/>
      <c r="AL139" s="249"/>
      <c r="AM139" s="249"/>
      <c r="AN139" s="249"/>
      <c r="AO139" s="249"/>
      <c r="AP139" s="249"/>
      <c r="AQ139" s="249"/>
      <c r="AR139" s="249"/>
      <c r="AS139" s="249"/>
      <c r="AT139" s="249"/>
      <c r="AU139" s="249"/>
      <c r="AV139" s="249"/>
      <c r="AW139" s="249"/>
      <c r="AX139" s="249"/>
      <c r="AY139" s="249"/>
      <c r="AZ139" s="249"/>
    </row>
    <row r="140" spans="1:52" ht="26.25" customHeight="1" x14ac:dyDescent="0.25">
      <c r="A140" s="783" t="s">
        <v>435</v>
      </c>
      <c r="B140" s="784"/>
      <c r="C140" s="784"/>
      <c r="D140" s="785"/>
      <c r="E140" s="828"/>
      <c r="F140" s="829"/>
      <c r="G140" s="284"/>
      <c r="H140" s="285"/>
      <c r="I140" s="286"/>
      <c r="J140" s="281"/>
      <c r="K140" s="281"/>
      <c r="L140" s="281"/>
      <c r="M140" s="711" t="str">
        <f>IF(AND(ISBLANK(E140),OR(NOT(ISBLANK(E137)),NOT(ISBLANK(E138)),NOT(ISBLANK(E139)),NOT(ISBLANK(I141)),NOT(ISBLANK(A143)))),"This information is required.","")</f>
        <v/>
      </c>
      <c r="N140" s="711"/>
      <c r="O140" s="711"/>
      <c r="P140" s="711"/>
      <c r="Q140" s="280"/>
      <c r="R140" s="287"/>
      <c r="S140" s="288" t="str">
        <f>IF(ISBLANK(E140),"",E140)</f>
        <v/>
      </c>
      <c r="T140" s="289" t="s">
        <v>31</v>
      </c>
      <c r="U140" s="287"/>
      <c r="V140" s="287"/>
      <c r="W140" s="340"/>
      <c r="X140" s="322"/>
      <c r="Y140" s="322"/>
      <c r="Z140" s="322"/>
      <c r="AA140" s="322"/>
      <c r="AB140" s="322"/>
      <c r="AC140" s="322"/>
      <c r="AD140" s="328"/>
      <c r="AE140" s="249"/>
      <c r="AF140" s="249"/>
      <c r="AG140" s="249"/>
      <c r="AH140" s="249"/>
      <c r="AI140" s="249"/>
      <c r="AJ140" s="249"/>
      <c r="AK140" s="249"/>
      <c r="AL140" s="249"/>
      <c r="AM140" s="249"/>
      <c r="AN140" s="249"/>
      <c r="AO140" s="249"/>
      <c r="AP140" s="249"/>
      <c r="AQ140" s="249"/>
      <c r="AR140" s="249"/>
      <c r="AS140" s="249"/>
      <c r="AT140" s="249"/>
      <c r="AU140" s="249"/>
      <c r="AV140" s="249"/>
      <c r="AW140" s="249"/>
      <c r="AX140" s="249"/>
      <c r="AY140" s="249"/>
      <c r="AZ140" s="249"/>
    </row>
    <row r="141" spans="1:52" ht="26.25" customHeight="1" thickBot="1" x14ac:dyDescent="0.3">
      <c r="A141" s="797" t="s">
        <v>426</v>
      </c>
      <c r="B141" s="798"/>
      <c r="C141" s="798"/>
      <c r="D141" s="798"/>
      <c r="E141" s="799"/>
      <c r="F141" s="799"/>
      <c r="G141" s="799"/>
      <c r="H141" s="799"/>
      <c r="I141" s="832"/>
      <c r="J141" s="832"/>
      <c r="K141" s="795" t="s">
        <v>481</v>
      </c>
      <c r="L141" s="796"/>
      <c r="M141" s="827" t="str">
        <f>IF(AND(ISBLANK(I141),OR(NOT(ISBLANK(E137)),NOT(ISBLANK(E138)),NOT(ISBLANK(E139)),NOT(ISBLANK(E140)),NOT(ISBLANK(A143)))),"This information is required!","")</f>
        <v/>
      </c>
      <c r="N141" s="827"/>
      <c r="O141" s="827"/>
      <c r="P141" s="827"/>
      <c r="Q141" s="290"/>
      <c r="R141" s="287"/>
      <c r="S141" s="288" t="str">
        <f>IF(ISBLANK(I141),"",I141)</f>
        <v/>
      </c>
      <c r="T141" s="289" t="s">
        <v>32</v>
      </c>
      <c r="U141" s="291"/>
      <c r="V141" s="291"/>
      <c r="W141" s="324"/>
      <c r="X141" s="322"/>
      <c r="Y141" s="322"/>
      <c r="Z141" s="322"/>
      <c r="AA141" s="322"/>
      <c r="AB141" s="322"/>
      <c r="AC141" s="322"/>
      <c r="AD141" s="328"/>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1:52" ht="26.25" customHeight="1" x14ac:dyDescent="0.25">
      <c r="A142" s="841" t="s">
        <v>553</v>
      </c>
      <c r="B142" s="842"/>
      <c r="C142" s="842"/>
      <c r="D142" s="842"/>
      <c r="E142" s="842"/>
      <c r="F142" s="842"/>
      <c r="G142" s="842"/>
      <c r="H142" s="842"/>
      <c r="I142" s="842"/>
      <c r="J142" s="909"/>
      <c r="K142" s="907" t="s">
        <v>646</v>
      </c>
      <c r="L142" s="907"/>
      <c r="M142" s="907"/>
      <c r="N142" s="907"/>
      <c r="O142" s="830" t="s">
        <v>535</v>
      </c>
      <c r="P142" s="830"/>
      <c r="Q142" s="831"/>
      <c r="R142" s="293"/>
      <c r="S142" s="288" t="str">
        <f>IF(ISBLANK(A143),"",A143)</f>
        <v/>
      </c>
      <c r="T142" s="289" t="s">
        <v>33</v>
      </c>
      <c r="U142" s="294"/>
      <c r="V142" s="294"/>
      <c r="W142" s="322"/>
      <c r="X142" s="322"/>
      <c r="Y142" s="322"/>
      <c r="Z142" s="322"/>
      <c r="AA142" s="322"/>
      <c r="AB142" s="322"/>
      <c r="AC142" s="322"/>
      <c r="AD142" s="328"/>
      <c r="AE142" s="249"/>
      <c r="AF142" s="249"/>
      <c r="AG142" s="249"/>
      <c r="AH142" s="249"/>
      <c r="AI142" s="249"/>
      <c r="AJ142" s="249"/>
      <c r="AK142" s="249"/>
      <c r="AL142" s="249"/>
      <c r="AM142" s="249"/>
      <c r="AN142" s="249"/>
      <c r="AO142" s="249"/>
      <c r="AP142" s="249"/>
      <c r="AQ142" s="249"/>
      <c r="AR142" s="249"/>
      <c r="AS142" s="249"/>
      <c r="AT142" s="249"/>
      <c r="AU142" s="249"/>
      <c r="AV142" s="249"/>
      <c r="AW142" s="249"/>
      <c r="AX142" s="249"/>
      <c r="AY142" s="249"/>
      <c r="AZ142" s="249"/>
    </row>
    <row r="143" spans="1:52" ht="26.25" customHeight="1" x14ac:dyDescent="0.25">
      <c r="A143" s="853"/>
      <c r="B143" s="854"/>
      <c r="C143" s="854"/>
      <c r="D143" s="854"/>
      <c r="E143" s="854"/>
      <c r="F143" s="854"/>
      <c r="G143" s="854"/>
      <c r="H143" s="854"/>
      <c r="I143" s="854"/>
      <c r="J143" s="902"/>
      <c r="K143" s="908"/>
      <c r="L143" s="908"/>
      <c r="M143" s="908"/>
      <c r="N143" s="908"/>
      <c r="O143" s="295"/>
      <c r="P143" s="296" t="s">
        <v>43</v>
      </c>
      <c r="Q143" s="297" t="s">
        <v>44</v>
      </c>
      <c r="R143" s="293"/>
      <c r="S143" s="288" t="str">
        <f>IF(ISBLANK(A146),"",A146)</f>
        <v/>
      </c>
      <c r="T143" s="298" t="s">
        <v>34</v>
      </c>
      <c r="U143" s="294"/>
      <c r="V143" s="294"/>
      <c r="W143" s="322"/>
      <c r="X143" s="322"/>
      <c r="Y143" s="322"/>
      <c r="Z143" s="322"/>
      <c r="AA143" s="322"/>
      <c r="AB143" s="322"/>
      <c r="AC143" s="322"/>
      <c r="AD143" s="328"/>
      <c r="AE143" s="249"/>
      <c r="AF143" s="249"/>
      <c r="AG143" s="249"/>
      <c r="AH143" s="249"/>
      <c r="AI143" s="249"/>
      <c r="AJ143" s="249"/>
      <c r="AK143" s="249"/>
      <c r="AL143" s="249"/>
      <c r="AM143" s="249"/>
      <c r="AN143" s="249"/>
      <c r="AO143" s="249"/>
      <c r="AP143" s="249"/>
      <c r="AQ143" s="249"/>
      <c r="AR143" s="249"/>
      <c r="AS143" s="249"/>
      <c r="AT143" s="249"/>
      <c r="AU143" s="249"/>
      <c r="AV143" s="249"/>
      <c r="AW143" s="249"/>
      <c r="AX143" s="249"/>
      <c r="AY143" s="249"/>
      <c r="AZ143" s="249"/>
    </row>
    <row r="144" spans="1:52" ht="26.25" customHeight="1" x14ac:dyDescent="0.25">
      <c r="A144" s="882"/>
      <c r="B144" s="883"/>
      <c r="C144" s="883"/>
      <c r="D144" s="883"/>
      <c r="E144" s="883"/>
      <c r="F144" s="883"/>
      <c r="G144" s="883"/>
      <c r="H144" s="883"/>
      <c r="I144" s="883"/>
      <c r="J144" s="903"/>
      <c r="K144" s="899" t="s">
        <v>516</v>
      </c>
      <c r="L144" s="900"/>
      <c r="M144" s="900"/>
      <c r="N144" s="900"/>
      <c r="O144" s="901"/>
      <c r="P144" s="304"/>
      <c r="Q144" s="305"/>
      <c r="R144" s="291" t="str">
        <f>IF(COUNTBLANK(P144:Q144)=2,"Please enter response.",IF(COUNTBLANK(P144:Q144)&lt;&gt;1,"Please VERIFY response.",""))</f>
        <v>Please enter response.</v>
      </c>
      <c r="S144" s="306" t="str">
        <f>IF(AND(ISBLANK(P144),ISBLANK(Q144)),"",IF(ISBLANK(P144),0,1))</f>
        <v/>
      </c>
      <c r="T144" s="307" t="s">
        <v>563</v>
      </c>
      <c r="U144" s="266"/>
      <c r="V144" s="266"/>
      <c r="W144" s="322"/>
      <c r="X144" s="322"/>
      <c r="Y144" s="322"/>
      <c r="Z144" s="322"/>
      <c r="AA144" s="322"/>
      <c r="AB144" s="322"/>
      <c r="AC144" s="322"/>
      <c r="AD144" s="328"/>
      <c r="AE144" s="249"/>
      <c r="AF144" s="249"/>
      <c r="AG144" s="249"/>
      <c r="AH144" s="249"/>
      <c r="AI144" s="249"/>
      <c r="AJ144" s="249"/>
      <c r="AK144" s="249"/>
      <c r="AL144" s="249"/>
      <c r="AM144" s="249"/>
      <c r="AN144" s="249"/>
      <c r="AO144" s="249"/>
      <c r="AP144" s="249"/>
      <c r="AQ144" s="249"/>
      <c r="AR144" s="249"/>
      <c r="AS144" s="249"/>
      <c r="AT144" s="249"/>
      <c r="AU144" s="249"/>
      <c r="AV144" s="249"/>
      <c r="AW144" s="249"/>
      <c r="AX144" s="249"/>
      <c r="AY144" s="249"/>
      <c r="AZ144" s="249"/>
    </row>
    <row r="145" spans="1:52" ht="26.25" customHeight="1" x14ac:dyDescent="0.25">
      <c r="A145" s="904" t="s">
        <v>558</v>
      </c>
      <c r="B145" s="905"/>
      <c r="C145" s="905"/>
      <c r="D145" s="905"/>
      <c r="E145" s="905"/>
      <c r="F145" s="905"/>
      <c r="G145" s="905"/>
      <c r="H145" s="905"/>
      <c r="I145" s="905"/>
      <c r="J145" s="906"/>
      <c r="K145" s="899" t="s">
        <v>517</v>
      </c>
      <c r="L145" s="900"/>
      <c r="M145" s="900"/>
      <c r="N145" s="900"/>
      <c r="O145" s="901"/>
      <c r="P145" s="304"/>
      <c r="Q145" s="305"/>
      <c r="R145" s="291" t="str">
        <f>IF(COUNTBLANK(P145:Q145)=2,"Please enter response.",IF(COUNTBLANK(P145:Q145)&lt;&gt;1,"Please VERIFY response.",""))</f>
        <v>Please enter response.</v>
      </c>
      <c r="S145" s="306" t="str">
        <f>IF(AND(ISBLANK(P145),ISBLANK(Q145)),"",IF(ISBLANK(P145),0,1))</f>
        <v/>
      </c>
      <c r="T145" s="307" t="s">
        <v>564</v>
      </c>
      <c r="U145" s="266"/>
      <c r="V145" s="266"/>
      <c r="W145" s="322"/>
      <c r="X145" s="322"/>
      <c r="Y145" s="322"/>
      <c r="Z145" s="322"/>
      <c r="AA145" s="322"/>
      <c r="AB145" s="322"/>
      <c r="AC145" s="322"/>
      <c r="AD145" s="328"/>
      <c r="AE145" s="249"/>
      <c r="AF145" s="249"/>
      <c r="AG145" s="249"/>
      <c r="AH145" s="249"/>
      <c r="AI145" s="249"/>
      <c r="AJ145" s="249"/>
      <c r="AK145" s="249"/>
      <c r="AL145" s="249"/>
      <c r="AM145" s="249"/>
      <c r="AN145" s="249"/>
      <c r="AO145" s="249"/>
      <c r="AP145" s="249"/>
      <c r="AQ145" s="249"/>
      <c r="AR145" s="249"/>
      <c r="AS145" s="249"/>
      <c r="AT145" s="249"/>
      <c r="AU145" s="249"/>
      <c r="AV145" s="249"/>
      <c r="AW145" s="249"/>
      <c r="AX145" s="249"/>
      <c r="AY145" s="249"/>
      <c r="AZ145" s="249"/>
    </row>
    <row r="146" spans="1:52" ht="26.25" customHeight="1" x14ac:dyDescent="0.25">
      <c r="A146" s="853"/>
      <c r="B146" s="854"/>
      <c r="C146" s="854"/>
      <c r="D146" s="854"/>
      <c r="E146" s="854"/>
      <c r="F146" s="854"/>
      <c r="G146" s="854"/>
      <c r="H146" s="854"/>
      <c r="I146" s="854"/>
      <c r="J146" s="902"/>
      <c r="K146" s="899" t="s">
        <v>518</v>
      </c>
      <c r="L146" s="900"/>
      <c r="M146" s="900"/>
      <c r="N146" s="900"/>
      <c r="O146" s="901"/>
      <c r="P146" s="304"/>
      <c r="Q146" s="305"/>
      <c r="R146" s="291" t="str">
        <f>IF(COUNTBLANK(P146:Q146)=2,"Please enter response.",IF(COUNTBLANK(P146:Q146)&lt;&gt;1,"Please VERIFY response.",""))</f>
        <v>Please enter response.</v>
      </c>
      <c r="S146" s="306" t="str">
        <f>IF(AND(ISBLANK(P146),ISBLANK(Q146)),"",IF(ISBLANK(P146),0,1))</f>
        <v/>
      </c>
      <c r="T146" s="307" t="s">
        <v>565</v>
      </c>
      <c r="U146" s="266"/>
      <c r="V146" s="266"/>
      <c r="W146" s="322"/>
      <c r="X146" s="322"/>
      <c r="Y146" s="322"/>
      <c r="Z146" s="322"/>
      <c r="AA146" s="332"/>
      <c r="AB146" s="332"/>
      <c r="AC146" s="332"/>
      <c r="AD146" s="328"/>
      <c r="AE146" s="249"/>
      <c r="AF146" s="249"/>
      <c r="AG146" s="249"/>
      <c r="AH146" s="249"/>
      <c r="AI146" s="249"/>
      <c r="AJ146" s="249"/>
      <c r="AK146" s="249"/>
      <c r="AL146" s="249"/>
      <c r="AM146" s="249"/>
      <c r="AN146" s="249"/>
      <c r="AO146" s="249"/>
      <c r="AP146" s="249"/>
      <c r="AQ146" s="249"/>
      <c r="AR146" s="249"/>
      <c r="AS146" s="249"/>
      <c r="AT146" s="249"/>
      <c r="AU146" s="249"/>
      <c r="AV146" s="249"/>
      <c r="AW146" s="249"/>
      <c r="AX146" s="249"/>
      <c r="AY146" s="249"/>
      <c r="AZ146" s="249"/>
    </row>
    <row r="147" spans="1:52" ht="26.25" customHeight="1" x14ac:dyDescent="0.25">
      <c r="A147" s="882"/>
      <c r="B147" s="883"/>
      <c r="C147" s="883"/>
      <c r="D147" s="883"/>
      <c r="E147" s="883"/>
      <c r="F147" s="883"/>
      <c r="G147" s="883"/>
      <c r="H147" s="883"/>
      <c r="I147" s="883"/>
      <c r="J147" s="903"/>
      <c r="K147" s="899" t="s">
        <v>520</v>
      </c>
      <c r="L147" s="900"/>
      <c r="M147" s="900"/>
      <c r="N147" s="900"/>
      <c r="O147" s="901"/>
      <c r="P147" s="304"/>
      <c r="Q147" s="305"/>
      <c r="R147" s="291" t="str">
        <f>IF(COUNTBLANK(P147:Q147)=2,"Please enter response.",IF(COUNTBLANK(P147:Q147)&lt;&gt;1,"Please VERIFY response.",""))</f>
        <v>Please enter response.</v>
      </c>
      <c r="S147" s="306" t="str">
        <f>IF(AND(ISBLANK(P147),ISBLANK(Q147)),"",IF(ISBLANK(P147),0,1))</f>
        <v/>
      </c>
      <c r="T147" s="307" t="s">
        <v>566</v>
      </c>
      <c r="U147" s="266"/>
      <c r="V147" s="266"/>
      <c r="W147" s="322"/>
      <c r="X147" s="340"/>
      <c r="Y147" s="340"/>
      <c r="Z147" s="340"/>
      <c r="AA147" s="320"/>
      <c r="AB147" s="320"/>
      <c r="AC147" s="320"/>
      <c r="AD147" s="328"/>
      <c r="AE147" s="249"/>
      <c r="AF147" s="249"/>
      <c r="AG147" s="249"/>
      <c r="AH147" s="249"/>
      <c r="AI147" s="249"/>
      <c r="AJ147" s="249"/>
      <c r="AK147" s="249"/>
      <c r="AL147" s="249"/>
      <c r="AM147" s="249"/>
      <c r="AN147" s="249"/>
      <c r="AO147" s="249"/>
      <c r="AP147" s="249"/>
      <c r="AQ147" s="249"/>
      <c r="AR147" s="249"/>
      <c r="AS147" s="249"/>
      <c r="AT147" s="249"/>
      <c r="AU147" s="249"/>
      <c r="AV147" s="249"/>
      <c r="AW147" s="249"/>
      <c r="AX147" s="249"/>
      <c r="AY147" s="249"/>
      <c r="AZ147" s="249"/>
    </row>
    <row r="148" spans="1:52" ht="26.25" customHeight="1" x14ac:dyDescent="0.2">
      <c r="A148" s="879" t="s">
        <v>546</v>
      </c>
      <c r="B148" s="880"/>
      <c r="C148" s="880"/>
      <c r="D148" s="880"/>
      <c r="E148" s="880"/>
      <c r="F148" s="880"/>
      <c r="G148" s="880"/>
      <c r="H148" s="880"/>
      <c r="I148" s="880"/>
      <c r="J148" s="880"/>
      <c r="K148" s="880"/>
      <c r="L148" s="880"/>
      <c r="M148" s="880"/>
      <c r="N148" s="880"/>
      <c r="O148" s="880"/>
      <c r="P148" s="880"/>
      <c r="Q148" s="881"/>
      <c r="R148" s="310"/>
      <c r="S148" s="319"/>
      <c r="T148" s="310"/>
      <c r="U148" s="310"/>
      <c r="V148" s="310"/>
      <c r="W148" s="322"/>
      <c r="X148" s="320"/>
      <c r="Y148" s="320"/>
      <c r="Z148" s="320"/>
      <c r="AA148" s="322"/>
      <c r="AB148" s="322"/>
      <c r="AC148" s="322"/>
      <c r="AD148" s="340"/>
      <c r="AE148" s="249"/>
      <c r="AF148" s="249"/>
      <c r="AG148" s="249"/>
      <c r="AH148" s="249"/>
      <c r="AI148" s="249"/>
      <c r="AJ148" s="249"/>
      <c r="AK148" s="249"/>
      <c r="AL148" s="249"/>
      <c r="AM148" s="249"/>
      <c r="AN148" s="249"/>
      <c r="AO148" s="249"/>
      <c r="AP148" s="249"/>
      <c r="AQ148" s="249"/>
      <c r="AR148" s="249"/>
      <c r="AS148" s="249"/>
      <c r="AT148" s="249"/>
      <c r="AU148" s="249"/>
      <c r="AV148" s="249"/>
      <c r="AW148" s="249"/>
      <c r="AX148" s="249"/>
      <c r="AY148" s="249"/>
      <c r="AZ148" s="249"/>
    </row>
    <row r="149" spans="1:52" ht="26.25" customHeight="1" x14ac:dyDescent="0.25">
      <c r="A149" s="870" t="s">
        <v>450</v>
      </c>
      <c r="B149" s="826"/>
      <c r="C149" s="826"/>
      <c r="D149" s="826"/>
      <c r="E149" s="826" t="s">
        <v>478</v>
      </c>
      <c r="F149" s="826"/>
      <c r="G149" s="826"/>
      <c r="H149" s="826"/>
      <c r="I149" s="826" t="s">
        <v>479</v>
      </c>
      <c r="J149" s="826"/>
      <c r="K149" s="826"/>
      <c r="L149" s="826"/>
      <c r="M149" s="871" t="s">
        <v>465</v>
      </c>
      <c r="N149" s="826"/>
      <c r="O149" s="826"/>
      <c r="P149" s="826"/>
      <c r="Q149" s="872"/>
      <c r="R149" s="315"/>
      <c r="S149" s="836" t="s">
        <v>491</v>
      </c>
      <c r="T149" s="836"/>
      <c r="U149" s="836"/>
      <c r="V149" s="836"/>
      <c r="W149" s="322"/>
      <c r="X149" s="322"/>
      <c r="Y149" s="322"/>
      <c r="Z149" s="322"/>
      <c r="AA149" s="322"/>
      <c r="AB149" s="322"/>
      <c r="AC149" s="322"/>
      <c r="AD149" s="328"/>
      <c r="AE149" s="249"/>
      <c r="AF149" s="249"/>
      <c r="AG149" s="249"/>
      <c r="AH149" s="249"/>
      <c r="AI149" s="249"/>
      <c r="AJ149" s="249"/>
      <c r="AK149" s="249"/>
      <c r="AL149" s="249"/>
      <c r="AM149" s="249"/>
      <c r="AN149" s="249"/>
      <c r="AO149" s="249"/>
      <c r="AP149" s="249"/>
      <c r="AQ149" s="249"/>
      <c r="AR149" s="249"/>
      <c r="AS149" s="249"/>
      <c r="AT149" s="249"/>
      <c r="AU149" s="249"/>
      <c r="AV149" s="249"/>
      <c r="AW149" s="249"/>
      <c r="AX149" s="249"/>
      <c r="AY149" s="249"/>
      <c r="AZ149" s="249"/>
    </row>
    <row r="150" spans="1:52" ht="26.25" customHeight="1" thickBot="1" x14ac:dyDescent="0.3">
      <c r="A150" s="791"/>
      <c r="B150" s="792"/>
      <c r="C150" s="792"/>
      <c r="D150" s="792"/>
      <c r="E150" s="792"/>
      <c r="F150" s="792"/>
      <c r="G150" s="792"/>
      <c r="H150" s="792"/>
      <c r="I150" s="792"/>
      <c r="J150" s="792"/>
      <c r="K150" s="792"/>
      <c r="L150" s="792"/>
      <c r="M150" s="894"/>
      <c r="N150" s="894"/>
      <c r="O150" s="894"/>
      <c r="P150" s="894"/>
      <c r="Q150" s="895"/>
      <c r="R150" s="310"/>
      <c r="S150" s="323" t="str">
        <f>IF(ISBLANK(A150),"",VLOOKUP(A150,VProjType,2,FALSE))</f>
        <v/>
      </c>
      <c r="T150" s="323" t="str">
        <f>IF(ISBLANK(E150),"",VLOOKUP(E150,VSubtype1,2,FALSE))</f>
        <v/>
      </c>
      <c r="U150" s="323" t="str">
        <f>IF(ISBLANK(I150),"",VLOOKUP(I150,VSubtype2,2,FALSE))</f>
        <v/>
      </c>
      <c r="V150" s="323" t="str">
        <f>IF(ISBLANK(M150),"",VLOOKUP(M150,VSubtype3,2,FALSE))</f>
        <v/>
      </c>
      <c r="W150" s="322"/>
      <c r="X150" s="322"/>
      <c r="Y150" s="322"/>
      <c r="Z150" s="322"/>
      <c r="AA150" s="322"/>
      <c r="AB150" s="322"/>
      <c r="AC150" s="322"/>
      <c r="AD150" s="328"/>
      <c r="AE150" s="249"/>
      <c r="AF150" s="249"/>
      <c r="AG150" s="249"/>
      <c r="AH150" s="249"/>
      <c r="AI150" s="249"/>
      <c r="AJ150" s="249"/>
      <c r="AK150" s="249"/>
      <c r="AL150" s="249"/>
      <c r="AM150" s="249"/>
      <c r="AN150" s="249"/>
      <c r="AO150" s="249"/>
      <c r="AP150" s="249"/>
      <c r="AQ150" s="249"/>
      <c r="AR150" s="249"/>
      <c r="AS150" s="249"/>
      <c r="AT150" s="249"/>
      <c r="AU150" s="249"/>
      <c r="AV150" s="249"/>
      <c r="AW150" s="249"/>
      <c r="AX150" s="249"/>
      <c r="AY150" s="249"/>
      <c r="AZ150" s="249"/>
    </row>
    <row r="151" spans="1:52" ht="26.25" customHeight="1" x14ac:dyDescent="0.2">
      <c r="A151" s="896" t="s">
        <v>483</v>
      </c>
      <c r="B151" s="897"/>
      <c r="C151" s="897"/>
      <c r="D151" s="897"/>
      <c r="E151" s="897"/>
      <c r="F151" s="897"/>
      <c r="G151" s="897"/>
      <c r="H151" s="897"/>
      <c r="I151" s="897"/>
      <c r="J151" s="897"/>
      <c r="K151" s="897"/>
      <c r="L151" s="897"/>
      <c r="M151" s="897"/>
      <c r="N151" s="897"/>
      <c r="O151" s="897"/>
      <c r="P151" s="897"/>
      <c r="Q151" s="898"/>
      <c r="R151" s="320"/>
      <c r="S151" s="324" t="s">
        <v>537</v>
      </c>
      <c r="T151" s="320"/>
      <c r="U151" s="320"/>
      <c r="V151" s="320"/>
      <c r="W151" s="340"/>
      <c r="X151" s="322"/>
      <c r="Y151" s="322"/>
      <c r="Z151" s="322"/>
      <c r="AA151" s="322"/>
      <c r="AB151" s="322"/>
      <c r="AC151" s="322"/>
      <c r="AD151" s="340"/>
      <c r="AE151" s="249"/>
      <c r="AF151" s="249"/>
      <c r="AG151" s="249"/>
      <c r="AH151" s="249"/>
      <c r="AI151" s="249"/>
      <c r="AJ151" s="249"/>
      <c r="AK151" s="249"/>
      <c r="AL151" s="249"/>
      <c r="AM151" s="249"/>
      <c r="AN151" s="249"/>
      <c r="AO151" s="249"/>
      <c r="AP151" s="249"/>
      <c r="AQ151" s="249"/>
      <c r="AR151" s="249"/>
      <c r="AS151" s="249"/>
      <c r="AT151" s="249"/>
      <c r="AU151" s="249"/>
      <c r="AV151" s="249"/>
      <c r="AW151" s="249"/>
      <c r="AX151" s="249"/>
      <c r="AY151" s="249"/>
      <c r="AZ151" s="249"/>
    </row>
    <row r="152" spans="1:52" ht="26.25" customHeight="1" x14ac:dyDescent="0.2">
      <c r="A152" s="859" t="s">
        <v>544</v>
      </c>
      <c r="B152" s="860"/>
      <c r="C152" s="860"/>
      <c r="D152" s="860"/>
      <c r="E152" s="860"/>
      <c r="F152" s="860"/>
      <c r="G152" s="860"/>
      <c r="H152" s="860"/>
      <c r="I152" s="860"/>
      <c r="J152" s="860"/>
      <c r="K152" s="860"/>
      <c r="L152" s="861"/>
      <c r="M152" s="876"/>
      <c r="N152" s="877"/>
      <c r="O152" s="877"/>
      <c r="P152" s="877"/>
      <c r="Q152" s="878"/>
      <c r="R152" s="320"/>
      <c r="S152" s="325" t="str">
        <f>IF(ISBLANK(M152),"",VLOOKUP(M152,VRemote,2,FALSE))</f>
        <v/>
      </c>
      <c r="T152" s="326" t="s">
        <v>545</v>
      </c>
      <c r="U152" s="320"/>
      <c r="V152" s="320"/>
      <c r="W152" s="320"/>
      <c r="X152" s="322"/>
      <c r="Y152" s="322"/>
      <c r="Z152" s="322"/>
      <c r="AA152" s="322"/>
      <c r="AB152" s="322"/>
      <c r="AC152" s="322"/>
      <c r="AD152" s="340"/>
      <c r="AE152" s="249"/>
      <c r="AF152" s="249"/>
      <c r="AG152" s="249"/>
      <c r="AH152" s="249"/>
      <c r="AI152" s="249"/>
      <c r="AJ152" s="249"/>
      <c r="AK152" s="249"/>
      <c r="AL152" s="249"/>
      <c r="AM152" s="249"/>
      <c r="AN152" s="249"/>
      <c r="AO152" s="249"/>
      <c r="AP152" s="249"/>
      <c r="AQ152" s="249"/>
      <c r="AR152" s="249"/>
      <c r="AS152" s="249"/>
      <c r="AT152" s="249"/>
      <c r="AU152" s="249"/>
      <c r="AV152" s="249"/>
      <c r="AW152" s="249"/>
      <c r="AX152" s="249"/>
      <c r="AY152" s="249"/>
      <c r="AZ152" s="249"/>
    </row>
    <row r="153" spans="1:52" ht="26.25" customHeight="1" x14ac:dyDescent="0.2">
      <c r="A153" s="859" t="s">
        <v>529</v>
      </c>
      <c r="B153" s="860"/>
      <c r="C153" s="860"/>
      <c r="D153" s="860"/>
      <c r="E153" s="860"/>
      <c r="F153" s="860"/>
      <c r="G153" s="860"/>
      <c r="H153" s="860"/>
      <c r="I153" s="860"/>
      <c r="J153" s="860"/>
      <c r="K153" s="860"/>
      <c r="L153" s="860"/>
      <c r="M153" s="876"/>
      <c r="N153" s="877"/>
      <c r="O153" s="877"/>
      <c r="P153" s="877"/>
      <c r="Q153" s="878"/>
      <c r="R153" s="322"/>
      <c r="S153" s="325" t="str">
        <f>IF(ISBLANK(M153),"",VLOOKUP(M153,VCapacity,2,FALSE))</f>
        <v/>
      </c>
      <c r="T153" s="327" t="s">
        <v>539</v>
      </c>
      <c r="U153" s="322"/>
      <c r="V153" s="322"/>
      <c r="W153" s="322"/>
      <c r="X153" s="322"/>
      <c r="Y153" s="322"/>
      <c r="Z153" s="322"/>
      <c r="AA153" s="322"/>
      <c r="AB153" s="322"/>
      <c r="AC153" s="322"/>
      <c r="AD153" s="340"/>
      <c r="AE153" s="249"/>
      <c r="AF153" s="249"/>
      <c r="AG153" s="249"/>
      <c r="AH153" s="249"/>
      <c r="AI153" s="249"/>
      <c r="AJ153" s="249"/>
      <c r="AK153" s="249"/>
      <c r="AL153" s="249"/>
      <c r="AM153" s="249"/>
      <c r="AN153" s="249"/>
      <c r="AO153" s="249"/>
      <c r="AP153" s="249"/>
      <c r="AQ153" s="249"/>
      <c r="AR153" s="249"/>
      <c r="AS153" s="249"/>
      <c r="AT153" s="249"/>
      <c r="AU153" s="249"/>
      <c r="AV153" s="249"/>
      <c r="AW153" s="249"/>
      <c r="AX153" s="249"/>
      <c r="AY153" s="249"/>
      <c r="AZ153" s="249"/>
    </row>
    <row r="154" spans="1:52" ht="26.25" customHeight="1" x14ac:dyDescent="0.2">
      <c r="A154" s="859" t="s">
        <v>484</v>
      </c>
      <c r="B154" s="860"/>
      <c r="C154" s="860"/>
      <c r="D154" s="860"/>
      <c r="E154" s="860"/>
      <c r="F154" s="860"/>
      <c r="G154" s="860"/>
      <c r="H154" s="860"/>
      <c r="I154" s="860"/>
      <c r="J154" s="860"/>
      <c r="K154" s="860"/>
      <c r="L154" s="860"/>
      <c r="M154" s="876"/>
      <c r="N154" s="877"/>
      <c r="O154" s="877"/>
      <c r="P154" s="877"/>
      <c r="Q154" s="878"/>
      <c r="R154" s="322"/>
      <c r="S154" s="325" t="str">
        <f>IF(ISBLANK(M154),"",VLOOKUP(M154,VPriorCap,2,FALSE))</f>
        <v/>
      </c>
      <c r="T154" s="327" t="s">
        <v>489</v>
      </c>
      <c r="U154" s="322"/>
      <c r="V154" s="322"/>
      <c r="W154" s="322"/>
      <c r="X154" s="322"/>
      <c r="Y154" s="322"/>
      <c r="Z154" s="322"/>
      <c r="AA154" s="322"/>
      <c r="AB154" s="322"/>
      <c r="AC154" s="322"/>
      <c r="AD154" s="340"/>
      <c r="AE154" s="249"/>
      <c r="AF154" s="249"/>
      <c r="AG154" s="249"/>
      <c r="AH154" s="249"/>
      <c r="AI154" s="249"/>
      <c r="AJ154" s="249"/>
      <c r="AK154" s="249"/>
      <c r="AL154" s="249"/>
      <c r="AM154" s="249"/>
      <c r="AN154" s="249"/>
      <c r="AO154" s="249"/>
      <c r="AP154" s="249"/>
      <c r="AQ154" s="249"/>
      <c r="AR154" s="249"/>
      <c r="AS154" s="249"/>
      <c r="AT154" s="249"/>
      <c r="AU154" s="249"/>
      <c r="AV154" s="249"/>
      <c r="AW154" s="249"/>
      <c r="AX154" s="249"/>
      <c r="AY154" s="249"/>
      <c r="AZ154" s="249"/>
    </row>
    <row r="155" spans="1:52" ht="26.25" customHeight="1" x14ac:dyDescent="0.2">
      <c r="A155" s="780" t="s">
        <v>515</v>
      </c>
      <c r="B155" s="781"/>
      <c r="C155" s="781"/>
      <c r="D155" s="781"/>
      <c r="E155" s="781"/>
      <c r="F155" s="781"/>
      <c r="G155" s="781"/>
      <c r="H155" s="781"/>
      <c r="I155" s="781"/>
      <c r="J155" s="781"/>
      <c r="K155" s="781"/>
      <c r="L155" s="781"/>
      <c r="M155" s="781"/>
      <c r="N155" s="781"/>
      <c r="O155" s="781"/>
      <c r="P155" s="781"/>
      <c r="Q155" s="782"/>
      <c r="R155" s="322"/>
      <c r="S155" s="330" t="str">
        <f>IF(ISBLANK(A156),"",A156)</f>
        <v/>
      </c>
      <c r="T155" s="327" t="s">
        <v>490</v>
      </c>
      <c r="U155" s="322"/>
      <c r="V155" s="322"/>
      <c r="W155" s="322"/>
      <c r="X155" s="322"/>
      <c r="Y155" s="322"/>
      <c r="Z155" s="322"/>
      <c r="AA155" s="322"/>
      <c r="AB155" s="322"/>
      <c r="AC155" s="322"/>
      <c r="AD155" s="340"/>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249"/>
      <c r="AZ155" s="249"/>
    </row>
    <row r="156" spans="1:52" ht="26.25" customHeight="1" x14ac:dyDescent="0.2">
      <c r="A156" s="862"/>
      <c r="B156" s="845"/>
      <c r="C156" s="845"/>
      <c r="D156" s="845"/>
      <c r="E156" s="845"/>
      <c r="F156" s="845"/>
      <c r="G156" s="845"/>
      <c r="H156" s="845"/>
      <c r="I156" s="845"/>
      <c r="J156" s="845"/>
      <c r="K156" s="845"/>
      <c r="L156" s="845"/>
      <c r="M156" s="845"/>
      <c r="N156" s="845"/>
      <c r="O156" s="845"/>
      <c r="P156" s="845"/>
      <c r="Q156" s="863"/>
      <c r="R156" s="322"/>
      <c r="S156" s="322"/>
      <c r="T156" s="322"/>
      <c r="U156" s="322"/>
      <c r="V156" s="322"/>
      <c r="W156" s="322"/>
      <c r="X156" s="322"/>
      <c r="Y156" s="322"/>
      <c r="Z156" s="322"/>
      <c r="AA156" s="322"/>
      <c r="AB156" s="322"/>
      <c r="AC156" s="322"/>
      <c r="AD156" s="340"/>
      <c r="AE156" s="249"/>
      <c r="AF156" s="249"/>
      <c r="AG156" s="249"/>
      <c r="AH156" s="249"/>
      <c r="AI156" s="249"/>
      <c r="AJ156" s="249"/>
      <c r="AK156" s="249"/>
      <c r="AL156" s="249"/>
      <c r="AM156" s="249"/>
      <c r="AN156" s="249"/>
      <c r="AO156" s="249"/>
      <c r="AP156" s="249"/>
      <c r="AQ156" s="249"/>
      <c r="AR156" s="249"/>
      <c r="AS156" s="249"/>
      <c r="AT156" s="249"/>
      <c r="AU156" s="249"/>
      <c r="AV156" s="249"/>
      <c r="AW156" s="249"/>
      <c r="AX156" s="249"/>
      <c r="AY156" s="249"/>
      <c r="AZ156" s="249"/>
    </row>
    <row r="157" spans="1:52" ht="26.25" customHeight="1" x14ac:dyDescent="0.2">
      <c r="A157" s="864"/>
      <c r="B157" s="865"/>
      <c r="C157" s="865"/>
      <c r="D157" s="865"/>
      <c r="E157" s="865"/>
      <c r="F157" s="865"/>
      <c r="G157" s="865"/>
      <c r="H157" s="865"/>
      <c r="I157" s="865"/>
      <c r="J157" s="865"/>
      <c r="K157" s="865"/>
      <c r="L157" s="865"/>
      <c r="M157" s="865"/>
      <c r="N157" s="865"/>
      <c r="O157" s="865"/>
      <c r="P157" s="865"/>
      <c r="Q157" s="866"/>
      <c r="R157" s="322"/>
      <c r="S157" s="322"/>
      <c r="T157" s="322"/>
      <c r="U157" s="322"/>
      <c r="V157" s="322"/>
      <c r="W157" s="322"/>
      <c r="X157" s="322"/>
      <c r="Y157" s="322"/>
      <c r="Z157" s="322"/>
      <c r="AA157" s="340"/>
      <c r="AB157" s="340"/>
      <c r="AC157" s="340"/>
      <c r="AD157" s="340"/>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249"/>
      <c r="AZ157" s="249"/>
    </row>
    <row r="158" spans="1:52" ht="26.25" customHeight="1" x14ac:dyDescent="0.2">
      <c r="A158" s="885" t="s">
        <v>514</v>
      </c>
      <c r="B158" s="886"/>
      <c r="C158" s="886"/>
      <c r="D158" s="886"/>
      <c r="E158" s="886"/>
      <c r="F158" s="886"/>
      <c r="G158" s="886"/>
      <c r="H158" s="886"/>
      <c r="I158" s="886"/>
      <c r="J158" s="886"/>
      <c r="K158" s="886"/>
      <c r="L158" s="886"/>
      <c r="M158" s="886"/>
      <c r="N158" s="886"/>
      <c r="O158" s="886"/>
      <c r="P158" s="886"/>
      <c r="Q158" s="887"/>
      <c r="R158" s="324"/>
      <c r="S158" s="324"/>
      <c r="T158" s="324"/>
      <c r="U158" s="324"/>
      <c r="V158" s="324"/>
      <c r="W158" s="322"/>
      <c r="X158" s="332"/>
      <c r="Y158" s="332"/>
      <c r="Z158" s="332"/>
      <c r="AA158" s="324"/>
      <c r="AB158" s="324"/>
      <c r="AC158" s="324"/>
      <c r="AD158" s="340"/>
      <c r="AE158" s="249"/>
      <c r="AF158" s="249"/>
      <c r="AG158" s="249"/>
      <c r="AH158" s="249"/>
      <c r="AI158" s="249"/>
      <c r="AJ158" s="249"/>
      <c r="AK158" s="249"/>
      <c r="AL158" s="249"/>
      <c r="AM158" s="249"/>
      <c r="AN158" s="249"/>
      <c r="AO158" s="249"/>
      <c r="AP158" s="249"/>
      <c r="AQ158" s="249"/>
      <c r="AR158" s="249"/>
      <c r="AS158" s="249"/>
      <c r="AT158" s="249"/>
      <c r="AU158" s="249"/>
      <c r="AV158" s="249"/>
      <c r="AW158" s="249"/>
      <c r="AX158" s="249"/>
      <c r="AY158" s="249"/>
      <c r="AZ158" s="249"/>
    </row>
    <row r="159" spans="1:52" ht="26.25" customHeight="1" x14ac:dyDescent="0.2">
      <c r="A159" s="862"/>
      <c r="B159" s="845"/>
      <c r="C159" s="845"/>
      <c r="D159" s="845"/>
      <c r="E159" s="845"/>
      <c r="F159" s="845"/>
      <c r="G159" s="845"/>
      <c r="H159" s="845"/>
      <c r="I159" s="845"/>
      <c r="J159" s="845"/>
      <c r="K159" s="845"/>
      <c r="L159" s="845"/>
      <c r="M159" s="845"/>
      <c r="N159" s="845"/>
      <c r="O159" s="845"/>
      <c r="P159" s="845"/>
      <c r="Q159" s="846"/>
      <c r="R159" s="322"/>
      <c r="S159" s="330" t="str">
        <f>IF(ISBLANK(A159),"",A159)</f>
        <v/>
      </c>
      <c r="T159" s="289" t="s">
        <v>36</v>
      </c>
      <c r="U159" s="322"/>
      <c r="V159" s="322"/>
      <c r="W159" s="322"/>
      <c r="X159" s="338"/>
      <c r="Y159" s="338"/>
      <c r="Z159" s="338"/>
      <c r="AA159" s="322"/>
      <c r="AB159" s="322"/>
      <c r="AC159" s="322"/>
      <c r="AD159" s="340"/>
      <c r="AE159" s="249"/>
      <c r="AF159" s="249"/>
      <c r="AG159" s="249"/>
      <c r="AH159" s="249"/>
      <c r="AI159" s="249"/>
      <c r="AJ159" s="249"/>
      <c r="AK159" s="249"/>
      <c r="AL159" s="249"/>
      <c r="AM159" s="249"/>
      <c r="AN159" s="249"/>
      <c r="AO159" s="249"/>
      <c r="AP159" s="249"/>
      <c r="AQ159" s="249"/>
      <c r="AR159" s="249"/>
      <c r="AS159" s="249"/>
      <c r="AT159" s="249"/>
      <c r="AU159" s="249"/>
      <c r="AV159" s="249"/>
      <c r="AW159" s="249"/>
      <c r="AX159" s="249"/>
      <c r="AY159" s="249"/>
      <c r="AZ159" s="249"/>
    </row>
    <row r="160" spans="1:52" ht="26.25" customHeight="1" thickBot="1" x14ac:dyDescent="0.25">
      <c r="A160" s="856"/>
      <c r="B160" s="857"/>
      <c r="C160" s="857"/>
      <c r="D160" s="857"/>
      <c r="E160" s="857"/>
      <c r="F160" s="857"/>
      <c r="G160" s="857"/>
      <c r="H160" s="857"/>
      <c r="I160" s="857"/>
      <c r="J160" s="857"/>
      <c r="K160" s="857"/>
      <c r="L160" s="857"/>
      <c r="M160" s="857"/>
      <c r="N160" s="857"/>
      <c r="O160" s="857"/>
      <c r="P160" s="857"/>
      <c r="Q160" s="858"/>
      <c r="R160" s="322"/>
      <c r="S160" s="322"/>
      <c r="T160" s="289"/>
      <c r="U160" s="322"/>
      <c r="V160" s="322"/>
      <c r="W160" s="322"/>
      <c r="X160" s="340"/>
      <c r="Y160" s="340"/>
      <c r="Z160" s="340"/>
      <c r="AA160" s="322"/>
      <c r="AB160" s="322"/>
      <c r="AC160" s="322"/>
      <c r="AD160" s="340"/>
      <c r="AE160" s="249"/>
      <c r="AF160" s="249"/>
      <c r="AG160" s="249"/>
      <c r="AH160" s="249"/>
      <c r="AI160" s="249"/>
      <c r="AJ160" s="249"/>
      <c r="AK160" s="249"/>
      <c r="AL160" s="249"/>
      <c r="AM160" s="249"/>
      <c r="AN160" s="249"/>
      <c r="AO160" s="249"/>
      <c r="AP160" s="249"/>
      <c r="AQ160" s="249"/>
      <c r="AR160" s="249"/>
      <c r="AS160" s="249"/>
      <c r="AT160" s="249"/>
      <c r="AU160" s="249"/>
      <c r="AV160" s="249"/>
      <c r="AW160" s="249"/>
      <c r="AX160" s="249"/>
      <c r="AY160" s="249"/>
      <c r="AZ160" s="249"/>
    </row>
    <row r="161" spans="1:52" ht="26.25" customHeight="1" x14ac:dyDescent="0.2">
      <c r="A161" s="850" t="s">
        <v>504</v>
      </c>
      <c r="B161" s="851"/>
      <c r="C161" s="851"/>
      <c r="D161" s="851"/>
      <c r="E161" s="851"/>
      <c r="F161" s="851"/>
      <c r="G161" s="851"/>
      <c r="H161" s="851"/>
      <c r="I161" s="851"/>
      <c r="J161" s="851"/>
      <c r="K161" s="851"/>
      <c r="L161" s="851"/>
      <c r="M161" s="851"/>
      <c r="N161" s="851"/>
      <c r="O161" s="851"/>
      <c r="P161" s="851"/>
      <c r="Q161" s="852"/>
      <c r="R161" s="320"/>
      <c r="S161" s="324" t="s">
        <v>540</v>
      </c>
      <c r="T161" s="320"/>
      <c r="U161" s="320"/>
      <c r="V161" s="320"/>
      <c r="W161" s="322"/>
      <c r="X161" s="340"/>
      <c r="Y161" s="340"/>
      <c r="Z161" s="340"/>
      <c r="AA161" s="322"/>
      <c r="AB161" s="322"/>
      <c r="AC161" s="322"/>
      <c r="AD161" s="340"/>
      <c r="AE161" s="249"/>
      <c r="AF161" s="249"/>
      <c r="AG161" s="249"/>
      <c r="AH161" s="249"/>
      <c r="AI161" s="249"/>
      <c r="AJ161" s="249"/>
      <c r="AK161" s="249"/>
      <c r="AL161" s="249"/>
      <c r="AM161" s="249"/>
      <c r="AN161" s="249"/>
      <c r="AO161" s="249"/>
      <c r="AP161" s="249"/>
      <c r="AQ161" s="249"/>
      <c r="AR161" s="249"/>
      <c r="AS161" s="249"/>
      <c r="AT161" s="249"/>
      <c r="AU161" s="249"/>
      <c r="AV161" s="249"/>
      <c r="AW161" s="249"/>
      <c r="AX161" s="249"/>
      <c r="AY161" s="249"/>
      <c r="AZ161" s="249"/>
    </row>
    <row r="162" spans="1:52" ht="26.25" customHeight="1" x14ac:dyDescent="0.2">
      <c r="A162" s="891" t="s">
        <v>557</v>
      </c>
      <c r="B162" s="892"/>
      <c r="C162" s="892"/>
      <c r="D162" s="892"/>
      <c r="E162" s="892"/>
      <c r="F162" s="892"/>
      <c r="G162" s="892"/>
      <c r="H162" s="892"/>
      <c r="I162" s="892"/>
      <c r="J162" s="892"/>
      <c r="K162" s="892"/>
      <c r="L162" s="893"/>
      <c r="M162" s="876"/>
      <c r="N162" s="877"/>
      <c r="O162" s="877"/>
      <c r="P162" s="877"/>
      <c r="Q162" s="878"/>
      <c r="R162" s="322"/>
      <c r="S162" s="331" t="str">
        <f>IF(ISBLANK(M162),"",VLOOKUP(M162,VImpact,2,FALSE))</f>
        <v/>
      </c>
      <c r="T162" s="327" t="s">
        <v>493</v>
      </c>
      <c r="U162" s="322"/>
      <c r="V162" s="322"/>
      <c r="W162" s="332"/>
      <c r="X162" s="340"/>
      <c r="Y162" s="340"/>
      <c r="Z162" s="340"/>
      <c r="AA162" s="322"/>
      <c r="AB162" s="322"/>
      <c r="AC162" s="322"/>
      <c r="AD162" s="340"/>
      <c r="AE162" s="249"/>
      <c r="AF162" s="249"/>
      <c r="AG162" s="249"/>
      <c r="AH162" s="249"/>
      <c r="AI162" s="249"/>
      <c r="AJ162" s="249"/>
      <c r="AK162" s="249"/>
      <c r="AL162" s="249"/>
      <c r="AM162" s="249"/>
      <c r="AN162" s="249"/>
      <c r="AO162" s="249"/>
      <c r="AP162" s="249"/>
      <c r="AQ162" s="249"/>
      <c r="AR162" s="249"/>
      <c r="AS162" s="249"/>
      <c r="AT162" s="249"/>
      <c r="AU162" s="249"/>
      <c r="AV162" s="249"/>
      <c r="AW162" s="249"/>
      <c r="AX162" s="249"/>
      <c r="AY162" s="249"/>
      <c r="AZ162" s="249"/>
    </row>
    <row r="163" spans="1:52" ht="26.25" customHeight="1" x14ac:dyDescent="0.2">
      <c r="A163" s="859" t="s">
        <v>554</v>
      </c>
      <c r="B163" s="860"/>
      <c r="C163" s="860"/>
      <c r="D163" s="860"/>
      <c r="E163" s="860"/>
      <c r="F163" s="860"/>
      <c r="G163" s="860"/>
      <c r="H163" s="860"/>
      <c r="I163" s="860"/>
      <c r="J163" s="860"/>
      <c r="K163" s="860"/>
      <c r="L163" s="861"/>
      <c r="M163" s="876"/>
      <c r="N163" s="877"/>
      <c r="O163" s="877"/>
      <c r="P163" s="877"/>
      <c r="Q163" s="878"/>
      <c r="R163" s="322"/>
      <c r="S163" s="331" t="str">
        <f>IF(ISBLANK(M163),"",VLOOKUP(M163,VEvidence,2,FALSE))</f>
        <v/>
      </c>
      <c r="T163" s="307" t="s">
        <v>494</v>
      </c>
      <c r="U163" s="322"/>
      <c r="V163" s="322"/>
      <c r="W163" s="338"/>
      <c r="X163" s="340"/>
      <c r="Y163" s="340"/>
      <c r="Z163" s="340"/>
      <c r="AA163" s="322"/>
      <c r="AB163" s="322"/>
      <c r="AC163" s="322"/>
      <c r="AD163" s="340"/>
      <c r="AE163" s="249"/>
      <c r="AF163" s="249"/>
      <c r="AG163" s="249"/>
      <c r="AH163" s="249"/>
      <c r="AI163" s="249"/>
      <c r="AJ163" s="249"/>
      <c r="AK163" s="249"/>
      <c r="AL163" s="249"/>
      <c r="AM163" s="249"/>
      <c r="AN163" s="249"/>
      <c r="AO163" s="249"/>
      <c r="AP163" s="249"/>
      <c r="AQ163" s="249"/>
      <c r="AR163" s="249"/>
      <c r="AS163" s="249"/>
      <c r="AT163" s="249"/>
      <c r="AU163" s="249"/>
      <c r="AV163" s="249"/>
      <c r="AW163" s="249"/>
      <c r="AX163" s="249"/>
      <c r="AY163" s="249"/>
      <c r="AZ163" s="249"/>
    </row>
    <row r="164" spans="1:52" ht="26.25" customHeight="1" x14ac:dyDescent="0.2">
      <c r="A164" s="888" t="s">
        <v>512</v>
      </c>
      <c r="B164" s="889"/>
      <c r="C164" s="889"/>
      <c r="D164" s="889"/>
      <c r="E164" s="889"/>
      <c r="F164" s="889"/>
      <c r="G164" s="889"/>
      <c r="H164" s="889"/>
      <c r="I164" s="889"/>
      <c r="J164" s="889"/>
      <c r="K164" s="889"/>
      <c r="L164" s="889"/>
      <c r="M164" s="889"/>
      <c r="N164" s="889"/>
      <c r="O164" s="889"/>
      <c r="P164" s="889"/>
      <c r="Q164" s="890"/>
      <c r="R164" s="322"/>
      <c r="S164" s="330" t="str">
        <f>IF(ISBLANK(A165),"",A165)</f>
        <v/>
      </c>
      <c r="T164" s="289" t="s">
        <v>35</v>
      </c>
      <c r="U164" s="322"/>
      <c r="V164" s="322"/>
      <c r="W164" s="340"/>
      <c r="X164" s="340"/>
      <c r="Y164" s="340"/>
      <c r="Z164" s="340"/>
      <c r="AA164" s="322"/>
      <c r="AB164" s="322"/>
      <c r="AC164" s="322"/>
      <c r="AD164" s="340"/>
      <c r="AE164" s="249"/>
      <c r="AF164" s="249"/>
      <c r="AG164" s="249"/>
      <c r="AH164" s="249"/>
      <c r="AI164" s="249"/>
      <c r="AJ164" s="249"/>
      <c r="AK164" s="249"/>
      <c r="AL164" s="249"/>
      <c r="AM164" s="249"/>
      <c r="AN164" s="249"/>
      <c r="AO164" s="249"/>
      <c r="AP164" s="249"/>
      <c r="AQ164" s="249"/>
      <c r="AR164" s="249"/>
      <c r="AS164" s="249"/>
      <c r="AT164" s="249"/>
      <c r="AU164" s="249"/>
      <c r="AV164" s="249"/>
      <c r="AW164" s="249"/>
      <c r="AX164" s="249"/>
      <c r="AY164" s="249"/>
      <c r="AZ164" s="249"/>
    </row>
    <row r="165" spans="1:52" ht="26.25" customHeight="1" x14ac:dyDescent="0.2">
      <c r="A165" s="862"/>
      <c r="B165" s="845"/>
      <c r="C165" s="845"/>
      <c r="D165" s="845"/>
      <c r="E165" s="845"/>
      <c r="F165" s="845"/>
      <c r="G165" s="845"/>
      <c r="H165" s="845"/>
      <c r="I165" s="845"/>
      <c r="J165" s="845"/>
      <c r="K165" s="845"/>
      <c r="L165" s="845"/>
      <c r="M165" s="845"/>
      <c r="N165" s="845"/>
      <c r="O165" s="845"/>
      <c r="P165" s="845"/>
      <c r="Q165" s="846"/>
      <c r="R165" s="322"/>
      <c r="S165" s="322"/>
      <c r="T165" s="333"/>
      <c r="U165" s="322"/>
      <c r="V165" s="322"/>
      <c r="W165" s="340"/>
      <c r="X165" s="293"/>
      <c r="Y165" s="293"/>
      <c r="Z165" s="293"/>
      <c r="AA165" s="322"/>
      <c r="AB165" s="322"/>
      <c r="AC165" s="322"/>
      <c r="AD165" s="340"/>
      <c r="AE165" s="249"/>
      <c r="AF165" s="249"/>
      <c r="AG165" s="249"/>
      <c r="AH165" s="249"/>
      <c r="AI165" s="249"/>
      <c r="AJ165" s="249"/>
      <c r="AK165" s="249"/>
      <c r="AL165" s="249"/>
      <c r="AM165" s="249"/>
      <c r="AN165" s="249"/>
      <c r="AO165" s="249"/>
      <c r="AP165" s="249"/>
      <c r="AQ165" s="249"/>
      <c r="AR165" s="249"/>
      <c r="AS165" s="249"/>
      <c r="AT165" s="249"/>
      <c r="AU165" s="249"/>
      <c r="AV165" s="249"/>
      <c r="AW165" s="249"/>
      <c r="AX165" s="249"/>
      <c r="AY165" s="249"/>
      <c r="AZ165" s="249"/>
    </row>
    <row r="166" spans="1:52" ht="26.25" customHeight="1" x14ac:dyDescent="0.2">
      <c r="A166" s="882"/>
      <c r="B166" s="883"/>
      <c r="C166" s="883"/>
      <c r="D166" s="883"/>
      <c r="E166" s="883"/>
      <c r="F166" s="883"/>
      <c r="G166" s="883"/>
      <c r="H166" s="883"/>
      <c r="I166" s="883"/>
      <c r="J166" s="883"/>
      <c r="K166" s="883"/>
      <c r="L166" s="883"/>
      <c r="M166" s="883"/>
      <c r="N166" s="883"/>
      <c r="O166" s="883"/>
      <c r="P166" s="883"/>
      <c r="Q166" s="884"/>
      <c r="R166" s="322"/>
      <c r="S166" s="322"/>
      <c r="T166" s="333"/>
      <c r="U166" s="322"/>
      <c r="V166" s="322"/>
      <c r="W166" s="340"/>
      <c r="X166" s="340"/>
      <c r="Y166" s="340"/>
      <c r="Z166" s="340"/>
      <c r="AA166" s="322"/>
      <c r="AB166" s="322"/>
      <c r="AC166" s="322"/>
      <c r="AD166" s="340"/>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249"/>
    </row>
    <row r="167" spans="1:52" ht="26.25" customHeight="1" x14ac:dyDescent="0.2">
      <c r="A167" s="867" t="s">
        <v>513</v>
      </c>
      <c r="B167" s="868"/>
      <c r="C167" s="868"/>
      <c r="D167" s="868"/>
      <c r="E167" s="868"/>
      <c r="F167" s="868"/>
      <c r="G167" s="868"/>
      <c r="H167" s="868"/>
      <c r="I167" s="868"/>
      <c r="J167" s="868"/>
      <c r="K167" s="868"/>
      <c r="L167" s="868"/>
      <c r="M167" s="868"/>
      <c r="N167" s="868"/>
      <c r="O167" s="868"/>
      <c r="P167" s="868"/>
      <c r="Q167" s="869"/>
      <c r="R167" s="322"/>
      <c r="S167" s="330" t="str">
        <f>IF(ISBLANK(A168),"",A168)</f>
        <v/>
      </c>
      <c r="T167" s="333" t="s">
        <v>542</v>
      </c>
      <c r="U167" s="322"/>
      <c r="V167" s="322"/>
      <c r="W167" s="340"/>
      <c r="X167" s="340"/>
      <c r="Y167" s="340"/>
      <c r="Z167" s="340"/>
      <c r="AA167" s="322"/>
      <c r="AB167" s="322"/>
      <c r="AC167" s="322"/>
      <c r="AD167" s="340"/>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row>
    <row r="168" spans="1:52" ht="26.25" customHeight="1" x14ac:dyDescent="0.2">
      <c r="A168" s="862"/>
      <c r="B168" s="845"/>
      <c r="C168" s="845"/>
      <c r="D168" s="845"/>
      <c r="E168" s="845"/>
      <c r="F168" s="845"/>
      <c r="G168" s="845"/>
      <c r="H168" s="845"/>
      <c r="I168" s="845"/>
      <c r="J168" s="845"/>
      <c r="K168" s="845"/>
      <c r="L168" s="845"/>
      <c r="M168" s="845"/>
      <c r="N168" s="845"/>
      <c r="O168" s="845"/>
      <c r="P168" s="845"/>
      <c r="Q168" s="863"/>
      <c r="R168" s="322"/>
      <c r="U168" s="322"/>
      <c r="V168" s="322"/>
      <c r="W168" s="340"/>
      <c r="X168" s="340"/>
      <c r="Y168" s="340"/>
      <c r="Z168" s="340"/>
      <c r="AA168" s="340"/>
      <c r="AB168" s="340"/>
      <c r="AC168" s="340"/>
      <c r="AD168" s="340"/>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row>
    <row r="169" spans="1:52" ht="26.25" customHeight="1" thickBot="1" x14ac:dyDescent="0.25">
      <c r="A169" s="847"/>
      <c r="B169" s="848"/>
      <c r="C169" s="848"/>
      <c r="D169" s="848"/>
      <c r="E169" s="848"/>
      <c r="F169" s="848"/>
      <c r="G169" s="848"/>
      <c r="H169" s="848"/>
      <c r="I169" s="848"/>
      <c r="J169" s="848"/>
      <c r="K169" s="848"/>
      <c r="L169" s="848"/>
      <c r="M169" s="848"/>
      <c r="N169" s="848"/>
      <c r="O169" s="848"/>
      <c r="P169" s="848"/>
      <c r="Q169" s="849"/>
      <c r="R169" s="322"/>
      <c r="S169" s="322"/>
      <c r="T169" s="322"/>
      <c r="U169" s="322"/>
      <c r="V169" s="322"/>
      <c r="W169" s="293"/>
      <c r="X169" s="293"/>
      <c r="Y169" s="293"/>
      <c r="Z169" s="293"/>
      <c r="AA169" s="320"/>
      <c r="AB169" s="320"/>
      <c r="AC169" s="320"/>
      <c r="AD169" s="340"/>
      <c r="AE169" s="249"/>
      <c r="AF169" s="249"/>
      <c r="AG169" s="249"/>
      <c r="AH169" s="249"/>
      <c r="AI169" s="249"/>
      <c r="AJ169" s="249"/>
      <c r="AK169" s="249"/>
      <c r="AL169" s="249"/>
      <c r="AM169" s="249"/>
      <c r="AN169" s="249"/>
      <c r="AO169" s="249"/>
      <c r="AP169" s="249"/>
      <c r="AQ169" s="249"/>
      <c r="AR169" s="249"/>
      <c r="AS169" s="249"/>
      <c r="AT169" s="249"/>
      <c r="AU169" s="249"/>
      <c r="AV169" s="249"/>
      <c r="AW169" s="249"/>
      <c r="AX169" s="249"/>
      <c r="AY169" s="249"/>
      <c r="AZ169" s="249"/>
    </row>
    <row r="170" spans="1:52" ht="26.25" customHeight="1" x14ac:dyDescent="0.2">
      <c r="A170" s="841" t="s">
        <v>555</v>
      </c>
      <c r="B170" s="842"/>
      <c r="C170" s="842"/>
      <c r="D170" s="842"/>
      <c r="E170" s="842"/>
      <c r="F170" s="842"/>
      <c r="G170" s="842"/>
      <c r="H170" s="842"/>
      <c r="I170" s="842"/>
      <c r="J170" s="842"/>
      <c r="K170" s="842"/>
      <c r="L170" s="842"/>
      <c r="M170" s="842"/>
      <c r="N170" s="842"/>
      <c r="O170" s="842"/>
      <c r="P170" s="842"/>
      <c r="Q170" s="843"/>
      <c r="S170" s="336" t="str">
        <f>IF(ISBLANK(A171),"",A171)</f>
        <v/>
      </c>
      <c r="T170" s="337" t="s">
        <v>556</v>
      </c>
      <c r="W170" s="340"/>
      <c r="X170" s="322"/>
      <c r="Y170" s="322"/>
      <c r="Z170" s="322"/>
      <c r="AA170" s="322"/>
      <c r="AB170" s="322"/>
      <c r="AC170" s="322"/>
      <c r="AD170" s="340"/>
      <c r="AE170" s="249"/>
      <c r="AF170" s="249"/>
      <c r="AG170" s="249"/>
      <c r="AH170" s="249"/>
      <c r="AI170" s="249"/>
      <c r="AJ170" s="249"/>
      <c r="AK170" s="249"/>
      <c r="AL170" s="249"/>
      <c r="AM170" s="249"/>
      <c r="AN170" s="249"/>
      <c r="AO170" s="249"/>
      <c r="AP170" s="249"/>
      <c r="AQ170" s="249"/>
      <c r="AR170" s="249"/>
      <c r="AS170" s="249"/>
      <c r="AT170" s="249"/>
      <c r="AU170" s="249"/>
      <c r="AV170" s="249"/>
      <c r="AW170" s="249"/>
      <c r="AX170" s="249"/>
      <c r="AY170" s="249"/>
      <c r="AZ170" s="249"/>
    </row>
    <row r="171" spans="1:52" ht="26.25" customHeight="1" x14ac:dyDescent="0.2">
      <c r="A171" s="862"/>
      <c r="B171" s="845"/>
      <c r="C171" s="845"/>
      <c r="D171" s="845"/>
      <c r="E171" s="845"/>
      <c r="F171" s="845"/>
      <c r="G171" s="845"/>
      <c r="H171" s="845"/>
      <c r="I171" s="845"/>
      <c r="J171" s="845"/>
      <c r="K171" s="845"/>
      <c r="L171" s="845"/>
      <c r="M171" s="845"/>
      <c r="N171" s="845"/>
      <c r="O171" s="845"/>
      <c r="P171" s="845"/>
      <c r="Q171" s="846"/>
      <c r="W171" s="340"/>
      <c r="X171" s="322"/>
      <c r="Y171" s="322"/>
      <c r="Z171" s="322"/>
      <c r="AA171" s="322"/>
      <c r="AB171" s="322"/>
      <c r="AC171" s="322"/>
      <c r="AD171" s="340"/>
      <c r="AE171" s="249"/>
      <c r="AF171" s="249"/>
      <c r="AG171" s="249"/>
      <c r="AH171" s="249"/>
      <c r="AI171" s="249"/>
      <c r="AJ171" s="249"/>
      <c r="AK171" s="249"/>
      <c r="AL171" s="249"/>
      <c r="AM171" s="249"/>
      <c r="AN171" s="249"/>
      <c r="AO171" s="249"/>
      <c r="AP171" s="249"/>
      <c r="AQ171" s="249"/>
      <c r="AR171" s="249"/>
      <c r="AS171" s="249"/>
      <c r="AT171" s="249"/>
      <c r="AU171" s="249"/>
      <c r="AV171" s="249"/>
      <c r="AW171" s="249"/>
      <c r="AX171" s="249"/>
      <c r="AY171" s="249"/>
      <c r="AZ171" s="249"/>
    </row>
    <row r="172" spans="1:52" ht="26.25" customHeight="1" thickBot="1" x14ac:dyDescent="0.25">
      <c r="A172" s="847"/>
      <c r="B172" s="848"/>
      <c r="C172" s="848"/>
      <c r="D172" s="848"/>
      <c r="E172" s="848"/>
      <c r="F172" s="848"/>
      <c r="G172" s="848"/>
      <c r="H172" s="848"/>
      <c r="I172" s="848"/>
      <c r="J172" s="848"/>
      <c r="K172" s="848"/>
      <c r="L172" s="848"/>
      <c r="M172" s="848"/>
      <c r="N172" s="848"/>
      <c r="O172" s="848"/>
      <c r="P172" s="848"/>
      <c r="Q172" s="849"/>
      <c r="R172" s="286"/>
      <c r="S172" s="286"/>
      <c r="T172" s="286"/>
      <c r="U172" s="286"/>
      <c r="V172" s="286"/>
      <c r="W172" s="340"/>
      <c r="X172" s="322"/>
      <c r="Y172" s="322"/>
      <c r="Z172" s="322"/>
      <c r="AA172" s="322"/>
      <c r="AB172" s="322"/>
      <c r="AC172" s="322"/>
      <c r="AD172" s="340"/>
      <c r="AE172" s="249"/>
      <c r="AF172" s="249"/>
      <c r="AG172" s="249"/>
      <c r="AH172" s="249"/>
      <c r="AI172" s="249"/>
      <c r="AJ172" s="249"/>
      <c r="AK172" s="249"/>
      <c r="AL172" s="249"/>
      <c r="AM172" s="249"/>
      <c r="AN172" s="249"/>
      <c r="AO172" s="249"/>
      <c r="AP172" s="249"/>
      <c r="AQ172" s="249"/>
      <c r="AR172" s="249"/>
      <c r="AS172" s="249"/>
      <c r="AT172" s="249"/>
      <c r="AU172" s="249"/>
      <c r="AV172" s="249"/>
      <c r="AW172" s="249"/>
      <c r="AX172" s="249"/>
      <c r="AY172" s="249"/>
      <c r="AZ172" s="249"/>
    </row>
    <row r="173" spans="1:52" ht="26.25" customHeight="1" x14ac:dyDescent="0.2">
      <c r="A173" s="850" t="s">
        <v>482</v>
      </c>
      <c r="B173" s="851"/>
      <c r="C173" s="851"/>
      <c r="D173" s="851"/>
      <c r="E173" s="851"/>
      <c r="F173" s="851"/>
      <c r="G173" s="851"/>
      <c r="H173" s="851"/>
      <c r="I173" s="851"/>
      <c r="J173" s="851"/>
      <c r="K173" s="851"/>
      <c r="L173" s="851"/>
      <c r="M173" s="851"/>
      <c r="N173" s="851"/>
      <c r="O173" s="851"/>
      <c r="P173" s="851"/>
      <c r="Q173" s="852"/>
      <c r="R173" s="334"/>
      <c r="S173" s="341"/>
      <c r="T173" s="342"/>
      <c r="U173" s="334"/>
      <c r="V173" s="334"/>
      <c r="W173" s="293"/>
      <c r="X173" s="322"/>
      <c r="Y173" s="322"/>
      <c r="Z173" s="322"/>
      <c r="AA173" s="322"/>
      <c r="AB173" s="322"/>
      <c r="AC173" s="322"/>
      <c r="AD173" s="340"/>
      <c r="AE173" s="249"/>
      <c r="AF173" s="249"/>
      <c r="AG173" s="249"/>
      <c r="AH173" s="249"/>
      <c r="AI173" s="249"/>
      <c r="AJ173" s="249"/>
      <c r="AK173" s="249"/>
      <c r="AL173" s="249"/>
      <c r="AM173" s="249"/>
      <c r="AN173" s="249"/>
      <c r="AO173" s="249"/>
      <c r="AP173" s="249"/>
      <c r="AQ173" s="249"/>
      <c r="AR173" s="249"/>
      <c r="AS173" s="249"/>
      <c r="AT173" s="249"/>
      <c r="AU173" s="249"/>
      <c r="AV173" s="249"/>
      <c r="AW173" s="249"/>
      <c r="AX173" s="249"/>
      <c r="AY173" s="249"/>
      <c r="AZ173" s="249"/>
    </row>
    <row r="174" spans="1:52" ht="26.25" customHeight="1" x14ac:dyDescent="0.2">
      <c r="A174" s="853"/>
      <c r="B174" s="854"/>
      <c r="C174" s="854"/>
      <c r="D174" s="854"/>
      <c r="E174" s="854"/>
      <c r="F174" s="854"/>
      <c r="G174" s="854"/>
      <c r="H174" s="854"/>
      <c r="I174" s="854"/>
      <c r="J174" s="854"/>
      <c r="K174" s="854"/>
      <c r="L174" s="854"/>
      <c r="M174" s="854"/>
      <c r="N174" s="854"/>
      <c r="O174" s="854"/>
      <c r="P174" s="854"/>
      <c r="Q174" s="855"/>
      <c r="R174" s="186"/>
      <c r="S174" s="343" t="str">
        <f>IF(ISBLANK(A174),"",CONCATENATE(S173,A174))</f>
        <v/>
      </c>
      <c r="T174" s="289" t="s">
        <v>37</v>
      </c>
      <c r="U174" s="186"/>
      <c r="V174" s="186"/>
      <c r="W174" s="322"/>
      <c r="X174" s="322"/>
      <c r="Y174" s="322"/>
      <c r="Z174" s="322"/>
      <c r="AA174" s="322"/>
      <c r="AB174" s="322"/>
      <c r="AC174" s="322"/>
      <c r="AD174" s="340"/>
      <c r="AE174" s="249"/>
      <c r="AF174" s="249"/>
      <c r="AG174" s="249"/>
      <c r="AH174" s="249"/>
      <c r="AI174" s="249"/>
      <c r="AJ174" s="249"/>
      <c r="AK174" s="249"/>
      <c r="AL174" s="249"/>
      <c r="AM174" s="249"/>
      <c r="AN174" s="249"/>
      <c r="AO174" s="249"/>
      <c r="AP174" s="249"/>
      <c r="AQ174" s="249"/>
      <c r="AR174" s="249"/>
      <c r="AS174" s="249"/>
      <c r="AT174" s="249"/>
      <c r="AU174" s="249"/>
      <c r="AV174" s="249"/>
      <c r="AW174" s="249"/>
      <c r="AX174" s="249"/>
      <c r="AY174" s="249"/>
      <c r="AZ174" s="249"/>
    </row>
    <row r="175" spans="1:52" ht="26.25" customHeight="1" thickBot="1" x14ac:dyDescent="0.25">
      <c r="A175" s="856"/>
      <c r="B175" s="857"/>
      <c r="C175" s="857"/>
      <c r="D175" s="857"/>
      <c r="E175" s="857"/>
      <c r="F175" s="857"/>
      <c r="G175" s="857"/>
      <c r="H175" s="857"/>
      <c r="I175" s="857"/>
      <c r="J175" s="857"/>
      <c r="K175" s="857"/>
      <c r="L175" s="857"/>
      <c r="M175" s="857"/>
      <c r="N175" s="857"/>
      <c r="O175" s="857"/>
      <c r="P175" s="857"/>
      <c r="Q175" s="858"/>
      <c r="R175" s="186"/>
      <c r="S175" s="340"/>
      <c r="T175" s="340"/>
      <c r="U175" s="340"/>
      <c r="V175" s="340"/>
      <c r="W175" s="322"/>
      <c r="X175" s="322"/>
      <c r="Y175" s="322"/>
      <c r="Z175" s="322"/>
      <c r="AA175" s="322"/>
      <c r="AB175" s="322"/>
      <c r="AC175" s="322"/>
      <c r="AD175" s="340"/>
      <c r="AE175" s="249"/>
      <c r="AF175" s="249"/>
      <c r="AG175" s="249"/>
      <c r="AH175" s="249"/>
      <c r="AI175" s="249"/>
      <c r="AJ175" s="249"/>
      <c r="AK175" s="249"/>
      <c r="AL175" s="249"/>
      <c r="AM175" s="249"/>
      <c r="AN175" s="249"/>
      <c r="AO175" s="249"/>
      <c r="AP175" s="249"/>
      <c r="AQ175" s="249"/>
      <c r="AR175" s="249"/>
      <c r="AS175" s="249"/>
      <c r="AT175" s="249"/>
      <c r="AU175" s="249"/>
      <c r="AV175" s="249"/>
      <c r="AW175" s="249"/>
      <c r="AX175" s="249"/>
      <c r="AY175" s="249"/>
      <c r="AZ175" s="249"/>
    </row>
    <row r="176" spans="1:52" ht="26.25" customHeight="1" x14ac:dyDescent="0.2">
      <c r="A176" s="344" t="e">
        <f>$A$1</f>
        <v>#N/A</v>
      </c>
      <c r="B176" s="340"/>
      <c r="C176" s="340"/>
      <c r="D176" s="340"/>
      <c r="E176" s="340"/>
      <c r="F176" s="340"/>
      <c r="G176" s="340"/>
      <c r="H176" s="340"/>
      <c r="I176" s="340"/>
      <c r="J176" s="340"/>
      <c r="K176" s="340"/>
      <c r="L176" s="340"/>
      <c r="M176" s="340"/>
      <c r="N176" s="340"/>
      <c r="O176" s="340"/>
      <c r="P176" s="773"/>
      <c r="Q176" s="773"/>
      <c r="R176" s="332"/>
      <c r="S176" s="332"/>
      <c r="T176" s="332"/>
      <c r="U176" s="332"/>
      <c r="V176" s="332"/>
      <c r="W176" s="322"/>
      <c r="X176" s="322"/>
      <c r="Y176" s="322"/>
      <c r="Z176" s="322"/>
      <c r="AA176" s="322"/>
      <c r="AB176" s="322"/>
      <c r="AC176" s="322"/>
      <c r="AD176" s="340"/>
      <c r="AE176" s="249"/>
      <c r="AF176" s="249"/>
      <c r="AG176" s="249"/>
      <c r="AH176" s="249"/>
      <c r="AI176" s="249"/>
      <c r="AJ176" s="249"/>
      <c r="AK176" s="249"/>
      <c r="AL176" s="249"/>
      <c r="AM176" s="249"/>
      <c r="AN176" s="249"/>
      <c r="AO176" s="249"/>
      <c r="AP176" s="249"/>
      <c r="AQ176" s="249"/>
      <c r="AR176" s="249"/>
      <c r="AS176" s="249"/>
      <c r="AT176" s="249"/>
      <c r="AU176" s="249"/>
      <c r="AV176" s="249"/>
      <c r="AW176" s="249"/>
      <c r="AX176" s="249"/>
      <c r="AY176" s="249"/>
      <c r="AZ176" s="249"/>
    </row>
    <row r="177" spans="1:52" ht="26.25" customHeight="1" thickBot="1" x14ac:dyDescent="0.25">
      <c r="A177" s="776" t="s">
        <v>569</v>
      </c>
      <c r="B177" s="777"/>
      <c r="C177" s="777"/>
      <c r="D177" s="777"/>
      <c r="E177" s="777"/>
      <c r="F177" s="777"/>
      <c r="G177" s="777"/>
      <c r="H177" s="777"/>
      <c r="I177" s="777"/>
      <c r="J177" s="777"/>
      <c r="K177" s="777"/>
      <c r="L177" s="777"/>
      <c r="M177" s="777"/>
      <c r="N177" s="774" t="str">
        <f>$N$5</f>
        <v>2022 Report Year</v>
      </c>
      <c r="O177" s="775"/>
      <c r="P177" s="775"/>
      <c r="Q177" s="775"/>
      <c r="R177" s="338"/>
      <c r="S177" s="338"/>
      <c r="T177" s="338"/>
      <c r="U177" s="338"/>
      <c r="V177" s="338"/>
      <c r="W177" s="322"/>
      <c r="X177" s="322"/>
      <c r="Y177" s="322"/>
      <c r="Z177" s="322"/>
      <c r="AA177" s="322"/>
      <c r="AB177" s="322"/>
      <c r="AC177" s="322"/>
      <c r="AD177" s="340"/>
      <c r="AE177" s="249"/>
      <c r="AF177" s="249"/>
      <c r="AG177" s="249"/>
      <c r="AH177" s="249"/>
      <c r="AI177" s="249"/>
      <c r="AJ177" s="249"/>
      <c r="AK177" s="249"/>
      <c r="AL177" s="249"/>
      <c r="AM177" s="249"/>
      <c r="AN177" s="249"/>
      <c r="AO177" s="249"/>
      <c r="AP177" s="249"/>
      <c r="AQ177" s="249"/>
      <c r="AR177" s="249"/>
      <c r="AS177" s="249"/>
      <c r="AT177" s="249"/>
      <c r="AU177" s="249"/>
      <c r="AV177" s="249"/>
      <c r="AW177" s="249"/>
      <c r="AX177" s="249"/>
      <c r="AY177" s="249"/>
      <c r="AZ177" s="249"/>
    </row>
    <row r="178" spans="1:52" ht="26.25" customHeight="1" x14ac:dyDescent="0.2">
      <c r="A178" s="821" t="e">
        <f>IF(AND(OR(ISNA(cap_exp_contact),TRIM(cap_exp_contact)=""),NOT(ISBLANK(code_7594))),"The Capital Expenditure Contact information has NOT been provided.  Please complete this information now.","")</f>
        <v>#N/A</v>
      </c>
      <c r="B178" s="822"/>
      <c r="C178" s="822"/>
      <c r="D178" s="822"/>
      <c r="E178" s="822"/>
      <c r="F178" s="822"/>
      <c r="G178" s="822"/>
      <c r="H178" s="822"/>
      <c r="I178" s="822"/>
      <c r="J178" s="822"/>
      <c r="K178" s="822"/>
      <c r="L178" s="822"/>
      <c r="M178" s="822"/>
      <c r="N178" s="271" t="s">
        <v>278</v>
      </c>
      <c r="O178" s="272" t="e">
        <f>'Capital Expend Detail'!$I$7</f>
        <v>#N/A</v>
      </c>
      <c r="P178" s="273" t="s">
        <v>431</v>
      </c>
      <c r="Q178" s="274" t="e">
        <f>IF(ISBLANK(Q135),"",Q135+1)</f>
        <v>#VALUE!</v>
      </c>
      <c r="R178" s="197"/>
      <c r="S178" s="340"/>
      <c r="T178" s="340"/>
      <c r="U178" s="340"/>
      <c r="V178" s="340"/>
      <c r="W178" s="322"/>
      <c r="X178" s="322"/>
      <c r="Y178" s="322"/>
      <c r="Z178" s="322"/>
      <c r="AA178" s="322"/>
      <c r="AB178" s="322"/>
      <c r="AC178" s="322"/>
      <c r="AD178" s="340"/>
      <c r="AE178" s="249"/>
      <c r="AF178" s="249"/>
      <c r="AG178" s="249"/>
      <c r="AH178" s="249"/>
      <c r="AI178" s="249"/>
      <c r="AJ178" s="249"/>
      <c r="AK178" s="249"/>
      <c r="AL178" s="249"/>
      <c r="AM178" s="249"/>
      <c r="AN178" s="249"/>
      <c r="AO178" s="249"/>
      <c r="AP178" s="249"/>
      <c r="AQ178" s="249"/>
      <c r="AR178" s="249"/>
      <c r="AS178" s="249"/>
      <c r="AT178" s="249"/>
      <c r="AU178" s="249"/>
      <c r="AV178" s="249"/>
      <c r="AW178" s="249"/>
      <c r="AX178" s="249"/>
      <c r="AY178" s="249"/>
      <c r="AZ178" s="249"/>
    </row>
    <row r="179" spans="1:52" ht="26.25" customHeight="1" thickBot="1" x14ac:dyDescent="0.25">
      <c r="A179" s="778" t="s">
        <v>432</v>
      </c>
      <c r="B179" s="779"/>
      <c r="C179" s="779"/>
      <c r="D179" s="779"/>
      <c r="E179" s="815"/>
      <c r="F179" s="816"/>
      <c r="G179" s="816"/>
      <c r="H179" s="816"/>
      <c r="I179" s="816"/>
      <c r="J179" s="816"/>
      <c r="K179" s="816"/>
      <c r="L179" s="817"/>
      <c r="M179" s="276"/>
      <c r="N179" s="823" t="s">
        <v>443</v>
      </c>
      <c r="O179" s="824"/>
      <c r="P179" s="824"/>
      <c r="Q179" s="825"/>
      <c r="R179" s="197"/>
      <c r="S179" s="277" t="str">
        <f>IF(ISBLANK(E179),"",E179)</f>
        <v/>
      </c>
      <c r="T179" s="278" t="s">
        <v>407</v>
      </c>
      <c r="U179" s="197"/>
      <c r="V179" s="197"/>
      <c r="W179" s="322"/>
      <c r="X179" s="340"/>
      <c r="Y179" s="340"/>
      <c r="Z179" s="340"/>
      <c r="AA179" s="332"/>
      <c r="AB179" s="332"/>
      <c r="AC179" s="332"/>
      <c r="AD179" s="340"/>
      <c r="AE179" s="249"/>
      <c r="AF179" s="249"/>
      <c r="AG179" s="249"/>
      <c r="AH179" s="249"/>
      <c r="AI179" s="249"/>
      <c r="AJ179" s="249"/>
      <c r="AK179" s="249"/>
      <c r="AL179" s="249"/>
      <c r="AM179" s="249"/>
      <c r="AN179" s="249"/>
      <c r="AO179" s="249"/>
      <c r="AP179" s="249"/>
      <c r="AQ179" s="249"/>
      <c r="AR179" s="249"/>
      <c r="AS179" s="249"/>
      <c r="AT179" s="249"/>
      <c r="AU179" s="249"/>
      <c r="AV179" s="249"/>
      <c r="AW179" s="249"/>
      <c r="AX179" s="249"/>
      <c r="AY179" s="249"/>
      <c r="AZ179" s="249"/>
    </row>
    <row r="180" spans="1:52" ht="26.25" customHeight="1" x14ac:dyDescent="0.2">
      <c r="A180" s="833" t="s">
        <v>433</v>
      </c>
      <c r="B180" s="834"/>
      <c r="C180" s="834"/>
      <c r="D180" s="835"/>
      <c r="E180" s="788"/>
      <c r="F180" s="789"/>
      <c r="G180" s="789"/>
      <c r="H180" s="789"/>
      <c r="I180" s="789"/>
      <c r="J180" s="789"/>
      <c r="K180" s="789"/>
      <c r="L180" s="790"/>
      <c r="M180" s="793" t="str">
        <f>IF(AND(ISBLANK(E180),OR(NOT(ISBLANK(E181)),NOT(ISBLANK(E182)),NOT(ISBLANK(E183)),NOT(ISBLANK(I184)),NOT(ISBLANK(A186)))),"This information is required.","")</f>
        <v/>
      </c>
      <c r="N180" s="794"/>
      <c r="O180" s="794"/>
      <c r="P180" s="794"/>
      <c r="Q180" s="279"/>
      <c r="R180" s="197"/>
      <c r="S180" s="277" t="str">
        <f>IF(ISBLANK(E180),"",E180)</f>
        <v/>
      </c>
      <c r="T180" s="278" t="s">
        <v>27</v>
      </c>
      <c r="U180" s="197"/>
      <c r="V180" s="197"/>
      <c r="W180" s="322"/>
      <c r="X180" s="320"/>
      <c r="Y180" s="320"/>
      <c r="Z180" s="320"/>
      <c r="AA180" s="338"/>
      <c r="AB180" s="338"/>
      <c r="AC180" s="338"/>
      <c r="AD180" s="340"/>
      <c r="AE180" s="249"/>
      <c r="AF180" s="249"/>
      <c r="AG180" s="249"/>
      <c r="AH180" s="249"/>
      <c r="AI180" s="249"/>
      <c r="AJ180" s="249"/>
      <c r="AK180" s="249"/>
      <c r="AL180" s="249"/>
      <c r="AM180" s="249"/>
      <c r="AN180" s="249"/>
      <c r="AO180" s="249"/>
      <c r="AP180" s="249"/>
      <c r="AQ180" s="249"/>
      <c r="AR180" s="249"/>
      <c r="AS180" s="249"/>
      <c r="AT180" s="249"/>
      <c r="AU180" s="249"/>
      <c r="AV180" s="249"/>
      <c r="AW180" s="249"/>
      <c r="AX180" s="249"/>
      <c r="AY180" s="249"/>
      <c r="AZ180" s="249"/>
    </row>
    <row r="181" spans="1:52" ht="26.25" customHeight="1" x14ac:dyDescent="0.2">
      <c r="A181" s="783" t="s">
        <v>434</v>
      </c>
      <c r="B181" s="784"/>
      <c r="C181" s="784"/>
      <c r="D181" s="785"/>
      <c r="E181" s="788"/>
      <c r="F181" s="789"/>
      <c r="G181" s="789"/>
      <c r="H181" s="789"/>
      <c r="I181" s="789"/>
      <c r="J181" s="789"/>
      <c r="K181" s="789"/>
      <c r="L181" s="790"/>
      <c r="M181" s="793" t="str">
        <f>IF(AND(ISBLANK(E181),OR(NOT(ISBLANK(E180)),NOT(ISBLANK(E182)),NOT(ISBLANK(E183)),NOT(ISBLANK(I184)),NOT(ISBLANK(A186)))),"This information is required.","")</f>
        <v/>
      </c>
      <c r="N181" s="794"/>
      <c r="O181" s="794"/>
      <c r="P181" s="794"/>
      <c r="Q181" s="279"/>
      <c r="R181" s="197"/>
      <c r="S181" s="277" t="str">
        <f>IF(ISBLANK(E181),"",E181)</f>
        <v/>
      </c>
      <c r="T181" s="278" t="s">
        <v>28</v>
      </c>
      <c r="U181" s="197"/>
      <c r="V181" s="197"/>
      <c r="W181" s="322"/>
      <c r="X181" s="322"/>
      <c r="Y181" s="322"/>
      <c r="Z181" s="322"/>
      <c r="AA181" s="340"/>
      <c r="AB181" s="340"/>
      <c r="AC181" s="340"/>
      <c r="AD181" s="340"/>
      <c r="AE181" s="249"/>
      <c r="AF181" s="249"/>
      <c r="AG181" s="249"/>
      <c r="AH181" s="249"/>
      <c r="AI181" s="249"/>
      <c r="AJ181" s="249"/>
      <c r="AK181" s="249"/>
      <c r="AL181" s="308"/>
      <c r="AM181" s="249"/>
      <c r="AN181" s="249"/>
      <c r="AO181" s="249"/>
      <c r="AP181" s="249"/>
      <c r="AQ181" s="249"/>
      <c r="AR181" s="249"/>
      <c r="AS181" s="249"/>
      <c r="AT181" s="249"/>
      <c r="AU181" s="249"/>
      <c r="AV181" s="249"/>
      <c r="AW181" s="249"/>
      <c r="AX181" s="249"/>
      <c r="AY181" s="249"/>
      <c r="AZ181" s="249"/>
    </row>
    <row r="182" spans="1:52" ht="26.25" customHeight="1" x14ac:dyDescent="0.2">
      <c r="A182" s="873" t="s">
        <v>436</v>
      </c>
      <c r="B182" s="874"/>
      <c r="C182" s="874"/>
      <c r="D182" s="875"/>
      <c r="E182" s="813"/>
      <c r="F182" s="814"/>
      <c r="G182" s="786" t="s">
        <v>437</v>
      </c>
      <c r="H182" s="786"/>
      <c r="I182" s="786"/>
      <c r="J182" s="786"/>
      <c r="K182" s="786"/>
      <c r="L182" s="786"/>
      <c r="M182" s="787" t="str">
        <f>IF(AND(ISBLANK(E182),OR(NOT(ISBLANK(E180)),NOT(ISBLANK(E181)),NOT(ISBLANK(E183)),NOT(ISBLANK(I184)),NOT(ISBLANK(A186)))),"This information is required.","")</f>
        <v/>
      </c>
      <c r="N182" s="711"/>
      <c r="O182" s="711"/>
      <c r="P182" s="711"/>
      <c r="Q182" s="280"/>
      <c r="R182" s="281"/>
      <c r="S182" s="282" t="str">
        <f>IF(ISBLANK(E182),"",E182)</f>
        <v/>
      </c>
      <c r="T182" s="283" t="s">
        <v>30</v>
      </c>
      <c r="U182" s="281"/>
      <c r="V182" s="281"/>
      <c r="W182" s="322"/>
      <c r="X182" s="322"/>
      <c r="Y182" s="322"/>
      <c r="Z182" s="322"/>
      <c r="AA182" s="340"/>
      <c r="AB182" s="340"/>
      <c r="AC182" s="340"/>
      <c r="AD182" s="340"/>
      <c r="AE182" s="249"/>
      <c r="AF182" s="249"/>
      <c r="AG182" s="249"/>
      <c r="AH182" s="249"/>
      <c r="AI182" s="249"/>
      <c r="AJ182" s="249"/>
      <c r="AK182" s="249"/>
      <c r="AL182" s="308"/>
      <c r="AM182" s="249"/>
      <c r="AN182" s="249"/>
      <c r="AO182" s="249"/>
      <c r="AP182" s="249"/>
      <c r="AQ182" s="249"/>
      <c r="AR182" s="249"/>
      <c r="AS182" s="249"/>
      <c r="AT182" s="249"/>
      <c r="AU182" s="249"/>
      <c r="AV182" s="249"/>
      <c r="AW182" s="249"/>
      <c r="AX182" s="249"/>
      <c r="AY182" s="249"/>
      <c r="AZ182" s="249"/>
    </row>
    <row r="183" spans="1:52" ht="26.25" customHeight="1" x14ac:dyDescent="0.2">
      <c r="A183" s="783" t="s">
        <v>435</v>
      </c>
      <c r="B183" s="784"/>
      <c r="C183" s="784"/>
      <c r="D183" s="785"/>
      <c r="E183" s="828"/>
      <c r="F183" s="829"/>
      <c r="G183" s="284"/>
      <c r="H183" s="285"/>
      <c r="I183" s="286"/>
      <c r="J183" s="281"/>
      <c r="K183" s="281"/>
      <c r="L183" s="281"/>
      <c r="M183" s="711" t="str">
        <f>IF(AND(ISBLANK(E183),OR(NOT(ISBLANK(E180)),NOT(ISBLANK(E181)),NOT(ISBLANK(E182)),NOT(ISBLANK(I184)),NOT(ISBLANK(A186)))),"This information is required.","")</f>
        <v/>
      </c>
      <c r="N183" s="711"/>
      <c r="O183" s="711"/>
      <c r="P183" s="711"/>
      <c r="Q183" s="280"/>
      <c r="R183" s="287"/>
      <c r="S183" s="288" t="str">
        <f>IF(ISBLANK(E183),"",E183)</f>
        <v/>
      </c>
      <c r="T183" s="289" t="s">
        <v>31</v>
      </c>
      <c r="U183" s="287"/>
      <c r="V183" s="287"/>
      <c r="W183" s="340"/>
      <c r="X183" s="322"/>
      <c r="Y183" s="322"/>
      <c r="Z183" s="322"/>
      <c r="AA183" s="340"/>
      <c r="AB183" s="340"/>
      <c r="AC183" s="340"/>
      <c r="AD183" s="340"/>
      <c r="AE183" s="249"/>
      <c r="AF183" s="249"/>
      <c r="AG183" s="249"/>
      <c r="AH183" s="249"/>
      <c r="AI183" s="249"/>
      <c r="AJ183" s="249"/>
      <c r="AK183" s="249"/>
      <c r="AL183" s="308"/>
      <c r="AM183" s="249"/>
      <c r="AN183" s="249"/>
      <c r="AO183" s="249"/>
      <c r="AP183" s="249"/>
      <c r="AQ183" s="249"/>
      <c r="AR183" s="249"/>
      <c r="AS183" s="249"/>
      <c r="AT183" s="249"/>
      <c r="AU183" s="249"/>
      <c r="AV183" s="249"/>
      <c r="AW183" s="249"/>
      <c r="AX183" s="249"/>
      <c r="AY183" s="249"/>
      <c r="AZ183" s="249"/>
    </row>
    <row r="184" spans="1:52" ht="26.25" customHeight="1" thickBot="1" x14ac:dyDescent="0.25">
      <c r="A184" s="797" t="s">
        <v>426</v>
      </c>
      <c r="B184" s="798"/>
      <c r="C184" s="798"/>
      <c r="D184" s="798"/>
      <c r="E184" s="799"/>
      <c r="F184" s="799"/>
      <c r="G184" s="799"/>
      <c r="H184" s="799"/>
      <c r="I184" s="832"/>
      <c r="J184" s="832"/>
      <c r="K184" s="795" t="s">
        <v>481</v>
      </c>
      <c r="L184" s="796"/>
      <c r="M184" s="827" t="str">
        <f>IF(AND(ISBLANK(I184),OR(NOT(ISBLANK(E180)),NOT(ISBLANK(E181)),NOT(ISBLANK(E182)),NOT(ISBLANK(E183)),NOT(ISBLANK(A186)))),"This information is required!","")</f>
        <v/>
      </c>
      <c r="N184" s="827"/>
      <c r="O184" s="827"/>
      <c r="P184" s="827"/>
      <c r="Q184" s="290"/>
      <c r="R184" s="287"/>
      <c r="S184" s="288" t="str">
        <f>IF(ISBLANK(I184),"",I184)</f>
        <v/>
      </c>
      <c r="T184" s="289" t="s">
        <v>32</v>
      </c>
      <c r="U184" s="291"/>
      <c r="V184" s="291"/>
      <c r="W184" s="320"/>
      <c r="X184" s="322"/>
      <c r="Y184" s="322"/>
      <c r="Z184" s="322"/>
      <c r="AA184" s="340"/>
      <c r="AB184" s="340"/>
      <c r="AC184" s="340"/>
      <c r="AD184" s="340"/>
      <c r="AE184" s="249"/>
      <c r="AF184" s="249"/>
      <c r="AG184" s="249"/>
      <c r="AH184" s="249"/>
      <c r="AI184" s="249"/>
      <c r="AJ184" s="249"/>
      <c r="AK184" s="249"/>
      <c r="AL184" s="308"/>
      <c r="AM184" s="249"/>
      <c r="AN184" s="249"/>
      <c r="AO184" s="249"/>
      <c r="AP184" s="249"/>
      <c r="AQ184" s="249"/>
      <c r="AR184" s="249"/>
      <c r="AS184" s="249"/>
      <c r="AT184" s="249"/>
      <c r="AU184" s="249"/>
      <c r="AV184" s="249"/>
      <c r="AW184" s="249"/>
      <c r="AX184" s="249"/>
      <c r="AY184" s="197"/>
      <c r="AZ184" s="197"/>
    </row>
    <row r="185" spans="1:52" ht="26.25" customHeight="1" x14ac:dyDescent="0.2">
      <c r="A185" s="841" t="s">
        <v>553</v>
      </c>
      <c r="B185" s="842"/>
      <c r="C185" s="842"/>
      <c r="D185" s="842"/>
      <c r="E185" s="842"/>
      <c r="F185" s="842"/>
      <c r="G185" s="842"/>
      <c r="H185" s="842"/>
      <c r="I185" s="842"/>
      <c r="J185" s="909"/>
      <c r="K185" s="907" t="s">
        <v>646</v>
      </c>
      <c r="L185" s="907"/>
      <c r="M185" s="907"/>
      <c r="N185" s="907"/>
      <c r="O185" s="830" t="s">
        <v>535</v>
      </c>
      <c r="P185" s="830"/>
      <c r="Q185" s="831"/>
      <c r="R185" s="293"/>
      <c r="S185" s="288" t="str">
        <f>IF(ISBLANK(A186),"",A186)</f>
        <v/>
      </c>
      <c r="T185" s="289" t="s">
        <v>33</v>
      </c>
      <c r="U185" s="294"/>
      <c r="V185" s="294"/>
      <c r="W185" s="322"/>
      <c r="X185" s="322"/>
      <c r="Y185" s="322"/>
      <c r="Z185" s="322"/>
      <c r="AA185" s="340"/>
      <c r="AB185" s="340"/>
      <c r="AC185" s="340"/>
      <c r="AD185" s="340"/>
      <c r="AE185" s="249"/>
      <c r="AF185" s="249"/>
      <c r="AG185" s="249"/>
      <c r="AH185" s="249"/>
      <c r="AI185" s="249"/>
      <c r="AJ185" s="249"/>
      <c r="AK185" s="249"/>
      <c r="AL185" s="308"/>
      <c r="AM185" s="249"/>
      <c r="AN185" s="249"/>
      <c r="AO185" s="249"/>
      <c r="AP185" s="249"/>
      <c r="AQ185" s="249"/>
      <c r="AR185" s="249"/>
      <c r="AS185" s="249"/>
      <c r="AT185" s="249"/>
      <c r="AU185" s="249"/>
      <c r="AV185" s="249"/>
      <c r="AW185" s="249"/>
      <c r="AX185" s="249"/>
      <c r="AY185" s="197"/>
      <c r="AZ185" s="197"/>
    </row>
    <row r="186" spans="1:52" ht="26.25" customHeight="1" x14ac:dyDescent="0.2">
      <c r="A186" s="853"/>
      <c r="B186" s="854"/>
      <c r="C186" s="854"/>
      <c r="D186" s="854"/>
      <c r="E186" s="854"/>
      <c r="F186" s="854"/>
      <c r="G186" s="854"/>
      <c r="H186" s="854"/>
      <c r="I186" s="854"/>
      <c r="J186" s="902"/>
      <c r="K186" s="908"/>
      <c r="L186" s="908"/>
      <c r="M186" s="908"/>
      <c r="N186" s="908"/>
      <c r="O186" s="295"/>
      <c r="P186" s="296" t="s">
        <v>43</v>
      </c>
      <c r="Q186" s="297" t="s">
        <v>44</v>
      </c>
      <c r="R186" s="293"/>
      <c r="S186" s="288" t="str">
        <f>IF(ISBLANK(A189),"",A189)</f>
        <v/>
      </c>
      <c r="T186" s="298" t="s">
        <v>34</v>
      </c>
      <c r="U186" s="294"/>
      <c r="V186" s="294"/>
      <c r="W186" s="322"/>
      <c r="X186" s="322"/>
      <c r="Y186" s="322"/>
      <c r="Z186" s="322"/>
      <c r="AA186" s="293"/>
      <c r="AB186" s="293"/>
      <c r="AC186" s="293"/>
      <c r="AD186" s="346"/>
      <c r="AE186" s="249"/>
      <c r="AF186" s="249"/>
      <c r="AG186" s="249"/>
      <c r="AH186" s="249"/>
      <c r="AI186" s="249"/>
      <c r="AJ186" s="249"/>
      <c r="AK186" s="249"/>
      <c r="AL186" s="308"/>
      <c r="AM186" s="249"/>
      <c r="AN186" s="249"/>
      <c r="AO186" s="249"/>
      <c r="AP186" s="249"/>
      <c r="AQ186" s="249"/>
      <c r="AR186" s="249"/>
      <c r="AS186" s="249"/>
      <c r="AT186" s="249"/>
      <c r="AU186" s="249"/>
      <c r="AV186" s="249"/>
      <c r="AW186" s="249"/>
      <c r="AX186" s="249"/>
      <c r="AY186" s="197"/>
      <c r="AZ186" s="197"/>
    </row>
    <row r="187" spans="1:52" ht="26.25" customHeight="1" x14ac:dyDescent="0.2">
      <c r="A187" s="882"/>
      <c r="B187" s="883"/>
      <c r="C187" s="883"/>
      <c r="D187" s="883"/>
      <c r="E187" s="883"/>
      <c r="F187" s="883"/>
      <c r="G187" s="883"/>
      <c r="H187" s="883"/>
      <c r="I187" s="883"/>
      <c r="J187" s="903"/>
      <c r="K187" s="899" t="s">
        <v>516</v>
      </c>
      <c r="L187" s="900"/>
      <c r="M187" s="900"/>
      <c r="N187" s="900"/>
      <c r="O187" s="901"/>
      <c r="P187" s="304"/>
      <c r="Q187" s="305"/>
      <c r="R187" s="291" t="str">
        <f>IF(COUNTBLANK(P187:Q187)=2,"Please enter response.",IF(COUNTBLANK(P187:Q187)&lt;&gt;1,"Please VERIFY response.",""))</f>
        <v>Please enter response.</v>
      </c>
      <c r="S187" s="306" t="str">
        <f>IF(AND(ISBLANK(P187),ISBLANK(Q187)),"",IF(ISBLANK(P187),0,1))</f>
        <v/>
      </c>
      <c r="T187" s="307" t="s">
        <v>563</v>
      </c>
      <c r="U187" s="266"/>
      <c r="V187" s="266"/>
      <c r="W187" s="322"/>
      <c r="X187" s="322"/>
      <c r="Y187" s="322"/>
      <c r="Z187" s="322"/>
      <c r="AA187" s="340"/>
      <c r="AB187" s="340"/>
      <c r="AC187" s="340"/>
      <c r="AD187" s="340"/>
      <c r="AE187" s="249"/>
      <c r="AF187" s="249"/>
      <c r="AG187" s="249"/>
      <c r="AH187" s="249"/>
      <c r="AI187" s="249"/>
      <c r="AJ187" s="249"/>
      <c r="AK187" s="249"/>
      <c r="AL187" s="308"/>
      <c r="AM187" s="249"/>
      <c r="AN187" s="249"/>
      <c r="AO187" s="249"/>
      <c r="AP187" s="249"/>
      <c r="AQ187" s="249"/>
      <c r="AR187" s="249"/>
      <c r="AS187" s="249"/>
      <c r="AT187" s="249"/>
      <c r="AU187" s="249"/>
      <c r="AV187" s="249"/>
      <c r="AW187" s="249"/>
      <c r="AX187" s="249"/>
      <c r="AY187" s="249"/>
      <c r="AZ187" s="249"/>
    </row>
    <row r="188" spans="1:52" ht="26.25" customHeight="1" x14ac:dyDescent="0.2">
      <c r="A188" s="904" t="s">
        <v>558</v>
      </c>
      <c r="B188" s="905"/>
      <c r="C188" s="905"/>
      <c r="D188" s="905"/>
      <c r="E188" s="905"/>
      <c r="F188" s="905"/>
      <c r="G188" s="905"/>
      <c r="H188" s="905"/>
      <c r="I188" s="905"/>
      <c r="J188" s="906"/>
      <c r="K188" s="899" t="s">
        <v>517</v>
      </c>
      <c r="L188" s="900"/>
      <c r="M188" s="900"/>
      <c r="N188" s="900"/>
      <c r="O188" s="901"/>
      <c r="P188" s="304"/>
      <c r="Q188" s="305"/>
      <c r="R188" s="291" t="str">
        <f>IF(COUNTBLANK(P188:Q188)=2,"Please enter response.",IF(COUNTBLANK(P188:Q188)&lt;&gt;1,"Please VERIFY response.",""))</f>
        <v>Please enter response.</v>
      </c>
      <c r="S188" s="306" t="str">
        <f>IF(AND(ISBLANK(P188),ISBLANK(Q188)),"",IF(ISBLANK(P188),0,1))</f>
        <v/>
      </c>
      <c r="T188" s="307" t="s">
        <v>564</v>
      </c>
      <c r="U188" s="266"/>
      <c r="V188" s="266"/>
      <c r="W188" s="322"/>
      <c r="X188" s="322"/>
      <c r="Y188" s="322"/>
      <c r="Z188" s="322"/>
      <c r="AA188" s="340"/>
      <c r="AB188" s="340"/>
      <c r="AC188" s="340"/>
      <c r="AD188" s="340"/>
      <c r="AE188" s="249"/>
      <c r="AF188" s="249"/>
      <c r="AG188" s="249"/>
      <c r="AH188" s="249"/>
      <c r="AI188" s="249"/>
      <c r="AJ188" s="249"/>
      <c r="AK188" s="249"/>
      <c r="AL188" s="308"/>
      <c r="AM188" s="249"/>
      <c r="AN188" s="249"/>
      <c r="AO188" s="249"/>
      <c r="AP188" s="249"/>
      <c r="AQ188" s="249"/>
      <c r="AR188" s="249"/>
      <c r="AS188" s="249"/>
      <c r="AT188" s="249"/>
      <c r="AU188" s="249"/>
      <c r="AV188" s="249"/>
      <c r="AW188" s="249"/>
      <c r="AX188" s="249"/>
      <c r="AY188" s="249"/>
      <c r="AZ188" s="249"/>
    </row>
    <row r="189" spans="1:52" ht="26.25" customHeight="1" x14ac:dyDescent="0.2">
      <c r="A189" s="853"/>
      <c r="B189" s="854"/>
      <c r="C189" s="854"/>
      <c r="D189" s="854"/>
      <c r="E189" s="854"/>
      <c r="F189" s="854"/>
      <c r="G189" s="854"/>
      <c r="H189" s="854"/>
      <c r="I189" s="854"/>
      <c r="J189" s="902"/>
      <c r="K189" s="899" t="s">
        <v>518</v>
      </c>
      <c r="L189" s="900"/>
      <c r="M189" s="900"/>
      <c r="N189" s="900"/>
      <c r="O189" s="901"/>
      <c r="P189" s="304"/>
      <c r="Q189" s="305"/>
      <c r="R189" s="291" t="str">
        <f>IF(COUNTBLANK(P189:Q189)=2,"Please enter response.",IF(COUNTBLANK(P189:Q189)&lt;&gt;1,"Please VERIFY response.",""))</f>
        <v>Please enter response.</v>
      </c>
      <c r="S189" s="306" t="str">
        <f>IF(AND(ISBLANK(P189),ISBLANK(Q189)),"",IF(ISBLANK(P189),0,1))</f>
        <v/>
      </c>
      <c r="T189" s="307" t="s">
        <v>565</v>
      </c>
      <c r="U189" s="266"/>
      <c r="V189" s="266"/>
      <c r="W189" s="322"/>
      <c r="X189" s="322"/>
      <c r="Y189" s="322"/>
      <c r="Z189" s="322"/>
      <c r="AA189" s="340"/>
      <c r="AB189" s="340"/>
      <c r="AC189" s="340"/>
      <c r="AD189" s="286"/>
      <c r="AE189" s="249"/>
      <c r="AF189" s="249"/>
      <c r="AG189" s="249"/>
      <c r="AH189" s="249"/>
      <c r="AI189" s="249"/>
      <c r="AJ189" s="249"/>
      <c r="AK189" s="249"/>
      <c r="AL189" s="308"/>
      <c r="AM189" s="249"/>
      <c r="AN189" s="249"/>
      <c r="AO189" s="249"/>
      <c r="AP189" s="249"/>
      <c r="AQ189" s="249"/>
      <c r="AR189" s="249"/>
      <c r="AS189" s="249"/>
      <c r="AT189" s="249"/>
      <c r="AU189" s="249"/>
      <c r="AV189" s="249"/>
      <c r="AW189" s="249"/>
      <c r="AX189" s="249"/>
      <c r="AY189" s="249"/>
      <c r="AZ189" s="249"/>
    </row>
    <row r="190" spans="1:52" ht="26.25" customHeight="1" x14ac:dyDescent="0.25">
      <c r="A190" s="882"/>
      <c r="B190" s="883"/>
      <c r="C190" s="883"/>
      <c r="D190" s="883"/>
      <c r="E190" s="883"/>
      <c r="F190" s="883"/>
      <c r="G190" s="883"/>
      <c r="H190" s="883"/>
      <c r="I190" s="883"/>
      <c r="J190" s="903"/>
      <c r="K190" s="899" t="s">
        <v>520</v>
      </c>
      <c r="L190" s="900"/>
      <c r="M190" s="900"/>
      <c r="N190" s="900"/>
      <c r="O190" s="901"/>
      <c r="P190" s="304"/>
      <c r="Q190" s="305"/>
      <c r="R190" s="291" t="str">
        <f>IF(COUNTBLANK(P190:Q190)=2,"Please enter response.",IF(COUNTBLANK(P190:Q190)&lt;&gt;1,"Please VERIFY response.",""))</f>
        <v>Please enter response.</v>
      </c>
      <c r="S190" s="306" t="str">
        <f>IF(AND(ISBLANK(P190),ISBLANK(Q190)),"",IF(ISBLANK(P190),0,1))</f>
        <v/>
      </c>
      <c r="T190" s="307" t="s">
        <v>566</v>
      </c>
      <c r="U190" s="266"/>
      <c r="V190" s="266"/>
      <c r="W190" s="322"/>
      <c r="X190" s="332"/>
      <c r="Y190" s="332"/>
      <c r="Z190" s="332"/>
      <c r="AA190" s="293"/>
      <c r="AB190" s="293"/>
      <c r="AC190" s="293"/>
      <c r="AD190" s="328"/>
      <c r="AE190" s="249"/>
      <c r="AF190" s="249"/>
      <c r="AG190" s="249"/>
      <c r="AH190" s="249"/>
      <c r="AI190" s="249"/>
      <c r="AJ190" s="249"/>
      <c r="AK190" s="249"/>
      <c r="AL190" s="308"/>
      <c r="AM190" s="249"/>
      <c r="AN190" s="249"/>
      <c r="AO190" s="249"/>
      <c r="AP190" s="249"/>
      <c r="AQ190" s="249"/>
      <c r="AR190" s="249"/>
      <c r="AS190" s="249"/>
      <c r="AT190" s="249"/>
      <c r="AU190" s="249"/>
      <c r="AV190" s="249"/>
      <c r="AW190" s="249"/>
      <c r="AX190" s="249"/>
      <c r="AY190" s="249"/>
      <c r="AZ190" s="249"/>
    </row>
    <row r="191" spans="1:52" ht="26.25" customHeight="1" x14ac:dyDescent="0.2">
      <c r="A191" s="879" t="s">
        <v>546</v>
      </c>
      <c r="B191" s="880"/>
      <c r="C191" s="880"/>
      <c r="D191" s="880"/>
      <c r="E191" s="880"/>
      <c r="F191" s="880"/>
      <c r="G191" s="880"/>
      <c r="H191" s="880"/>
      <c r="I191" s="880"/>
      <c r="J191" s="880"/>
      <c r="K191" s="880"/>
      <c r="L191" s="880"/>
      <c r="M191" s="880"/>
      <c r="N191" s="880"/>
      <c r="O191" s="880"/>
      <c r="P191" s="880"/>
      <c r="Q191" s="881"/>
      <c r="R191" s="310"/>
      <c r="S191" s="319"/>
      <c r="T191" s="310"/>
      <c r="U191" s="310"/>
      <c r="V191" s="310"/>
      <c r="W191" s="322"/>
      <c r="X191" s="320"/>
      <c r="Y191" s="320"/>
      <c r="Z191" s="320"/>
      <c r="AA191" s="322"/>
      <c r="AB191" s="322"/>
      <c r="AC191" s="322"/>
      <c r="AD191" s="340"/>
      <c r="AE191" s="249"/>
      <c r="AF191" s="249"/>
      <c r="AG191" s="249"/>
      <c r="AH191" s="249"/>
      <c r="AI191" s="249"/>
      <c r="AJ191" s="249"/>
      <c r="AK191" s="249"/>
      <c r="AL191" s="308"/>
      <c r="AM191" s="249"/>
      <c r="AN191" s="249"/>
      <c r="AO191" s="249"/>
      <c r="AP191" s="249"/>
      <c r="AQ191" s="249"/>
      <c r="AR191" s="249"/>
      <c r="AS191" s="249"/>
      <c r="AT191" s="249"/>
      <c r="AU191" s="249"/>
      <c r="AV191" s="249"/>
      <c r="AW191" s="249"/>
      <c r="AX191" s="249"/>
      <c r="AY191" s="249"/>
      <c r="AZ191" s="249"/>
    </row>
    <row r="192" spans="1:52" ht="26.25" customHeight="1" x14ac:dyDescent="0.25">
      <c r="A192" s="870" t="s">
        <v>450</v>
      </c>
      <c r="B192" s="826"/>
      <c r="C192" s="826"/>
      <c r="D192" s="826"/>
      <c r="E192" s="826" t="s">
        <v>478</v>
      </c>
      <c r="F192" s="826"/>
      <c r="G192" s="826"/>
      <c r="H192" s="826"/>
      <c r="I192" s="826" t="s">
        <v>479</v>
      </c>
      <c r="J192" s="826"/>
      <c r="K192" s="826"/>
      <c r="L192" s="826"/>
      <c r="M192" s="871" t="s">
        <v>465</v>
      </c>
      <c r="N192" s="826"/>
      <c r="O192" s="826"/>
      <c r="P192" s="826"/>
      <c r="Q192" s="872"/>
      <c r="R192" s="315"/>
      <c r="S192" s="836" t="s">
        <v>491</v>
      </c>
      <c r="T192" s="836"/>
      <c r="U192" s="836"/>
      <c r="V192" s="836"/>
      <c r="W192" s="322"/>
      <c r="X192" s="322"/>
      <c r="Y192" s="322"/>
      <c r="Z192" s="322"/>
      <c r="AA192" s="322"/>
      <c r="AB192" s="322"/>
      <c r="AC192" s="322"/>
      <c r="AD192" s="328"/>
      <c r="AE192" s="249"/>
      <c r="AF192" s="249"/>
      <c r="AG192" s="249"/>
      <c r="AH192" s="249"/>
      <c r="AI192" s="249"/>
      <c r="AJ192" s="249"/>
      <c r="AK192" s="249"/>
      <c r="AL192" s="308"/>
      <c r="AM192" s="249"/>
      <c r="AN192" s="249"/>
      <c r="AO192" s="249"/>
      <c r="AP192" s="249"/>
      <c r="AQ192" s="249"/>
      <c r="AR192" s="249"/>
      <c r="AS192" s="249"/>
      <c r="AT192" s="249"/>
      <c r="AU192" s="249"/>
      <c r="AV192" s="249"/>
      <c r="AW192" s="249"/>
      <c r="AX192" s="249"/>
      <c r="AY192" s="249"/>
      <c r="AZ192" s="249"/>
    </row>
    <row r="193" spans="1:53" ht="26.25" customHeight="1" thickBot="1" x14ac:dyDescent="0.3">
      <c r="A193" s="791"/>
      <c r="B193" s="792"/>
      <c r="C193" s="792"/>
      <c r="D193" s="792"/>
      <c r="E193" s="792"/>
      <c r="F193" s="792"/>
      <c r="G193" s="792"/>
      <c r="H193" s="792"/>
      <c r="I193" s="792"/>
      <c r="J193" s="792"/>
      <c r="K193" s="792"/>
      <c r="L193" s="792"/>
      <c r="M193" s="894"/>
      <c r="N193" s="894"/>
      <c r="O193" s="894"/>
      <c r="P193" s="894"/>
      <c r="Q193" s="895"/>
      <c r="R193" s="310"/>
      <c r="S193" s="323" t="str">
        <f>IF(ISBLANK(A193),"",VLOOKUP(A193,VProjType,2,FALSE))</f>
        <v/>
      </c>
      <c r="T193" s="323" t="str">
        <f>IF(ISBLANK(E193),"",VLOOKUP(E193,VSubtype1,2,FALSE))</f>
        <v/>
      </c>
      <c r="U193" s="323" t="str">
        <f>IF(ISBLANK(I193),"",VLOOKUP(I193,VSubtype2,2,FALSE))</f>
        <v/>
      </c>
      <c r="V193" s="323" t="str">
        <f>IF(ISBLANK(M193),"",VLOOKUP(M193,VSubtype3,2,FALSE))</f>
        <v/>
      </c>
      <c r="W193" s="322"/>
      <c r="X193" s="322"/>
      <c r="Y193" s="322"/>
      <c r="Z193" s="322"/>
      <c r="AA193" s="322"/>
      <c r="AB193" s="322"/>
      <c r="AC193" s="322"/>
      <c r="AD193" s="328"/>
      <c r="AE193" s="249"/>
      <c r="AF193" s="249"/>
      <c r="AG193" s="249"/>
      <c r="AH193" s="249"/>
      <c r="AI193" s="249"/>
      <c r="AJ193" s="249"/>
      <c r="AK193" s="249"/>
      <c r="AL193" s="308"/>
      <c r="AM193" s="249"/>
      <c r="AN193" s="249"/>
      <c r="AO193" s="249"/>
      <c r="AP193" s="249"/>
      <c r="AQ193" s="249"/>
      <c r="AR193" s="249"/>
      <c r="AS193" s="249"/>
      <c r="AT193" s="249"/>
      <c r="AU193" s="249"/>
      <c r="AV193" s="249"/>
      <c r="AW193" s="249"/>
      <c r="AX193" s="249"/>
      <c r="AY193" s="249"/>
      <c r="AZ193" s="249"/>
    </row>
    <row r="194" spans="1:53" ht="26.25" customHeight="1" x14ac:dyDescent="0.25">
      <c r="A194" s="896" t="s">
        <v>483</v>
      </c>
      <c r="B194" s="897"/>
      <c r="C194" s="897"/>
      <c r="D194" s="897"/>
      <c r="E194" s="897"/>
      <c r="F194" s="897"/>
      <c r="G194" s="897"/>
      <c r="H194" s="897"/>
      <c r="I194" s="897"/>
      <c r="J194" s="897"/>
      <c r="K194" s="897"/>
      <c r="L194" s="897"/>
      <c r="M194" s="897"/>
      <c r="N194" s="897"/>
      <c r="O194" s="897"/>
      <c r="P194" s="897"/>
      <c r="Q194" s="898"/>
      <c r="R194" s="320"/>
      <c r="S194" s="324" t="s">
        <v>537</v>
      </c>
      <c r="T194" s="320"/>
      <c r="U194" s="320"/>
      <c r="V194" s="320"/>
      <c r="W194" s="332"/>
      <c r="X194" s="322"/>
      <c r="Y194" s="322"/>
      <c r="Z194" s="322"/>
      <c r="AA194" s="322"/>
      <c r="AB194" s="322"/>
      <c r="AC194" s="322"/>
      <c r="AD194" s="328"/>
      <c r="AE194" s="249"/>
      <c r="AF194" s="249"/>
      <c r="AG194" s="249"/>
      <c r="AH194" s="249"/>
      <c r="AI194" s="249"/>
      <c r="AJ194" s="249"/>
      <c r="AK194" s="249"/>
      <c r="AL194" s="249"/>
      <c r="AM194" s="249"/>
      <c r="AN194" s="249"/>
      <c r="AO194" s="249"/>
      <c r="AP194" s="249"/>
      <c r="AQ194" s="249"/>
      <c r="AR194" s="249"/>
      <c r="AS194" s="249"/>
      <c r="AT194" s="249"/>
      <c r="AU194" s="249"/>
      <c r="AV194" s="249"/>
      <c r="AW194" s="249"/>
      <c r="AX194" s="249"/>
      <c r="AY194" s="249"/>
      <c r="AZ194" s="249"/>
    </row>
    <row r="195" spans="1:53" ht="26.25" customHeight="1" x14ac:dyDescent="0.25">
      <c r="A195" s="859" t="s">
        <v>544</v>
      </c>
      <c r="B195" s="860"/>
      <c r="C195" s="860"/>
      <c r="D195" s="860"/>
      <c r="E195" s="860"/>
      <c r="F195" s="860"/>
      <c r="G195" s="860"/>
      <c r="H195" s="860"/>
      <c r="I195" s="860"/>
      <c r="J195" s="860"/>
      <c r="K195" s="860"/>
      <c r="L195" s="861"/>
      <c r="M195" s="876"/>
      <c r="N195" s="877"/>
      <c r="O195" s="877"/>
      <c r="P195" s="877"/>
      <c r="Q195" s="878"/>
      <c r="R195" s="320"/>
      <c r="S195" s="325" t="str">
        <f>IF(ISBLANK(M195),"",VLOOKUP(M195,VRemote,2,FALSE))</f>
        <v/>
      </c>
      <c r="T195" s="326" t="s">
        <v>545</v>
      </c>
      <c r="U195" s="320"/>
      <c r="V195" s="320"/>
      <c r="W195" s="320"/>
      <c r="X195" s="322"/>
      <c r="Y195" s="322"/>
      <c r="Z195" s="322"/>
      <c r="AA195" s="322"/>
      <c r="AB195" s="322"/>
      <c r="AC195" s="322"/>
      <c r="AD195" s="328"/>
      <c r="AE195" s="249"/>
      <c r="AF195" s="249"/>
      <c r="AG195" s="249"/>
      <c r="AH195" s="249"/>
      <c r="AI195" s="249"/>
      <c r="AJ195" s="249"/>
      <c r="AK195" s="249"/>
      <c r="AL195" s="249"/>
      <c r="AM195" s="249"/>
      <c r="AN195" s="249"/>
      <c r="AO195" s="249"/>
      <c r="AP195" s="249"/>
      <c r="AQ195" s="249"/>
      <c r="AR195" s="249"/>
      <c r="AS195" s="249"/>
      <c r="AT195" s="249"/>
      <c r="AU195" s="249"/>
      <c r="AV195" s="249"/>
      <c r="AW195" s="249"/>
      <c r="AX195" s="249"/>
      <c r="AY195" s="249"/>
      <c r="AZ195" s="249"/>
    </row>
    <row r="196" spans="1:53" ht="26.25" customHeight="1" x14ac:dyDescent="0.25">
      <c r="A196" s="859" t="s">
        <v>529</v>
      </c>
      <c r="B196" s="860"/>
      <c r="C196" s="860"/>
      <c r="D196" s="860"/>
      <c r="E196" s="860"/>
      <c r="F196" s="860"/>
      <c r="G196" s="860"/>
      <c r="H196" s="860"/>
      <c r="I196" s="860"/>
      <c r="J196" s="860"/>
      <c r="K196" s="860"/>
      <c r="L196" s="860"/>
      <c r="M196" s="876"/>
      <c r="N196" s="877"/>
      <c r="O196" s="877"/>
      <c r="P196" s="877"/>
      <c r="Q196" s="878"/>
      <c r="R196" s="322"/>
      <c r="S196" s="325" t="str">
        <f>IF(ISBLANK(M196),"",VLOOKUP(M196,VCapacity,2,FALSE))</f>
        <v/>
      </c>
      <c r="T196" s="327" t="s">
        <v>539</v>
      </c>
      <c r="U196" s="322"/>
      <c r="V196" s="322"/>
      <c r="W196" s="322"/>
      <c r="X196" s="322"/>
      <c r="Y196" s="322"/>
      <c r="Z196" s="322"/>
      <c r="AA196" s="322"/>
      <c r="AB196" s="322"/>
      <c r="AC196" s="322"/>
      <c r="AD196" s="328"/>
      <c r="AE196" s="249"/>
      <c r="AF196" s="249"/>
      <c r="AG196" s="249"/>
      <c r="AH196" s="249"/>
      <c r="AI196" s="249"/>
      <c r="AJ196" s="249"/>
      <c r="AK196" s="249"/>
      <c r="AL196" s="249"/>
      <c r="AM196" s="249"/>
      <c r="AN196" s="249"/>
      <c r="AO196" s="249"/>
      <c r="AP196" s="249"/>
      <c r="AQ196" s="249"/>
      <c r="AR196" s="249"/>
      <c r="AS196" s="249"/>
      <c r="AT196" s="249"/>
      <c r="AU196" s="249"/>
      <c r="AV196" s="249"/>
      <c r="AW196" s="249"/>
      <c r="AX196" s="249"/>
      <c r="AY196" s="249"/>
      <c r="AZ196" s="249"/>
    </row>
    <row r="197" spans="1:53" ht="26.25" customHeight="1" x14ac:dyDescent="0.25">
      <c r="A197" s="859" t="s">
        <v>484</v>
      </c>
      <c r="B197" s="860"/>
      <c r="C197" s="860"/>
      <c r="D197" s="860"/>
      <c r="E197" s="860"/>
      <c r="F197" s="860"/>
      <c r="G197" s="860"/>
      <c r="H197" s="860"/>
      <c r="I197" s="860"/>
      <c r="J197" s="860"/>
      <c r="K197" s="860"/>
      <c r="L197" s="860"/>
      <c r="M197" s="876"/>
      <c r="N197" s="877"/>
      <c r="O197" s="877"/>
      <c r="P197" s="877"/>
      <c r="Q197" s="878"/>
      <c r="R197" s="322"/>
      <c r="S197" s="325" t="str">
        <f>IF(ISBLANK(M197),"",VLOOKUP(M197,VPriorCap,2,FALSE))</f>
        <v/>
      </c>
      <c r="T197" s="327" t="s">
        <v>489</v>
      </c>
      <c r="U197" s="322"/>
      <c r="V197" s="322"/>
      <c r="W197" s="322"/>
      <c r="X197" s="322"/>
      <c r="Y197" s="322"/>
      <c r="Z197" s="322"/>
      <c r="AA197" s="322"/>
      <c r="AB197" s="322"/>
      <c r="AC197" s="322"/>
      <c r="AD197" s="328"/>
      <c r="AE197" s="249"/>
      <c r="AF197" s="249"/>
      <c r="AG197" s="249"/>
      <c r="AH197" s="249"/>
      <c r="AI197" s="249"/>
      <c r="AJ197" s="249"/>
      <c r="AK197" s="249"/>
      <c r="AL197" s="249"/>
      <c r="AM197" s="249"/>
      <c r="AN197" s="249"/>
      <c r="AO197" s="249"/>
      <c r="AP197" s="249"/>
      <c r="AQ197" s="249"/>
      <c r="AR197" s="249"/>
      <c r="AS197" s="249"/>
      <c r="AT197" s="249"/>
      <c r="AU197" s="249"/>
      <c r="AV197" s="249"/>
      <c r="AW197" s="249"/>
      <c r="AX197" s="249"/>
      <c r="AY197" s="249"/>
      <c r="AZ197" s="249"/>
    </row>
    <row r="198" spans="1:53" ht="25.9" customHeight="1" x14ac:dyDescent="0.25">
      <c r="A198" s="780" t="s">
        <v>515</v>
      </c>
      <c r="B198" s="781"/>
      <c r="C198" s="781"/>
      <c r="D198" s="781"/>
      <c r="E198" s="781"/>
      <c r="F198" s="781"/>
      <c r="G198" s="781"/>
      <c r="H198" s="781"/>
      <c r="I198" s="781"/>
      <c r="J198" s="781"/>
      <c r="K198" s="781"/>
      <c r="L198" s="781"/>
      <c r="M198" s="781"/>
      <c r="N198" s="781"/>
      <c r="O198" s="781"/>
      <c r="P198" s="781"/>
      <c r="Q198" s="782"/>
      <c r="R198" s="322"/>
      <c r="S198" s="330" t="str">
        <f>IF(ISBLANK(A199),"",A199)</f>
        <v/>
      </c>
      <c r="T198" s="327" t="s">
        <v>490</v>
      </c>
      <c r="U198" s="322"/>
      <c r="V198" s="322"/>
      <c r="W198" s="322"/>
      <c r="X198" s="322"/>
      <c r="Y198" s="322"/>
      <c r="Z198" s="322"/>
      <c r="AA198" s="322"/>
      <c r="AB198" s="322"/>
      <c r="AC198" s="322"/>
      <c r="AD198" s="328"/>
      <c r="AE198" s="249"/>
      <c r="AF198" s="249"/>
      <c r="AG198" s="249"/>
      <c r="AH198" s="249"/>
      <c r="AI198" s="249"/>
      <c r="AJ198" s="249"/>
      <c r="AK198" s="249"/>
      <c r="AL198" s="249"/>
      <c r="AM198" s="249"/>
      <c r="AN198" s="249"/>
      <c r="AO198" s="249"/>
      <c r="AP198" s="249"/>
      <c r="AQ198" s="249"/>
      <c r="AR198" s="249"/>
      <c r="AS198" s="249"/>
      <c r="AT198" s="249"/>
      <c r="AU198" s="249"/>
      <c r="AV198" s="249"/>
      <c r="AW198" s="249"/>
      <c r="AX198" s="249"/>
      <c r="AY198" s="249"/>
      <c r="AZ198" s="249"/>
    </row>
    <row r="199" spans="1:53" ht="26.25" customHeight="1" x14ac:dyDescent="0.25">
      <c r="A199" s="862"/>
      <c r="B199" s="845"/>
      <c r="C199" s="845"/>
      <c r="D199" s="845"/>
      <c r="E199" s="845"/>
      <c r="F199" s="845"/>
      <c r="G199" s="845"/>
      <c r="H199" s="845"/>
      <c r="I199" s="845"/>
      <c r="J199" s="845"/>
      <c r="K199" s="845"/>
      <c r="L199" s="845"/>
      <c r="M199" s="845"/>
      <c r="N199" s="845"/>
      <c r="O199" s="845"/>
      <c r="P199" s="845"/>
      <c r="Q199" s="863"/>
      <c r="R199" s="322"/>
      <c r="S199" s="322"/>
      <c r="T199" s="322"/>
      <c r="U199" s="322"/>
      <c r="V199" s="322"/>
      <c r="W199" s="322"/>
      <c r="X199" s="322"/>
      <c r="Y199" s="322"/>
      <c r="Z199" s="322"/>
      <c r="AA199" s="322"/>
      <c r="AB199" s="322"/>
      <c r="AC199" s="322"/>
      <c r="AD199" s="328"/>
      <c r="AE199" s="249"/>
      <c r="AF199" s="249"/>
      <c r="AG199" s="249"/>
      <c r="AH199" s="249"/>
      <c r="AI199" s="249"/>
      <c r="AJ199" s="249"/>
      <c r="AK199" s="249"/>
      <c r="AL199" s="249"/>
      <c r="AM199" s="249"/>
      <c r="AN199" s="249"/>
      <c r="AO199" s="249"/>
      <c r="AP199" s="249"/>
      <c r="AQ199" s="249"/>
      <c r="AR199" s="249"/>
      <c r="AS199" s="249"/>
      <c r="AT199" s="249"/>
      <c r="AU199" s="249"/>
      <c r="AV199" s="249"/>
      <c r="AW199" s="249"/>
      <c r="AX199" s="249"/>
      <c r="AY199" s="249"/>
      <c r="AZ199" s="249"/>
    </row>
    <row r="200" spans="1:53" ht="26.25" customHeight="1" x14ac:dyDescent="0.25">
      <c r="A200" s="864"/>
      <c r="B200" s="865"/>
      <c r="C200" s="865"/>
      <c r="D200" s="865"/>
      <c r="E200" s="865"/>
      <c r="F200" s="865"/>
      <c r="G200" s="865"/>
      <c r="H200" s="865"/>
      <c r="I200" s="865"/>
      <c r="J200" s="865"/>
      <c r="K200" s="865"/>
      <c r="L200" s="865"/>
      <c r="M200" s="865"/>
      <c r="N200" s="865"/>
      <c r="O200" s="865"/>
      <c r="P200" s="865"/>
      <c r="Q200" s="866"/>
      <c r="R200" s="322"/>
      <c r="S200" s="322"/>
      <c r="T200" s="322"/>
      <c r="U200" s="322"/>
      <c r="V200" s="322"/>
      <c r="W200" s="322"/>
      <c r="X200" s="322"/>
      <c r="Y200" s="322"/>
      <c r="Z200" s="322"/>
      <c r="AA200" s="340"/>
      <c r="AB200" s="340"/>
      <c r="AC200" s="340"/>
      <c r="AD200" s="328"/>
      <c r="AE200" s="249"/>
      <c r="AF200" s="249"/>
      <c r="AG200" s="249"/>
      <c r="AH200" s="249"/>
      <c r="AI200" s="249"/>
      <c r="AJ200" s="249"/>
      <c r="AK200" s="249"/>
      <c r="AL200" s="249"/>
      <c r="AM200" s="249"/>
      <c r="AN200" s="249"/>
      <c r="AO200" s="249"/>
      <c r="AP200" s="249"/>
      <c r="AQ200" s="249"/>
      <c r="AR200" s="249"/>
      <c r="AS200" s="249"/>
      <c r="AT200" s="249"/>
      <c r="AU200" s="249"/>
      <c r="AV200" s="249"/>
      <c r="AW200" s="249"/>
      <c r="AX200" s="249"/>
      <c r="AY200" s="249"/>
      <c r="AZ200" s="249"/>
    </row>
    <row r="201" spans="1:53" ht="26.25" customHeight="1" x14ac:dyDescent="0.25">
      <c r="A201" s="885" t="s">
        <v>514</v>
      </c>
      <c r="B201" s="886"/>
      <c r="C201" s="886"/>
      <c r="D201" s="886"/>
      <c r="E201" s="886"/>
      <c r="F201" s="886"/>
      <c r="G201" s="886"/>
      <c r="H201" s="886"/>
      <c r="I201" s="886"/>
      <c r="J201" s="886"/>
      <c r="K201" s="886"/>
      <c r="L201" s="886"/>
      <c r="M201" s="886"/>
      <c r="N201" s="886"/>
      <c r="O201" s="886"/>
      <c r="P201" s="886"/>
      <c r="Q201" s="887"/>
      <c r="R201" s="324"/>
      <c r="S201" s="324"/>
      <c r="T201" s="324"/>
      <c r="U201" s="324"/>
      <c r="V201" s="324"/>
      <c r="W201" s="322"/>
      <c r="X201" s="340"/>
      <c r="Y201" s="340"/>
      <c r="Z201" s="340"/>
      <c r="AA201" s="320"/>
      <c r="AB201" s="320"/>
      <c r="AC201" s="320"/>
      <c r="AD201" s="328"/>
      <c r="AE201" s="249"/>
      <c r="AF201" s="249"/>
      <c r="AG201" s="249"/>
      <c r="AH201" s="249"/>
      <c r="AI201" s="249"/>
      <c r="AJ201" s="249"/>
      <c r="AK201" s="249"/>
      <c r="AL201" s="249"/>
      <c r="AM201" s="249"/>
      <c r="AN201" s="249"/>
      <c r="AO201" s="249"/>
      <c r="AP201" s="249"/>
      <c r="AQ201" s="249"/>
      <c r="AR201" s="249"/>
      <c r="AS201" s="249"/>
      <c r="AT201" s="249"/>
      <c r="AU201" s="249"/>
      <c r="AV201" s="249"/>
      <c r="AW201" s="249"/>
      <c r="AX201" s="249"/>
      <c r="AY201" s="249"/>
      <c r="AZ201" s="249"/>
    </row>
    <row r="202" spans="1:53" ht="26.25" customHeight="1" x14ac:dyDescent="0.2">
      <c r="A202" s="862"/>
      <c r="B202" s="845"/>
      <c r="C202" s="845"/>
      <c r="D202" s="845"/>
      <c r="E202" s="845"/>
      <c r="F202" s="845"/>
      <c r="G202" s="845"/>
      <c r="H202" s="845"/>
      <c r="I202" s="845"/>
      <c r="J202" s="845"/>
      <c r="K202" s="845"/>
      <c r="L202" s="845"/>
      <c r="M202" s="845"/>
      <c r="N202" s="845"/>
      <c r="O202" s="845"/>
      <c r="P202" s="845"/>
      <c r="Q202" s="846"/>
      <c r="R202" s="322"/>
      <c r="S202" s="330" t="str">
        <f>IF(ISBLANK(A202),"",A202)</f>
        <v/>
      </c>
      <c r="T202" s="289" t="s">
        <v>36</v>
      </c>
      <c r="U202" s="322"/>
      <c r="V202" s="322"/>
      <c r="W202" s="322"/>
      <c r="X202" s="324"/>
      <c r="Y202" s="324"/>
      <c r="Z202" s="324"/>
      <c r="AA202" s="322"/>
      <c r="AB202" s="322"/>
      <c r="AC202" s="322"/>
      <c r="AD202" s="340"/>
      <c r="AE202" s="249"/>
      <c r="AF202" s="249"/>
      <c r="AG202" s="249"/>
      <c r="AH202" s="249"/>
      <c r="AI202" s="249"/>
      <c r="AJ202" s="249"/>
      <c r="AK202" s="249"/>
      <c r="AL202" s="249"/>
      <c r="AM202" s="249"/>
      <c r="AN202" s="249"/>
      <c r="AO202" s="249"/>
      <c r="AP202" s="249"/>
      <c r="AQ202" s="249"/>
      <c r="AR202" s="249"/>
      <c r="AS202" s="249"/>
      <c r="AT202" s="249"/>
      <c r="AU202" s="249"/>
      <c r="AV202" s="249"/>
      <c r="AW202" s="249"/>
      <c r="AX202" s="249"/>
      <c r="AY202" s="249"/>
      <c r="AZ202" s="249"/>
    </row>
    <row r="203" spans="1:53" ht="26.25" customHeight="1" thickBot="1" x14ac:dyDescent="0.3">
      <c r="A203" s="856"/>
      <c r="B203" s="857"/>
      <c r="C203" s="857"/>
      <c r="D203" s="857"/>
      <c r="E203" s="857"/>
      <c r="F203" s="857"/>
      <c r="G203" s="857"/>
      <c r="H203" s="857"/>
      <c r="I203" s="857"/>
      <c r="J203" s="857"/>
      <c r="K203" s="857"/>
      <c r="L203" s="857"/>
      <c r="M203" s="857"/>
      <c r="N203" s="857"/>
      <c r="O203" s="857"/>
      <c r="P203" s="857"/>
      <c r="Q203" s="858"/>
      <c r="R203" s="322"/>
      <c r="S203" s="322"/>
      <c r="T203" s="289"/>
      <c r="U203" s="322"/>
      <c r="V203" s="322"/>
      <c r="W203" s="322"/>
      <c r="X203" s="322"/>
      <c r="Y203" s="322"/>
      <c r="Z203" s="322"/>
      <c r="AA203" s="322"/>
      <c r="AB203" s="322"/>
      <c r="AC203" s="322"/>
      <c r="AD203" s="328"/>
      <c r="AE203" s="249"/>
      <c r="AF203" s="249"/>
      <c r="AG203" s="249"/>
      <c r="AH203" s="249"/>
      <c r="AI203" s="249"/>
      <c r="AJ203" s="249"/>
      <c r="AK203" s="249"/>
      <c r="AL203" s="249"/>
      <c r="AM203" s="249"/>
      <c r="AN203" s="249"/>
      <c r="AO203" s="249"/>
      <c r="AP203" s="249"/>
      <c r="AQ203" s="249"/>
      <c r="AR203" s="249"/>
      <c r="AS203" s="249"/>
      <c r="AT203" s="249"/>
      <c r="AU203" s="249"/>
      <c r="AV203" s="249"/>
      <c r="AW203" s="249"/>
      <c r="AX203" s="249"/>
      <c r="AY203" s="249"/>
      <c r="AZ203" s="249"/>
    </row>
    <row r="204" spans="1:53" ht="26.25" customHeight="1" x14ac:dyDescent="0.25">
      <c r="A204" s="850" t="s">
        <v>504</v>
      </c>
      <c r="B204" s="851"/>
      <c r="C204" s="851"/>
      <c r="D204" s="851"/>
      <c r="E204" s="851"/>
      <c r="F204" s="851"/>
      <c r="G204" s="851"/>
      <c r="H204" s="851"/>
      <c r="I204" s="851"/>
      <c r="J204" s="851"/>
      <c r="K204" s="851"/>
      <c r="L204" s="851"/>
      <c r="M204" s="851"/>
      <c r="N204" s="851"/>
      <c r="O204" s="851"/>
      <c r="P204" s="851"/>
      <c r="Q204" s="852"/>
      <c r="R204" s="320"/>
      <c r="S204" s="324" t="s">
        <v>540</v>
      </c>
      <c r="T204" s="320"/>
      <c r="U204" s="320"/>
      <c r="V204" s="320"/>
      <c r="W204" s="322"/>
      <c r="X204" s="322"/>
      <c r="Y204" s="322"/>
      <c r="Z204" s="322"/>
      <c r="AA204" s="322"/>
      <c r="AB204" s="322"/>
      <c r="AC204" s="322"/>
      <c r="AD204" s="328"/>
      <c r="AE204" s="249"/>
      <c r="AF204" s="249"/>
      <c r="AG204" s="249"/>
      <c r="AH204" s="249"/>
      <c r="AI204" s="249"/>
      <c r="AJ204" s="249"/>
      <c r="AK204" s="249"/>
      <c r="AL204" s="249"/>
      <c r="AM204" s="249"/>
      <c r="AN204" s="249"/>
      <c r="AO204" s="249"/>
      <c r="AP204" s="249"/>
      <c r="AQ204" s="249"/>
      <c r="AR204" s="249"/>
      <c r="AS204" s="249"/>
      <c r="AT204" s="249"/>
      <c r="AU204" s="249"/>
      <c r="AV204" s="249"/>
      <c r="AW204" s="249"/>
      <c r="AX204" s="249"/>
      <c r="AY204" s="249"/>
      <c r="AZ204" s="249"/>
    </row>
    <row r="205" spans="1:53" ht="26.25" customHeight="1" x14ac:dyDescent="0.25">
      <c r="A205" s="891" t="s">
        <v>557</v>
      </c>
      <c r="B205" s="892"/>
      <c r="C205" s="892"/>
      <c r="D205" s="892"/>
      <c r="E205" s="892"/>
      <c r="F205" s="892"/>
      <c r="G205" s="892"/>
      <c r="H205" s="892"/>
      <c r="I205" s="892"/>
      <c r="J205" s="892"/>
      <c r="K205" s="892"/>
      <c r="L205" s="893"/>
      <c r="M205" s="876"/>
      <c r="N205" s="877"/>
      <c r="O205" s="877"/>
      <c r="P205" s="877"/>
      <c r="Q205" s="878"/>
      <c r="R205" s="322"/>
      <c r="S205" s="331" t="str">
        <f>IF(ISBLANK(M205),"",VLOOKUP(M205,VImpact,2,FALSE))</f>
        <v/>
      </c>
      <c r="T205" s="327" t="s">
        <v>493</v>
      </c>
      <c r="U205" s="322"/>
      <c r="V205" s="322"/>
      <c r="W205" s="340"/>
      <c r="X205" s="322"/>
      <c r="Y205" s="322"/>
      <c r="Z205" s="322"/>
      <c r="AA205" s="322"/>
      <c r="AB205" s="322"/>
      <c r="AC205" s="322"/>
      <c r="AD205" s="328"/>
      <c r="AE205" s="249"/>
      <c r="AF205" s="249"/>
      <c r="AG205" s="249"/>
      <c r="AH205" s="249"/>
      <c r="AI205" s="249"/>
      <c r="AJ205" s="249"/>
      <c r="AK205" s="249"/>
      <c r="AL205" s="249"/>
      <c r="AM205" s="249"/>
      <c r="AN205" s="249"/>
      <c r="AO205" s="249"/>
      <c r="AP205" s="249"/>
      <c r="AQ205" s="249"/>
      <c r="AR205" s="249"/>
      <c r="AS205" s="249"/>
      <c r="AT205" s="249"/>
      <c r="AU205" s="249"/>
      <c r="AV205" s="249"/>
      <c r="AW205" s="197"/>
      <c r="AX205" s="197"/>
      <c r="AY205" s="197"/>
      <c r="AZ205" s="197"/>
      <c r="BA205" s="286"/>
    </row>
    <row r="206" spans="1:53" ht="26.25" customHeight="1" x14ac:dyDescent="0.25">
      <c r="A206" s="859" t="s">
        <v>554</v>
      </c>
      <c r="B206" s="860"/>
      <c r="C206" s="860"/>
      <c r="D206" s="860"/>
      <c r="E206" s="860"/>
      <c r="F206" s="860"/>
      <c r="G206" s="860"/>
      <c r="H206" s="860"/>
      <c r="I206" s="860"/>
      <c r="J206" s="860"/>
      <c r="K206" s="860"/>
      <c r="L206" s="861"/>
      <c r="M206" s="876"/>
      <c r="N206" s="877"/>
      <c r="O206" s="877"/>
      <c r="P206" s="877"/>
      <c r="Q206" s="878"/>
      <c r="R206" s="322"/>
      <c r="S206" s="331" t="str">
        <f>IF(ISBLANK(M206),"",VLOOKUP(M206,VEvidence,2,FALSE))</f>
        <v/>
      </c>
      <c r="T206" s="307" t="s">
        <v>494</v>
      </c>
      <c r="U206" s="322"/>
      <c r="V206" s="322"/>
      <c r="W206" s="324"/>
      <c r="X206" s="322"/>
      <c r="Y206" s="322"/>
      <c r="Z206" s="322"/>
      <c r="AA206" s="322"/>
      <c r="AB206" s="322"/>
      <c r="AC206" s="322"/>
      <c r="AD206" s="328"/>
      <c r="AE206" s="249"/>
      <c r="AF206" s="249"/>
      <c r="AG206" s="249"/>
      <c r="AH206" s="249"/>
      <c r="AI206" s="249"/>
      <c r="AJ206" s="249"/>
      <c r="AK206" s="249"/>
      <c r="AL206" s="249"/>
      <c r="AM206" s="249"/>
      <c r="AN206" s="249"/>
      <c r="AO206" s="249"/>
      <c r="AP206" s="249"/>
      <c r="AQ206" s="249"/>
      <c r="AR206" s="249"/>
      <c r="AS206" s="249"/>
      <c r="AT206" s="249"/>
      <c r="AU206" s="249"/>
      <c r="AV206" s="249"/>
      <c r="AW206" s="197"/>
      <c r="AX206" s="197"/>
      <c r="AY206" s="197"/>
      <c r="AZ206" s="197"/>
      <c r="BA206" s="286"/>
    </row>
    <row r="207" spans="1:53" ht="26.25" customHeight="1" x14ac:dyDescent="0.25">
      <c r="A207" s="888" t="s">
        <v>512</v>
      </c>
      <c r="B207" s="889"/>
      <c r="C207" s="889"/>
      <c r="D207" s="889"/>
      <c r="E207" s="889"/>
      <c r="F207" s="889"/>
      <c r="G207" s="889"/>
      <c r="H207" s="889"/>
      <c r="I207" s="889"/>
      <c r="J207" s="889"/>
      <c r="K207" s="889"/>
      <c r="L207" s="889"/>
      <c r="M207" s="889"/>
      <c r="N207" s="889"/>
      <c r="O207" s="889"/>
      <c r="P207" s="889"/>
      <c r="Q207" s="890"/>
      <c r="R207" s="322"/>
      <c r="S207" s="330" t="str">
        <f>IF(ISBLANK(A208),"",A208)</f>
        <v/>
      </c>
      <c r="T207" s="289" t="s">
        <v>35</v>
      </c>
      <c r="U207" s="322"/>
      <c r="V207" s="322"/>
      <c r="W207" s="322"/>
      <c r="X207" s="322"/>
      <c r="Y207" s="322"/>
      <c r="Z207" s="322"/>
      <c r="AA207" s="322"/>
      <c r="AB207" s="322"/>
      <c r="AC207" s="322"/>
      <c r="AD207" s="328"/>
      <c r="AE207" s="249"/>
      <c r="AF207" s="249"/>
      <c r="AG207" s="249"/>
      <c r="AH207" s="249"/>
      <c r="AI207" s="249"/>
      <c r="AJ207" s="249"/>
      <c r="AK207" s="249"/>
      <c r="AL207" s="249"/>
      <c r="AM207" s="249"/>
      <c r="AN207" s="249"/>
      <c r="AO207" s="249"/>
      <c r="AP207" s="249"/>
      <c r="AQ207" s="249"/>
      <c r="AR207" s="249"/>
      <c r="AS207" s="249"/>
      <c r="AT207" s="249"/>
      <c r="AU207" s="249"/>
      <c r="AV207" s="249"/>
      <c r="AW207" s="197"/>
      <c r="AX207" s="197"/>
      <c r="AY207" s="197"/>
      <c r="AZ207" s="197"/>
      <c r="BA207" s="286"/>
    </row>
    <row r="208" spans="1:53" ht="26.25" customHeight="1" x14ac:dyDescent="0.25">
      <c r="A208" s="862"/>
      <c r="B208" s="845"/>
      <c r="C208" s="845"/>
      <c r="D208" s="845"/>
      <c r="E208" s="845"/>
      <c r="F208" s="845"/>
      <c r="G208" s="845"/>
      <c r="H208" s="845"/>
      <c r="I208" s="845"/>
      <c r="J208" s="845"/>
      <c r="K208" s="845"/>
      <c r="L208" s="845"/>
      <c r="M208" s="845"/>
      <c r="N208" s="845"/>
      <c r="O208" s="845"/>
      <c r="P208" s="845"/>
      <c r="Q208" s="846"/>
      <c r="R208" s="322"/>
      <c r="S208" s="322"/>
      <c r="T208" s="333"/>
      <c r="U208" s="322"/>
      <c r="V208" s="322"/>
      <c r="W208" s="322"/>
      <c r="X208" s="322"/>
      <c r="Y208" s="322"/>
      <c r="Z208" s="322"/>
      <c r="AA208" s="322"/>
      <c r="AB208" s="322"/>
      <c r="AC208" s="322"/>
      <c r="AD208" s="328"/>
      <c r="AE208" s="249"/>
      <c r="AF208" s="249"/>
      <c r="AG208" s="249"/>
      <c r="AH208" s="249"/>
      <c r="AI208" s="249"/>
      <c r="AJ208" s="249"/>
      <c r="AK208" s="249"/>
      <c r="AL208" s="249"/>
      <c r="AM208" s="249"/>
      <c r="AN208" s="249"/>
      <c r="AO208" s="249"/>
      <c r="AP208" s="249"/>
      <c r="AQ208" s="249"/>
      <c r="AR208" s="249"/>
      <c r="AS208" s="249"/>
      <c r="AT208" s="249"/>
      <c r="AU208" s="249"/>
      <c r="AV208" s="249"/>
      <c r="AW208" s="197"/>
      <c r="AX208" s="197"/>
      <c r="AY208" s="197"/>
      <c r="AZ208" s="197"/>
      <c r="BA208" s="286"/>
    </row>
    <row r="209" spans="1:52" ht="26.25" customHeight="1" x14ac:dyDescent="0.25">
      <c r="A209" s="882"/>
      <c r="B209" s="883"/>
      <c r="C209" s="883"/>
      <c r="D209" s="883"/>
      <c r="E209" s="883"/>
      <c r="F209" s="883"/>
      <c r="G209" s="883"/>
      <c r="H209" s="883"/>
      <c r="I209" s="883"/>
      <c r="J209" s="883"/>
      <c r="K209" s="883"/>
      <c r="L209" s="883"/>
      <c r="M209" s="883"/>
      <c r="N209" s="883"/>
      <c r="O209" s="883"/>
      <c r="P209" s="883"/>
      <c r="Q209" s="884"/>
      <c r="R209" s="322"/>
      <c r="S209" s="322"/>
      <c r="T209" s="333"/>
      <c r="U209" s="322"/>
      <c r="V209" s="322"/>
      <c r="W209" s="322"/>
      <c r="X209" s="322"/>
      <c r="Y209" s="322"/>
      <c r="Z209" s="322"/>
      <c r="AA209" s="322"/>
      <c r="AB209" s="322"/>
      <c r="AC209" s="322"/>
      <c r="AD209" s="328"/>
      <c r="AE209" s="249"/>
      <c r="AF209" s="249"/>
      <c r="AG209" s="249"/>
      <c r="AH209" s="249"/>
      <c r="AI209" s="249"/>
      <c r="AJ209" s="249"/>
      <c r="AK209" s="249"/>
      <c r="AL209" s="249"/>
      <c r="AM209" s="249"/>
      <c r="AN209" s="249"/>
      <c r="AO209" s="249"/>
      <c r="AP209" s="249"/>
      <c r="AQ209" s="249"/>
      <c r="AR209" s="249"/>
      <c r="AS209" s="249"/>
      <c r="AT209" s="249"/>
      <c r="AU209" s="249"/>
      <c r="AV209" s="249"/>
      <c r="AW209" s="249"/>
      <c r="AX209" s="249"/>
      <c r="AY209" s="249"/>
      <c r="AZ209" s="249"/>
    </row>
    <row r="210" spans="1:52" ht="26.25" customHeight="1" x14ac:dyDescent="0.25">
      <c r="A210" s="867" t="s">
        <v>513</v>
      </c>
      <c r="B210" s="868"/>
      <c r="C210" s="868"/>
      <c r="D210" s="868"/>
      <c r="E210" s="868"/>
      <c r="F210" s="868"/>
      <c r="G210" s="868"/>
      <c r="H210" s="868"/>
      <c r="I210" s="868"/>
      <c r="J210" s="868"/>
      <c r="K210" s="868"/>
      <c r="L210" s="868"/>
      <c r="M210" s="868"/>
      <c r="N210" s="868"/>
      <c r="O210" s="868"/>
      <c r="P210" s="868"/>
      <c r="Q210" s="869"/>
      <c r="R210" s="322"/>
      <c r="S210" s="330" t="str">
        <f>IF(ISBLANK(A211),"",A211)</f>
        <v/>
      </c>
      <c r="T210" s="333" t="s">
        <v>542</v>
      </c>
      <c r="U210" s="322"/>
      <c r="V210" s="322"/>
      <c r="W210" s="322"/>
      <c r="X210" s="322"/>
      <c r="Y210" s="322"/>
      <c r="Z210" s="322"/>
      <c r="AA210" s="322"/>
      <c r="AB210" s="322"/>
      <c r="AC210" s="322"/>
      <c r="AD210" s="328"/>
      <c r="AE210" s="197"/>
      <c r="AF210" s="197"/>
      <c r="AG210" s="197"/>
      <c r="AH210" s="197"/>
      <c r="AI210" s="197"/>
      <c r="AJ210" s="197"/>
      <c r="AK210" s="197"/>
      <c r="AL210" s="197"/>
      <c r="AM210" s="197"/>
      <c r="AN210" s="197"/>
      <c r="AO210" s="197"/>
      <c r="AP210" s="197"/>
      <c r="AQ210" s="197"/>
      <c r="AR210" s="197"/>
      <c r="AS210" s="197"/>
      <c r="AT210" s="197"/>
      <c r="AU210" s="197"/>
      <c r="AV210" s="197"/>
      <c r="AW210" s="249"/>
      <c r="AX210" s="249"/>
      <c r="AY210" s="249"/>
      <c r="AZ210" s="249"/>
    </row>
    <row r="211" spans="1:52" ht="26.25" customHeight="1" x14ac:dyDescent="0.25">
      <c r="A211" s="862"/>
      <c r="B211" s="845"/>
      <c r="C211" s="845"/>
      <c r="D211" s="845"/>
      <c r="E211" s="845"/>
      <c r="F211" s="845"/>
      <c r="G211" s="845"/>
      <c r="H211" s="845"/>
      <c r="I211" s="845"/>
      <c r="J211" s="845"/>
      <c r="K211" s="845"/>
      <c r="L211" s="845"/>
      <c r="M211" s="845"/>
      <c r="N211" s="845"/>
      <c r="O211" s="845"/>
      <c r="P211" s="845"/>
      <c r="Q211" s="863"/>
      <c r="R211" s="322"/>
      <c r="U211" s="322"/>
      <c r="V211" s="322"/>
      <c r="W211" s="322"/>
      <c r="X211" s="322"/>
      <c r="Y211" s="322"/>
      <c r="Z211" s="322"/>
      <c r="AA211" s="332"/>
      <c r="AB211" s="332"/>
      <c r="AC211" s="332"/>
      <c r="AD211" s="328"/>
      <c r="AE211" s="197"/>
      <c r="AF211" s="197"/>
      <c r="AG211" s="197"/>
      <c r="AH211" s="197"/>
      <c r="AI211" s="197"/>
      <c r="AJ211" s="197"/>
      <c r="AK211" s="197"/>
      <c r="AL211" s="197"/>
      <c r="AM211" s="197"/>
      <c r="AN211" s="197"/>
      <c r="AO211" s="197"/>
      <c r="AP211" s="197"/>
      <c r="AQ211" s="197"/>
      <c r="AR211" s="197"/>
      <c r="AS211" s="197"/>
      <c r="AT211" s="197"/>
      <c r="AU211" s="197"/>
      <c r="AV211" s="197"/>
      <c r="AW211" s="197"/>
      <c r="AX211" s="197"/>
      <c r="AY211" s="249"/>
      <c r="AZ211" s="249"/>
    </row>
    <row r="212" spans="1:52" ht="26.25" customHeight="1" thickBot="1" x14ac:dyDescent="0.3">
      <c r="A212" s="847"/>
      <c r="B212" s="848"/>
      <c r="C212" s="848"/>
      <c r="D212" s="848"/>
      <c r="E212" s="848"/>
      <c r="F212" s="848"/>
      <c r="G212" s="848"/>
      <c r="H212" s="848"/>
      <c r="I212" s="848"/>
      <c r="J212" s="848"/>
      <c r="K212" s="848"/>
      <c r="L212" s="848"/>
      <c r="M212" s="848"/>
      <c r="N212" s="848"/>
      <c r="O212" s="848"/>
      <c r="P212" s="848"/>
      <c r="Q212" s="849"/>
      <c r="R212" s="322"/>
      <c r="S212" s="322"/>
      <c r="T212" s="322"/>
      <c r="U212" s="322"/>
      <c r="V212" s="322"/>
      <c r="W212" s="322"/>
      <c r="X212" s="340"/>
      <c r="Y212" s="340"/>
      <c r="Z212" s="340"/>
      <c r="AA212" s="320"/>
      <c r="AB212" s="320"/>
      <c r="AC212" s="320"/>
      <c r="AD212" s="328"/>
      <c r="AE212" s="197"/>
      <c r="AF212" s="197"/>
      <c r="AG212" s="197"/>
      <c r="AH212" s="197"/>
      <c r="AI212" s="197"/>
      <c r="AJ212" s="197"/>
      <c r="AK212" s="197"/>
      <c r="AL212" s="197"/>
      <c r="AM212" s="197"/>
      <c r="AN212" s="197"/>
      <c r="AO212" s="197"/>
      <c r="AP212" s="197"/>
      <c r="AQ212" s="197"/>
      <c r="AR212" s="197"/>
      <c r="AS212" s="197"/>
      <c r="AT212" s="197"/>
      <c r="AU212" s="197"/>
      <c r="AV212" s="197"/>
      <c r="AW212" s="249"/>
      <c r="AX212" s="249"/>
      <c r="AY212" s="249"/>
      <c r="AZ212" s="249"/>
    </row>
    <row r="213" spans="1:52" ht="26.25" customHeight="1" x14ac:dyDescent="0.2">
      <c r="A213" s="841" t="s">
        <v>555</v>
      </c>
      <c r="B213" s="842"/>
      <c r="C213" s="842"/>
      <c r="D213" s="842"/>
      <c r="E213" s="842"/>
      <c r="F213" s="842"/>
      <c r="G213" s="842"/>
      <c r="H213" s="842"/>
      <c r="I213" s="842"/>
      <c r="J213" s="842"/>
      <c r="K213" s="842"/>
      <c r="L213" s="842"/>
      <c r="M213" s="842"/>
      <c r="N213" s="842"/>
      <c r="O213" s="842"/>
      <c r="P213" s="842"/>
      <c r="Q213" s="843"/>
      <c r="S213" s="336" t="str">
        <f>IF(ISBLANK(A214),"",A214)</f>
        <v/>
      </c>
      <c r="T213" s="337" t="s">
        <v>556</v>
      </c>
      <c r="W213" s="322"/>
      <c r="X213" s="320"/>
      <c r="Y213" s="320"/>
      <c r="Z213" s="320"/>
      <c r="AA213" s="322"/>
      <c r="AB213" s="322"/>
      <c r="AC213" s="322"/>
      <c r="AD213" s="340"/>
      <c r="AE213" s="197"/>
      <c r="AF213" s="197"/>
      <c r="AG213" s="197"/>
      <c r="AH213" s="197"/>
      <c r="AI213" s="197"/>
      <c r="AJ213" s="197"/>
      <c r="AK213" s="197"/>
      <c r="AL213" s="197"/>
      <c r="AM213" s="197"/>
      <c r="AN213" s="197"/>
      <c r="AO213" s="197"/>
      <c r="AP213" s="197"/>
      <c r="AQ213" s="197"/>
      <c r="AR213" s="197"/>
      <c r="AS213" s="197"/>
      <c r="AT213" s="197"/>
      <c r="AU213" s="197"/>
      <c r="AV213" s="197"/>
      <c r="AW213" s="249"/>
      <c r="AX213" s="249"/>
      <c r="AY213" s="249"/>
      <c r="AZ213" s="249"/>
    </row>
    <row r="214" spans="1:52" ht="26.25" customHeight="1" x14ac:dyDescent="0.25">
      <c r="A214" s="862"/>
      <c r="B214" s="845"/>
      <c r="C214" s="845"/>
      <c r="D214" s="845"/>
      <c r="E214" s="845"/>
      <c r="F214" s="845"/>
      <c r="G214" s="845"/>
      <c r="H214" s="845"/>
      <c r="I214" s="845"/>
      <c r="J214" s="845"/>
      <c r="K214" s="845"/>
      <c r="L214" s="845"/>
      <c r="M214" s="845"/>
      <c r="N214" s="845"/>
      <c r="O214" s="845"/>
      <c r="P214" s="845"/>
      <c r="Q214" s="846"/>
      <c r="W214" s="322"/>
      <c r="X214" s="322"/>
      <c r="Y214" s="322"/>
      <c r="Z214" s="322"/>
      <c r="AA214" s="322"/>
      <c r="AB214" s="322"/>
      <c r="AC214" s="322"/>
      <c r="AD214" s="328"/>
      <c r="AE214" s="249"/>
      <c r="AF214" s="249"/>
      <c r="AG214" s="249"/>
      <c r="AH214" s="249"/>
      <c r="AI214" s="249"/>
      <c r="AJ214" s="249"/>
      <c r="AK214" s="249"/>
      <c r="AL214" s="249"/>
      <c r="AM214" s="249"/>
      <c r="AN214" s="249"/>
      <c r="AO214" s="249"/>
      <c r="AP214" s="249"/>
      <c r="AQ214" s="249"/>
      <c r="AR214" s="249"/>
      <c r="AS214" s="249"/>
      <c r="AT214" s="249"/>
      <c r="AU214" s="249"/>
      <c r="AV214" s="249"/>
      <c r="AW214" s="249"/>
      <c r="AX214" s="249"/>
      <c r="AY214" s="249"/>
      <c r="AZ214" s="249"/>
    </row>
    <row r="215" spans="1:52" ht="26.25" customHeight="1" thickBot="1" x14ac:dyDescent="0.3">
      <c r="A215" s="847"/>
      <c r="B215" s="848"/>
      <c r="C215" s="848"/>
      <c r="D215" s="848"/>
      <c r="E215" s="848"/>
      <c r="F215" s="848"/>
      <c r="G215" s="848"/>
      <c r="H215" s="848"/>
      <c r="I215" s="848"/>
      <c r="J215" s="848"/>
      <c r="K215" s="848"/>
      <c r="L215" s="848"/>
      <c r="M215" s="848"/>
      <c r="N215" s="848"/>
      <c r="O215" s="848"/>
      <c r="P215" s="848"/>
      <c r="Q215" s="849"/>
      <c r="R215" s="286"/>
      <c r="S215" s="286"/>
      <c r="T215" s="286"/>
      <c r="U215" s="286"/>
      <c r="V215" s="286"/>
      <c r="W215" s="322"/>
      <c r="X215" s="322"/>
      <c r="Y215" s="322"/>
      <c r="Z215" s="322"/>
      <c r="AA215" s="322"/>
      <c r="AB215" s="322"/>
      <c r="AC215" s="322"/>
      <c r="AD215" s="328"/>
      <c r="AE215" s="249"/>
      <c r="AF215" s="249"/>
      <c r="AG215" s="249"/>
      <c r="AH215" s="249"/>
      <c r="AI215" s="249"/>
      <c r="AJ215" s="249"/>
      <c r="AK215" s="249"/>
      <c r="AL215" s="249"/>
      <c r="AM215" s="249"/>
      <c r="AN215" s="249"/>
      <c r="AO215" s="249"/>
      <c r="AP215" s="249"/>
      <c r="AQ215" s="249"/>
      <c r="AR215" s="249"/>
      <c r="AS215" s="249"/>
      <c r="AT215" s="249"/>
      <c r="AU215" s="249"/>
      <c r="AV215" s="249"/>
      <c r="AW215" s="249"/>
      <c r="AX215" s="249"/>
      <c r="AY215" s="249"/>
      <c r="AZ215" s="249"/>
    </row>
    <row r="216" spans="1:52" ht="26.25" customHeight="1" x14ac:dyDescent="0.2">
      <c r="A216" s="850" t="s">
        <v>482</v>
      </c>
      <c r="B216" s="851"/>
      <c r="C216" s="851"/>
      <c r="D216" s="851"/>
      <c r="E216" s="851"/>
      <c r="F216" s="851"/>
      <c r="G216" s="851"/>
      <c r="H216" s="851"/>
      <c r="I216" s="851"/>
      <c r="J216" s="851"/>
      <c r="K216" s="851"/>
      <c r="L216" s="851"/>
      <c r="M216" s="851"/>
      <c r="N216" s="851"/>
      <c r="O216" s="851"/>
      <c r="P216" s="851"/>
      <c r="Q216" s="852"/>
      <c r="R216" s="334"/>
      <c r="S216" s="341"/>
      <c r="T216" s="342"/>
      <c r="U216" s="334"/>
      <c r="V216" s="334"/>
      <c r="W216" s="340"/>
      <c r="X216" s="322"/>
      <c r="Y216" s="322"/>
      <c r="Z216" s="322"/>
      <c r="AA216" s="322"/>
      <c r="AB216" s="322"/>
      <c r="AC216" s="322"/>
      <c r="AD216" s="340"/>
      <c r="AE216" s="249"/>
      <c r="AF216" s="249"/>
      <c r="AG216" s="249"/>
      <c r="AH216" s="249"/>
      <c r="AI216" s="249"/>
      <c r="AJ216" s="249"/>
      <c r="AK216" s="249"/>
      <c r="AL216" s="249"/>
      <c r="AM216" s="249"/>
      <c r="AN216" s="249"/>
      <c r="AO216" s="249"/>
      <c r="AP216" s="249"/>
      <c r="AQ216" s="249"/>
      <c r="AR216" s="249"/>
      <c r="AS216" s="249"/>
      <c r="AT216" s="249"/>
      <c r="AU216" s="249"/>
      <c r="AV216" s="249"/>
      <c r="AW216" s="249"/>
      <c r="AX216" s="249"/>
      <c r="AY216" s="249"/>
      <c r="AZ216" s="249"/>
    </row>
    <row r="217" spans="1:52" ht="26.25" customHeight="1" x14ac:dyDescent="0.2">
      <c r="A217" s="853"/>
      <c r="B217" s="854"/>
      <c r="C217" s="854"/>
      <c r="D217" s="854"/>
      <c r="E217" s="854"/>
      <c r="F217" s="854"/>
      <c r="G217" s="854"/>
      <c r="H217" s="854"/>
      <c r="I217" s="854"/>
      <c r="J217" s="854"/>
      <c r="K217" s="854"/>
      <c r="L217" s="854"/>
      <c r="M217" s="854"/>
      <c r="N217" s="854"/>
      <c r="O217" s="854"/>
      <c r="P217" s="854"/>
      <c r="Q217" s="855"/>
      <c r="R217" s="186"/>
      <c r="S217" s="343" t="str">
        <f>IF(ISBLANK(A217),"",CONCATENATE(S216,A217))</f>
        <v/>
      </c>
      <c r="T217" s="289" t="s">
        <v>37</v>
      </c>
      <c r="U217" s="186"/>
      <c r="V217" s="186"/>
      <c r="W217" s="320"/>
      <c r="X217" s="322"/>
      <c r="Y217" s="322"/>
      <c r="Z217" s="322"/>
      <c r="AA217" s="322"/>
      <c r="AB217" s="322"/>
      <c r="AC217" s="322"/>
      <c r="AD217" s="340"/>
      <c r="AE217" s="249"/>
      <c r="AF217" s="249"/>
      <c r="AG217" s="249"/>
      <c r="AH217" s="249"/>
      <c r="AI217" s="249"/>
      <c r="AJ217" s="249"/>
      <c r="AK217" s="249"/>
      <c r="AL217" s="249"/>
      <c r="AM217" s="249"/>
      <c r="AN217" s="249"/>
      <c r="AO217" s="249"/>
      <c r="AP217" s="249"/>
      <c r="AQ217" s="249"/>
      <c r="AR217" s="249"/>
      <c r="AS217" s="249"/>
      <c r="AT217" s="249"/>
      <c r="AU217" s="249"/>
      <c r="AV217" s="249"/>
      <c r="AW217" s="249"/>
      <c r="AX217" s="249"/>
      <c r="AY217" s="249"/>
      <c r="AZ217" s="249"/>
    </row>
    <row r="218" spans="1:52" ht="26.25" customHeight="1" thickBot="1" x14ac:dyDescent="0.25">
      <c r="A218" s="856"/>
      <c r="B218" s="857"/>
      <c r="C218" s="857"/>
      <c r="D218" s="857"/>
      <c r="E218" s="857"/>
      <c r="F218" s="857"/>
      <c r="G218" s="857"/>
      <c r="H218" s="857"/>
      <c r="I218" s="857"/>
      <c r="J218" s="857"/>
      <c r="K218" s="857"/>
      <c r="L218" s="857"/>
      <c r="M218" s="857"/>
      <c r="N218" s="857"/>
      <c r="O218" s="857"/>
      <c r="P218" s="857"/>
      <c r="Q218" s="858"/>
      <c r="R218" s="186"/>
      <c r="S218" s="340"/>
      <c r="T218" s="340"/>
      <c r="U218" s="340"/>
      <c r="V218" s="340"/>
      <c r="W218" s="322"/>
      <c r="X218" s="322"/>
      <c r="Y218" s="322"/>
      <c r="Z218" s="322"/>
      <c r="AA218" s="322"/>
      <c r="AB218" s="322"/>
      <c r="AC218" s="322"/>
      <c r="AD218" s="340"/>
      <c r="AE218" s="249"/>
      <c r="AF218" s="249"/>
      <c r="AG218" s="249"/>
      <c r="AH218" s="249"/>
      <c r="AI218" s="249"/>
      <c r="AJ218" s="249"/>
      <c r="AK218" s="249"/>
      <c r="AL218" s="249"/>
      <c r="AM218" s="249"/>
      <c r="AN218" s="249"/>
      <c r="AO218" s="249"/>
      <c r="AP218" s="249"/>
      <c r="AQ218" s="249"/>
      <c r="AR218" s="249"/>
      <c r="AS218" s="249"/>
      <c r="AT218" s="249"/>
      <c r="AU218" s="249"/>
      <c r="AV218" s="249"/>
      <c r="AW218" s="249"/>
      <c r="AX218" s="249"/>
      <c r="AY218" s="249"/>
      <c r="AZ218" s="249"/>
    </row>
    <row r="219" spans="1:52" ht="26.25" customHeight="1" x14ac:dyDescent="0.2">
      <c r="A219" s="344" t="e">
        <f>$A$1</f>
        <v>#N/A</v>
      </c>
      <c r="B219" s="340"/>
      <c r="C219" s="340"/>
      <c r="D219" s="340"/>
      <c r="E219" s="340"/>
      <c r="F219" s="340"/>
      <c r="G219" s="340"/>
      <c r="H219" s="340"/>
      <c r="I219" s="340"/>
      <c r="J219" s="340"/>
      <c r="K219" s="340"/>
      <c r="L219" s="340"/>
      <c r="M219" s="340"/>
      <c r="N219" s="340"/>
      <c r="O219" s="340"/>
      <c r="P219" s="773"/>
      <c r="Q219" s="773"/>
      <c r="R219" s="332"/>
      <c r="S219" s="332"/>
      <c r="T219" s="332"/>
      <c r="U219" s="332"/>
      <c r="V219" s="332"/>
      <c r="W219" s="322"/>
      <c r="X219" s="322"/>
      <c r="Y219" s="322"/>
      <c r="Z219" s="322"/>
      <c r="AA219" s="322"/>
      <c r="AB219" s="322"/>
      <c r="AC219" s="322"/>
      <c r="AD219" s="340"/>
      <c r="AE219" s="249"/>
      <c r="AF219" s="249"/>
      <c r="AG219" s="249"/>
      <c r="AH219" s="249"/>
      <c r="AI219" s="249"/>
      <c r="AJ219" s="249"/>
      <c r="AK219" s="249"/>
      <c r="AL219" s="249"/>
      <c r="AM219" s="249"/>
      <c r="AN219" s="249"/>
      <c r="AO219" s="249"/>
      <c r="AP219" s="249"/>
      <c r="AQ219" s="249"/>
      <c r="AR219" s="249"/>
      <c r="AS219" s="249"/>
      <c r="AT219" s="249"/>
      <c r="AU219" s="249"/>
      <c r="AV219" s="249"/>
      <c r="AW219" s="249"/>
      <c r="AX219" s="249"/>
      <c r="AY219" s="249"/>
      <c r="AZ219" s="249"/>
    </row>
    <row r="220" spans="1:52" ht="26.25" customHeight="1" thickBot="1" x14ac:dyDescent="0.25">
      <c r="A220" s="776" t="s">
        <v>570</v>
      </c>
      <c r="B220" s="777"/>
      <c r="C220" s="777"/>
      <c r="D220" s="777"/>
      <c r="E220" s="777"/>
      <c r="F220" s="777"/>
      <c r="G220" s="777"/>
      <c r="H220" s="777"/>
      <c r="I220" s="777"/>
      <c r="J220" s="777"/>
      <c r="K220" s="777"/>
      <c r="L220" s="777"/>
      <c r="M220" s="777"/>
      <c r="N220" s="774" t="str">
        <f>$N$5</f>
        <v>2022 Report Year</v>
      </c>
      <c r="O220" s="775"/>
      <c r="P220" s="775"/>
      <c r="Q220" s="775"/>
      <c r="R220" s="338"/>
      <c r="S220" s="338"/>
      <c r="T220" s="338"/>
      <c r="U220" s="338"/>
      <c r="V220" s="338"/>
      <c r="W220" s="322"/>
      <c r="X220" s="322"/>
      <c r="Y220" s="322"/>
      <c r="Z220" s="322"/>
      <c r="AA220" s="322"/>
      <c r="AB220" s="322"/>
      <c r="AC220" s="322"/>
      <c r="AD220" s="340"/>
      <c r="AE220" s="249"/>
      <c r="AF220" s="249"/>
      <c r="AG220" s="249"/>
      <c r="AH220" s="249"/>
      <c r="AI220" s="249"/>
      <c r="AJ220" s="249"/>
      <c r="AK220" s="249"/>
      <c r="AL220" s="249"/>
      <c r="AM220" s="249"/>
      <c r="AN220" s="249"/>
      <c r="AO220" s="249"/>
      <c r="AP220" s="249"/>
      <c r="AQ220" s="249"/>
      <c r="AR220" s="249"/>
      <c r="AS220" s="249"/>
      <c r="AT220" s="249"/>
      <c r="AU220" s="249"/>
      <c r="AV220" s="249"/>
      <c r="AW220" s="249"/>
      <c r="AX220" s="249"/>
      <c r="AY220" s="249"/>
    </row>
    <row r="221" spans="1:52" ht="26.25" customHeight="1" x14ac:dyDescent="0.2">
      <c r="A221" s="821" t="e">
        <f>IF(AND(OR(ISNA(cap_exp_contact),TRIM(cap_exp_contact)=""),NOT(ISBLANK(code_7594))),"The Capital Expenditure Contact information has NOT been provided.  Please complete this information now.","")</f>
        <v>#N/A</v>
      </c>
      <c r="B221" s="822"/>
      <c r="C221" s="822"/>
      <c r="D221" s="822"/>
      <c r="E221" s="822"/>
      <c r="F221" s="822"/>
      <c r="G221" s="822"/>
      <c r="H221" s="822"/>
      <c r="I221" s="822"/>
      <c r="J221" s="822"/>
      <c r="K221" s="822"/>
      <c r="L221" s="822"/>
      <c r="M221" s="822"/>
      <c r="N221" s="271" t="s">
        <v>278</v>
      </c>
      <c r="O221" s="272" t="e">
        <f>'Capital Expend Detail'!$I$7</f>
        <v>#N/A</v>
      </c>
      <c r="P221" s="273" t="s">
        <v>431</v>
      </c>
      <c r="Q221" s="274" t="e">
        <f>IF(ISBLANK(Q178),"",Q178+1)</f>
        <v>#VALUE!</v>
      </c>
      <c r="R221" s="197"/>
      <c r="S221" s="340"/>
      <c r="T221" s="340"/>
      <c r="U221" s="340"/>
      <c r="V221" s="340"/>
      <c r="W221" s="322"/>
      <c r="X221" s="322"/>
      <c r="Y221" s="322"/>
      <c r="Z221" s="322"/>
      <c r="AA221" s="322"/>
      <c r="AB221" s="322"/>
      <c r="AC221" s="322"/>
      <c r="AD221" s="340"/>
      <c r="AE221" s="249"/>
      <c r="AF221" s="249"/>
      <c r="AG221" s="249"/>
      <c r="AH221" s="249"/>
      <c r="AI221" s="249"/>
      <c r="AJ221" s="249"/>
      <c r="AK221" s="249"/>
      <c r="AL221" s="249"/>
      <c r="AM221" s="249"/>
      <c r="AN221" s="249"/>
      <c r="AO221" s="249"/>
      <c r="AP221" s="249"/>
      <c r="AQ221" s="249"/>
      <c r="AR221" s="249"/>
      <c r="AS221" s="249"/>
      <c r="AT221" s="249"/>
      <c r="AU221" s="249"/>
      <c r="AV221" s="249"/>
      <c r="AW221" s="249"/>
      <c r="AX221" s="249"/>
      <c r="AY221" s="249"/>
    </row>
    <row r="222" spans="1:52" ht="26.25" customHeight="1" thickBot="1" x14ac:dyDescent="0.25">
      <c r="A222" s="778" t="s">
        <v>432</v>
      </c>
      <c r="B222" s="779"/>
      <c r="C222" s="779"/>
      <c r="D222" s="779"/>
      <c r="E222" s="815"/>
      <c r="F222" s="816"/>
      <c r="G222" s="816"/>
      <c r="H222" s="816"/>
      <c r="I222" s="816"/>
      <c r="J222" s="816"/>
      <c r="K222" s="816"/>
      <c r="L222" s="817"/>
      <c r="M222" s="276"/>
      <c r="N222" s="823" t="s">
        <v>443</v>
      </c>
      <c r="O222" s="824"/>
      <c r="P222" s="824"/>
      <c r="Q222" s="825"/>
      <c r="R222" s="197"/>
      <c r="S222" s="277" t="str">
        <f>IF(ISBLANK(E222),"",E222)</f>
        <v/>
      </c>
      <c r="T222" s="278" t="s">
        <v>407</v>
      </c>
      <c r="U222" s="197"/>
      <c r="V222" s="197"/>
      <c r="W222" s="322"/>
      <c r="X222" s="322"/>
      <c r="Y222" s="322"/>
      <c r="Z222" s="322"/>
      <c r="AA222" s="340"/>
      <c r="AB222" s="340"/>
      <c r="AC222" s="340"/>
      <c r="AD222" s="340"/>
      <c r="AE222" s="249"/>
      <c r="AF222" s="249"/>
      <c r="AG222" s="249"/>
      <c r="AH222" s="249"/>
      <c r="AI222" s="249"/>
      <c r="AJ222" s="249"/>
      <c r="AK222" s="249"/>
      <c r="AL222" s="249"/>
      <c r="AM222" s="249"/>
      <c r="AN222" s="249"/>
      <c r="AO222" s="249"/>
      <c r="AP222" s="249"/>
      <c r="AQ222" s="249"/>
      <c r="AR222" s="249"/>
      <c r="AS222" s="249"/>
      <c r="AT222" s="249"/>
      <c r="AU222" s="249"/>
      <c r="AV222" s="249"/>
      <c r="AW222" s="249"/>
      <c r="AX222" s="249"/>
      <c r="AY222" s="249"/>
    </row>
    <row r="223" spans="1:52" ht="26.25" customHeight="1" x14ac:dyDescent="0.2">
      <c r="A223" s="833" t="s">
        <v>433</v>
      </c>
      <c r="B223" s="834"/>
      <c r="C223" s="834"/>
      <c r="D223" s="835"/>
      <c r="E223" s="788"/>
      <c r="F223" s="789"/>
      <c r="G223" s="789"/>
      <c r="H223" s="789"/>
      <c r="I223" s="789"/>
      <c r="J223" s="789"/>
      <c r="K223" s="789"/>
      <c r="L223" s="790"/>
      <c r="M223" s="793" t="str">
        <f>IF(AND(ISBLANK(E223),OR(NOT(ISBLANK(E224)),NOT(ISBLANK(E225)),NOT(ISBLANK(E226)),NOT(ISBLANK(I227)),NOT(ISBLANK(A229)))),"This information is required.","")</f>
        <v/>
      </c>
      <c r="N223" s="794"/>
      <c r="O223" s="794"/>
      <c r="P223" s="794"/>
      <c r="Q223" s="279"/>
      <c r="R223" s="197"/>
      <c r="S223" s="277" t="str">
        <f>IF(ISBLANK(E223),"",E223)</f>
        <v/>
      </c>
      <c r="T223" s="278" t="s">
        <v>27</v>
      </c>
      <c r="U223" s="197"/>
      <c r="V223" s="197"/>
      <c r="W223" s="322"/>
      <c r="X223" s="332"/>
      <c r="Y223" s="332"/>
      <c r="Z223" s="332"/>
      <c r="AA223" s="324"/>
      <c r="AB223" s="324"/>
      <c r="AC223" s="324"/>
      <c r="AD223" s="340"/>
      <c r="AE223" s="249"/>
      <c r="AF223" s="249"/>
      <c r="AG223" s="249"/>
      <c r="AH223" s="249"/>
      <c r="AI223" s="249"/>
      <c r="AJ223" s="249"/>
      <c r="AK223" s="249"/>
      <c r="AL223" s="249"/>
      <c r="AM223" s="249"/>
      <c r="AN223" s="249"/>
      <c r="AO223" s="249"/>
      <c r="AP223" s="249"/>
      <c r="AQ223" s="249"/>
      <c r="AR223" s="249"/>
      <c r="AS223" s="249"/>
      <c r="AT223" s="249"/>
      <c r="AU223" s="249"/>
      <c r="AV223" s="249"/>
      <c r="AW223" s="249"/>
      <c r="AX223" s="249"/>
      <c r="AY223" s="249"/>
    </row>
    <row r="224" spans="1:52" ht="26.25" customHeight="1" x14ac:dyDescent="0.2">
      <c r="A224" s="783" t="s">
        <v>434</v>
      </c>
      <c r="B224" s="784"/>
      <c r="C224" s="784"/>
      <c r="D224" s="785"/>
      <c r="E224" s="788"/>
      <c r="F224" s="789"/>
      <c r="G224" s="789"/>
      <c r="H224" s="789"/>
      <c r="I224" s="789"/>
      <c r="J224" s="789"/>
      <c r="K224" s="789"/>
      <c r="L224" s="790"/>
      <c r="M224" s="793" t="str">
        <f>IF(AND(ISBLANK(E224),OR(NOT(ISBLANK(E223)),NOT(ISBLANK(E225)),NOT(ISBLANK(E226)),NOT(ISBLANK(I227)),NOT(ISBLANK(A229)))),"This information is required.","")</f>
        <v/>
      </c>
      <c r="N224" s="794"/>
      <c r="O224" s="794"/>
      <c r="P224" s="794"/>
      <c r="Q224" s="279"/>
      <c r="R224" s="197"/>
      <c r="S224" s="277" t="str">
        <f>IF(ISBLANK(E224),"",E224)</f>
        <v/>
      </c>
      <c r="T224" s="278" t="s">
        <v>28</v>
      </c>
      <c r="U224" s="197"/>
      <c r="V224" s="197"/>
      <c r="W224" s="322"/>
      <c r="X224" s="338"/>
      <c r="Y224" s="338"/>
      <c r="Z224" s="338"/>
      <c r="AA224" s="322"/>
      <c r="AB224" s="322"/>
      <c r="AC224" s="322"/>
      <c r="AD224" s="340"/>
      <c r="AE224" s="249"/>
      <c r="AF224" s="249"/>
      <c r="AG224" s="249"/>
      <c r="AH224" s="249"/>
      <c r="AI224" s="249"/>
      <c r="AJ224" s="249"/>
      <c r="AK224" s="249"/>
      <c r="AL224" s="249"/>
      <c r="AM224" s="249"/>
      <c r="AN224" s="249"/>
      <c r="AO224" s="249"/>
      <c r="AP224" s="249"/>
      <c r="AQ224" s="249"/>
      <c r="AR224" s="249"/>
      <c r="AS224" s="249"/>
      <c r="AT224" s="249"/>
      <c r="AU224" s="249"/>
      <c r="AV224" s="249"/>
      <c r="AW224" s="249"/>
      <c r="AX224" s="249"/>
      <c r="AY224" s="249"/>
    </row>
    <row r="225" spans="1:51" ht="26.25" customHeight="1" x14ac:dyDescent="0.2">
      <c r="A225" s="873" t="s">
        <v>436</v>
      </c>
      <c r="B225" s="874"/>
      <c r="C225" s="874"/>
      <c r="D225" s="875"/>
      <c r="E225" s="813"/>
      <c r="F225" s="814"/>
      <c r="G225" s="786" t="s">
        <v>437</v>
      </c>
      <c r="H225" s="786"/>
      <c r="I225" s="786"/>
      <c r="J225" s="786"/>
      <c r="K225" s="786"/>
      <c r="L225" s="786"/>
      <c r="M225" s="787" t="str">
        <f>IF(AND(ISBLANK(E225),OR(NOT(ISBLANK(E223)),NOT(ISBLANK(E224)),NOT(ISBLANK(E226)),NOT(ISBLANK(I227)),NOT(ISBLANK(A229)))),"This information is required.","")</f>
        <v/>
      </c>
      <c r="N225" s="711"/>
      <c r="O225" s="711"/>
      <c r="P225" s="711"/>
      <c r="Q225" s="280"/>
      <c r="R225" s="281"/>
      <c r="S225" s="282" t="str">
        <f>IF(ISBLANK(E225),"",E225)</f>
        <v/>
      </c>
      <c r="T225" s="283" t="s">
        <v>30</v>
      </c>
      <c r="U225" s="281"/>
      <c r="V225" s="281"/>
      <c r="W225" s="322"/>
      <c r="X225" s="340"/>
      <c r="Y225" s="340"/>
      <c r="Z225" s="340"/>
      <c r="AA225" s="322"/>
      <c r="AB225" s="322"/>
      <c r="AC225" s="322"/>
      <c r="AD225" s="340"/>
      <c r="AE225" s="249"/>
      <c r="AF225" s="249"/>
      <c r="AG225" s="249"/>
      <c r="AH225" s="249"/>
      <c r="AI225" s="249"/>
      <c r="AJ225" s="249"/>
      <c r="AK225" s="249"/>
      <c r="AL225" s="249"/>
      <c r="AM225" s="249"/>
      <c r="AN225" s="249"/>
      <c r="AO225" s="249"/>
      <c r="AP225" s="249"/>
      <c r="AQ225" s="249"/>
      <c r="AR225" s="249"/>
      <c r="AS225" s="249"/>
      <c r="AT225" s="249"/>
      <c r="AU225" s="249"/>
      <c r="AV225" s="249"/>
      <c r="AW225" s="249"/>
      <c r="AX225" s="249"/>
      <c r="AY225" s="249"/>
    </row>
    <row r="226" spans="1:51" ht="26.25" customHeight="1" x14ac:dyDescent="0.2">
      <c r="A226" s="783" t="s">
        <v>435</v>
      </c>
      <c r="B226" s="784"/>
      <c r="C226" s="784"/>
      <c r="D226" s="785"/>
      <c r="E226" s="828"/>
      <c r="F226" s="829"/>
      <c r="G226" s="284"/>
      <c r="H226" s="285"/>
      <c r="I226" s="286"/>
      <c r="J226" s="281"/>
      <c r="K226" s="281"/>
      <c r="L226" s="281"/>
      <c r="M226" s="711" t="str">
        <f>IF(AND(ISBLANK(E226),OR(NOT(ISBLANK(E223)),NOT(ISBLANK(E224)),NOT(ISBLANK(E225)),NOT(ISBLANK(I227)),NOT(ISBLANK(A229)))),"This information is required.","")</f>
        <v/>
      </c>
      <c r="N226" s="711"/>
      <c r="O226" s="711"/>
      <c r="P226" s="711"/>
      <c r="Q226" s="280"/>
      <c r="R226" s="287"/>
      <c r="S226" s="288" t="str">
        <f>IF(ISBLANK(E226),"",E226)</f>
        <v/>
      </c>
      <c r="T226" s="289" t="s">
        <v>31</v>
      </c>
      <c r="U226" s="287"/>
      <c r="V226" s="287"/>
      <c r="W226" s="322"/>
      <c r="X226" s="340"/>
      <c r="Y226" s="340"/>
      <c r="Z226" s="340"/>
      <c r="AA226" s="322"/>
      <c r="AB226" s="322"/>
      <c r="AC226" s="322"/>
      <c r="AD226" s="340"/>
      <c r="AE226" s="249"/>
      <c r="AF226" s="249"/>
      <c r="AG226" s="249"/>
      <c r="AH226" s="249"/>
      <c r="AI226" s="249"/>
      <c r="AJ226" s="249"/>
      <c r="AK226" s="249"/>
      <c r="AL226" s="249"/>
      <c r="AM226" s="249"/>
      <c r="AN226" s="249"/>
      <c r="AO226" s="249"/>
      <c r="AP226" s="249"/>
      <c r="AQ226" s="249"/>
      <c r="AR226" s="249"/>
      <c r="AS226" s="249"/>
      <c r="AT226" s="249"/>
      <c r="AU226" s="249"/>
      <c r="AV226" s="249"/>
      <c r="AW226" s="249"/>
      <c r="AX226" s="249"/>
      <c r="AY226" s="249"/>
    </row>
    <row r="227" spans="1:51" ht="26.25" customHeight="1" thickBot="1" x14ac:dyDescent="0.25">
      <c r="A227" s="797" t="s">
        <v>426</v>
      </c>
      <c r="B227" s="798"/>
      <c r="C227" s="798"/>
      <c r="D227" s="798"/>
      <c r="E227" s="799"/>
      <c r="F227" s="799"/>
      <c r="G227" s="799"/>
      <c r="H227" s="799"/>
      <c r="I227" s="832"/>
      <c r="J227" s="832"/>
      <c r="K227" s="795" t="s">
        <v>481</v>
      </c>
      <c r="L227" s="796"/>
      <c r="M227" s="827" t="str">
        <f>IF(AND(ISBLANK(I227),OR(NOT(ISBLANK(E223)),NOT(ISBLANK(E224)),NOT(ISBLANK(E225)),NOT(ISBLANK(E226)),NOT(ISBLANK(A229)))),"This information is required!","")</f>
        <v/>
      </c>
      <c r="N227" s="827"/>
      <c r="O227" s="827"/>
      <c r="P227" s="827"/>
      <c r="Q227" s="290"/>
      <c r="R227" s="287"/>
      <c r="S227" s="288" t="str">
        <f>IF(ISBLANK(I227),"",I227)</f>
        <v/>
      </c>
      <c r="T227" s="289" t="s">
        <v>32</v>
      </c>
      <c r="U227" s="291"/>
      <c r="V227" s="291"/>
      <c r="W227" s="332"/>
      <c r="X227" s="340"/>
      <c r="Y227" s="340"/>
      <c r="Z227" s="340"/>
      <c r="AA227" s="322"/>
      <c r="AB227" s="322"/>
      <c r="AC227" s="322"/>
      <c r="AD227" s="340"/>
      <c r="AE227" s="249"/>
      <c r="AF227" s="249"/>
      <c r="AG227" s="249"/>
      <c r="AH227" s="249"/>
      <c r="AI227" s="249"/>
      <c r="AJ227" s="249"/>
      <c r="AK227" s="249"/>
      <c r="AL227" s="249"/>
      <c r="AM227" s="249"/>
      <c r="AN227" s="249"/>
      <c r="AO227" s="249"/>
      <c r="AP227" s="249"/>
      <c r="AQ227" s="249"/>
      <c r="AR227" s="249"/>
      <c r="AS227" s="249"/>
      <c r="AT227" s="249"/>
      <c r="AU227" s="249"/>
      <c r="AV227" s="249"/>
      <c r="AW227" s="249"/>
      <c r="AX227" s="249"/>
      <c r="AY227" s="249"/>
    </row>
    <row r="228" spans="1:51" ht="26.25" customHeight="1" x14ac:dyDescent="0.2">
      <c r="A228" s="841" t="s">
        <v>553</v>
      </c>
      <c r="B228" s="842"/>
      <c r="C228" s="842"/>
      <c r="D228" s="842"/>
      <c r="E228" s="842"/>
      <c r="F228" s="842"/>
      <c r="G228" s="842"/>
      <c r="H228" s="842"/>
      <c r="I228" s="842"/>
      <c r="J228" s="909"/>
      <c r="K228" s="907" t="s">
        <v>646</v>
      </c>
      <c r="L228" s="907"/>
      <c r="M228" s="907"/>
      <c r="N228" s="907"/>
      <c r="O228" s="830" t="s">
        <v>535</v>
      </c>
      <c r="P228" s="830"/>
      <c r="Q228" s="831"/>
      <c r="R228" s="293"/>
      <c r="S228" s="288" t="str">
        <f>IF(ISBLANK(A229),"",A229)</f>
        <v/>
      </c>
      <c r="T228" s="289" t="s">
        <v>33</v>
      </c>
      <c r="U228" s="294"/>
      <c r="V228" s="294"/>
      <c r="W228" s="338"/>
      <c r="X228" s="340"/>
      <c r="Y228" s="340"/>
      <c r="Z228" s="340"/>
      <c r="AA228" s="322"/>
      <c r="AB228" s="322"/>
      <c r="AC228" s="322"/>
      <c r="AD228" s="340"/>
      <c r="AE228" s="249"/>
      <c r="AF228" s="249"/>
      <c r="AG228" s="249"/>
      <c r="AH228" s="249"/>
      <c r="AI228" s="249"/>
      <c r="AJ228" s="249"/>
      <c r="AK228" s="249"/>
      <c r="AL228" s="249"/>
      <c r="AM228" s="249"/>
      <c r="AN228" s="249"/>
      <c r="AO228" s="249"/>
      <c r="AP228" s="249"/>
      <c r="AQ228" s="249"/>
      <c r="AR228" s="249"/>
      <c r="AS228" s="249"/>
      <c r="AT228" s="249"/>
      <c r="AU228" s="249"/>
      <c r="AV228" s="249"/>
      <c r="AW228" s="249"/>
      <c r="AX228" s="249"/>
      <c r="AY228" s="249"/>
    </row>
    <row r="229" spans="1:51" ht="26.25" customHeight="1" x14ac:dyDescent="0.2">
      <c r="A229" s="853"/>
      <c r="B229" s="854"/>
      <c r="C229" s="854"/>
      <c r="D229" s="854"/>
      <c r="E229" s="854"/>
      <c r="F229" s="854"/>
      <c r="G229" s="854"/>
      <c r="H229" s="854"/>
      <c r="I229" s="854"/>
      <c r="J229" s="902"/>
      <c r="K229" s="908"/>
      <c r="L229" s="908"/>
      <c r="M229" s="908"/>
      <c r="N229" s="908"/>
      <c r="O229" s="295"/>
      <c r="P229" s="296" t="s">
        <v>43</v>
      </c>
      <c r="Q229" s="297" t="s">
        <v>44</v>
      </c>
      <c r="R229" s="293"/>
      <c r="S229" s="288" t="str">
        <f>IF(ISBLANK(A232),"",A232)</f>
        <v/>
      </c>
      <c r="T229" s="298" t="s">
        <v>34</v>
      </c>
      <c r="U229" s="294"/>
      <c r="V229" s="294"/>
      <c r="W229" s="340"/>
      <c r="X229" s="340"/>
      <c r="Y229" s="340"/>
      <c r="Z229" s="340"/>
      <c r="AA229" s="322"/>
      <c r="AB229" s="322"/>
      <c r="AC229" s="322"/>
      <c r="AD229" s="340"/>
      <c r="AE229" s="249"/>
      <c r="AF229" s="249"/>
      <c r="AG229" s="249"/>
      <c r="AH229" s="249"/>
      <c r="AI229" s="249"/>
      <c r="AJ229" s="249"/>
      <c r="AK229" s="249"/>
      <c r="AL229" s="249"/>
      <c r="AM229" s="249"/>
      <c r="AN229" s="249"/>
      <c r="AO229" s="249"/>
      <c r="AP229" s="249"/>
      <c r="AQ229" s="249"/>
      <c r="AR229" s="249"/>
      <c r="AS229" s="249"/>
      <c r="AT229" s="249"/>
      <c r="AU229" s="249"/>
      <c r="AV229" s="249"/>
      <c r="AW229" s="249"/>
      <c r="AX229" s="249"/>
      <c r="AY229" s="249"/>
    </row>
    <row r="230" spans="1:51" ht="26.25" customHeight="1" x14ac:dyDescent="0.2">
      <c r="A230" s="882"/>
      <c r="B230" s="883"/>
      <c r="C230" s="883"/>
      <c r="D230" s="883"/>
      <c r="E230" s="883"/>
      <c r="F230" s="883"/>
      <c r="G230" s="883"/>
      <c r="H230" s="883"/>
      <c r="I230" s="883"/>
      <c r="J230" s="903"/>
      <c r="K230" s="899" t="s">
        <v>516</v>
      </c>
      <c r="L230" s="900"/>
      <c r="M230" s="900"/>
      <c r="N230" s="900"/>
      <c r="O230" s="901"/>
      <c r="P230" s="304"/>
      <c r="Q230" s="305"/>
      <c r="R230" s="291" t="str">
        <f>IF(COUNTBLANK(P230:Q230)=2,"Please enter response.",IF(COUNTBLANK(P230:Q230)&lt;&gt;1,"Please VERIFY response.",""))</f>
        <v>Please enter response.</v>
      </c>
      <c r="S230" s="306" t="str">
        <f>IF(AND(ISBLANK(P230),ISBLANK(Q230)),"",IF(ISBLANK(P230),0,1))</f>
        <v/>
      </c>
      <c r="T230" s="307" t="s">
        <v>563</v>
      </c>
      <c r="U230" s="266"/>
      <c r="V230" s="266"/>
      <c r="W230" s="340"/>
      <c r="X230" s="293"/>
      <c r="Y230" s="293"/>
      <c r="Z230" s="293"/>
      <c r="AA230" s="322"/>
      <c r="AB230" s="322"/>
      <c r="AC230" s="322"/>
      <c r="AD230" s="340"/>
      <c r="AE230" s="249"/>
      <c r="AF230" s="249"/>
      <c r="AG230" s="249"/>
      <c r="AH230" s="249"/>
      <c r="AI230" s="249"/>
      <c r="AJ230" s="249"/>
      <c r="AK230" s="249"/>
      <c r="AL230" s="249"/>
      <c r="AM230" s="249"/>
      <c r="AN230" s="249"/>
      <c r="AO230" s="249"/>
      <c r="AP230" s="249"/>
      <c r="AQ230" s="249"/>
      <c r="AR230" s="249"/>
      <c r="AS230" s="249"/>
      <c r="AT230" s="249"/>
      <c r="AU230" s="249"/>
      <c r="AV230" s="249"/>
      <c r="AW230" s="249"/>
      <c r="AX230" s="249"/>
      <c r="AY230" s="249"/>
    </row>
    <row r="231" spans="1:51" ht="26.25" customHeight="1" x14ac:dyDescent="0.2">
      <c r="A231" s="904" t="s">
        <v>558</v>
      </c>
      <c r="B231" s="905"/>
      <c r="C231" s="905"/>
      <c r="D231" s="905"/>
      <c r="E231" s="905"/>
      <c r="F231" s="905"/>
      <c r="G231" s="905"/>
      <c r="H231" s="905"/>
      <c r="I231" s="905"/>
      <c r="J231" s="906"/>
      <c r="K231" s="899" t="s">
        <v>517</v>
      </c>
      <c r="L231" s="900"/>
      <c r="M231" s="900"/>
      <c r="N231" s="900"/>
      <c r="O231" s="901"/>
      <c r="P231" s="304"/>
      <c r="Q231" s="305"/>
      <c r="R231" s="291" t="str">
        <f>IF(COUNTBLANK(P231:Q231)=2,"Please enter response.",IF(COUNTBLANK(P231:Q231)&lt;&gt;1,"Please VERIFY response.",""))</f>
        <v>Please enter response.</v>
      </c>
      <c r="S231" s="306" t="str">
        <f>IF(AND(ISBLANK(P231),ISBLANK(Q231)),"",IF(ISBLANK(P231),0,1))</f>
        <v/>
      </c>
      <c r="T231" s="307" t="s">
        <v>564</v>
      </c>
      <c r="U231" s="266"/>
      <c r="V231" s="266"/>
      <c r="W231" s="340"/>
      <c r="X231" s="340"/>
      <c r="Y231" s="340"/>
      <c r="Z231" s="340"/>
      <c r="AA231" s="322"/>
      <c r="AB231" s="322"/>
      <c r="AC231" s="322"/>
      <c r="AD231" s="340"/>
      <c r="AE231" s="249"/>
      <c r="AF231" s="249"/>
      <c r="AG231" s="249"/>
      <c r="AH231" s="249"/>
      <c r="AI231" s="249"/>
      <c r="AJ231" s="249"/>
      <c r="AK231" s="249"/>
      <c r="AL231" s="249"/>
      <c r="AM231" s="249"/>
      <c r="AN231" s="249"/>
      <c r="AO231" s="249"/>
      <c r="AP231" s="249"/>
      <c r="AQ231" s="249"/>
      <c r="AR231" s="249"/>
      <c r="AS231" s="249"/>
      <c r="AT231" s="249"/>
      <c r="AU231" s="249"/>
      <c r="AV231" s="249"/>
      <c r="AW231" s="249"/>
      <c r="AX231" s="249"/>
      <c r="AY231" s="249"/>
    </row>
    <row r="232" spans="1:51" ht="26.25" customHeight="1" x14ac:dyDescent="0.2">
      <c r="A232" s="853"/>
      <c r="B232" s="854"/>
      <c r="C232" s="854"/>
      <c r="D232" s="854"/>
      <c r="E232" s="854"/>
      <c r="F232" s="854"/>
      <c r="G232" s="854"/>
      <c r="H232" s="854"/>
      <c r="I232" s="854"/>
      <c r="J232" s="902"/>
      <c r="K232" s="899" t="s">
        <v>518</v>
      </c>
      <c r="L232" s="900"/>
      <c r="M232" s="900"/>
      <c r="N232" s="900"/>
      <c r="O232" s="901"/>
      <c r="P232" s="304"/>
      <c r="Q232" s="305"/>
      <c r="R232" s="291" t="str">
        <f>IF(COUNTBLANK(P232:Q232)=2,"Please enter response.",IF(COUNTBLANK(P232:Q232)&lt;&gt;1,"Please VERIFY response.",""))</f>
        <v>Please enter response.</v>
      </c>
      <c r="S232" s="306" t="str">
        <f>IF(AND(ISBLANK(P232),ISBLANK(Q232)),"",IF(ISBLANK(P232),0,1))</f>
        <v/>
      </c>
      <c r="T232" s="307" t="s">
        <v>565</v>
      </c>
      <c r="U232" s="266"/>
      <c r="V232" s="266"/>
      <c r="W232" s="340"/>
      <c r="X232" s="340"/>
      <c r="Y232" s="340"/>
      <c r="Z232" s="340"/>
      <c r="AA232" s="322"/>
      <c r="AB232" s="322"/>
      <c r="AC232" s="322"/>
      <c r="AD232" s="340"/>
      <c r="AE232" s="249"/>
      <c r="AF232" s="249"/>
      <c r="AG232" s="249"/>
      <c r="AH232" s="249"/>
      <c r="AI232" s="249"/>
      <c r="AJ232" s="249"/>
      <c r="AK232" s="249"/>
      <c r="AL232" s="249"/>
      <c r="AM232" s="249"/>
      <c r="AN232" s="249"/>
      <c r="AO232" s="249"/>
      <c r="AP232" s="249"/>
      <c r="AQ232" s="249"/>
      <c r="AR232" s="249"/>
      <c r="AS232" s="249"/>
      <c r="AT232" s="249"/>
      <c r="AU232" s="249"/>
      <c r="AV232" s="249"/>
      <c r="AW232" s="249"/>
      <c r="AX232" s="249"/>
      <c r="AY232" s="249"/>
    </row>
    <row r="233" spans="1:51" ht="26.25" customHeight="1" x14ac:dyDescent="0.2">
      <c r="A233" s="882"/>
      <c r="B233" s="883"/>
      <c r="C233" s="883"/>
      <c r="D233" s="883"/>
      <c r="E233" s="883"/>
      <c r="F233" s="883"/>
      <c r="G233" s="883"/>
      <c r="H233" s="883"/>
      <c r="I233" s="883"/>
      <c r="J233" s="903"/>
      <c r="K233" s="899" t="s">
        <v>520</v>
      </c>
      <c r="L233" s="900"/>
      <c r="M233" s="900"/>
      <c r="N233" s="900"/>
      <c r="O233" s="901"/>
      <c r="P233" s="304"/>
      <c r="Q233" s="305"/>
      <c r="R233" s="291" t="str">
        <f>IF(COUNTBLANK(P233:Q233)=2,"Please enter response.",IF(COUNTBLANK(P233:Q233)&lt;&gt;1,"Please VERIFY response.",""))</f>
        <v>Please enter response.</v>
      </c>
      <c r="S233" s="306" t="str">
        <f>IF(AND(ISBLANK(P233),ISBLANK(Q233)),"",IF(ISBLANK(P233),0,1))</f>
        <v/>
      </c>
      <c r="T233" s="307" t="s">
        <v>566</v>
      </c>
      <c r="U233" s="266"/>
      <c r="V233" s="266"/>
      <c r="W233" s="340"/>
      <c r="X233" s="340"/>
      <c r="Y233" s="340"/>
      <c r="Z233" s="340"/>
      <c r="AA233" s="340"/>
      <c r="AB233" s="340"/>
      <c r="AC233" s="340"/>
      <c r="AD233" s="340"/>
      <c r="AE233" s="249"/>
      <c r="AF233" s="249"/>
      <c r="AG233" s="249"/>
      <c r="AH233" s="249"/>
      <c r="AI233" s="249"/>
      <c r="AJ233" s="249"/>
      <c r="AK233" s="249"/>
      <c r="AL233" s="249"/>
      <c r="AM233" s="249"/>
      <c r="AN233" s="249"/>
      <c r="AO233" s="249"/>
      <c r="AP233" s="249"/>
      <c r="AQ233" s="249"/>
      <c r="AR233" s="249"/>
      <c r="AS233" s="249"/>
      <c r="AT233" s="249"/>
      <c r="AU233" s="249"/>
      <c r="AV233" s="249"/>
      <c r="AW233" s="249"/>
      <c r="AX233" s="249"/>
      <c r="AY233" s="249"/>
    </row>
    <row r="234" spans="1:51" ht="26.25" customHeight="1" x14ac:dyDescent="0.2">
      <c r="A234" s="879" t="s">
        <v>546</v>
      </c>
      <c r="B234" s="880"/>
      <c r="C234" s="880"/>
      <c r="D234" s="880"/>
      <c r="E234" s="880"/>
      <c r="F234" s="880"/>
      <c r="G234" s="880"/>
      <c r="H234" s="880"/>
      <c r="I234" s="880"/>
      <c r="J234" s="880"/>
      <c r="K234" s="880"/>
      <c r="L234" s="880"/>
      <c r="M234" s="880"/>
      <c r="N234" s="880"/>
      <c r="O234" s="880"/>
      <c r="P234" s="880"/>
      <c r="Q234" s="881"/>
      <c r="R234" s="310"/>
      <c r="S234" s="319"/>
      <c r="T234" s="310"/>
      <c r="U234" s="310"/>
      <c r="V234" s="310"/>
      <c r="W234" s="293"/>
      <c r="X234" s="293"/>
      <c r="Y234" s="293"/>
      <c r="Z234" s="293"/>
      <c r="AA234" s="320"/>
      <c r="AB234" s="320"/>
      <c r="AC234" s="320"/>
      <c r="AD234" s="340"/>
      <c r="AE234" s="249"/>
      <c r="AF234" s="249"/>
      <c r="AG234" s="249"/>
      <c r="AH234" s="249"/>
      <c r="AI234" s="249"/>
      <c r="AJ234" s="249"/>
      <c r="AK234" s="249"/>
      <c r="AL234" s="249"/>
      <c r="AM234" s="249"/>
      <c r="AN234" s="249"/>
      <c r="AO234" s="249"/>
      <c r="AP234" s="249"/>
      <c r="AQ234" s="249"/>
      <c r="AR234" s="249"/>
      <c r="AS234" s="249"/>
      <c r="AT234" s="249"/>
      <c r="AU234" s="249"/>
      <c r="AV234" s="249"/>
      <c r="AW234" s="249"/>
      <c r="AX234" s="249"/>
      <c r="AY234" s="249"/>
    </row>
    <row r="235" spans="1:51" ht="26.25" customHeight="1" x14ac:dyDescent="0.2">
      <c r="A235" s="870" t="s">
        <v>450</v>
      </c>
      <c r="B235" s="826"/>
      <c r="C235" s="826"/>
      <c r="D235" s="826"/>
      <c r="E235" s="826" t="s">
        <v>478</v>
      </c>
      <c r="F235" s="826"/>
      <c r="G235" s="826"/>
      <c r="H235" s="826"/>
      <c r="I235" s="826" t="s">
        <v>479</v>
      </c>
      <c r="J235" s="826"/>
      <c r="K235" s="826"/>
      <c r="L235" s="826"/>
      <c r="M235" s="871" t="s">
        <v>465</v>
      </c>
      <c r="N235" s="826"/>
      <c r="O235" s="826"/>
      <c r="P235" s="826"/>
      <c r="Q235" s="872"/>
      <c r="R235" s="315"/>
      <c r="S235" s="836" t="s">
        <v>491</v>
      </c>
      <c r="T235" s="836"/>
      <c r="U235" s="836"/>
      <c r="V235" s="836"/>
      <c r="W235" s="340"/>
      <c r="X235" s="322"/>
      <c r="Y235" s="322"/>
      <c r="Z235" s="322"/>
      <c r="AA235" s="322"/>
      <c r="AB235" s="322"/>
      <c r="AC235" s="322"/>
      <c r="AD235" s="340"/>
      <c r="AE235" s="249"/>
      <c r="AF235" s="249"/>
      <c r="AG235" s="249"/>
      <c r="AH235" s="249"/>
      <c r="AI235" s="249"/>
      <c r="AJ235" s="249"/>
      <c r="AK235" s="249"/>
      <c r="AL235" s="249"/>
      <c r="AM235" s="249"/>
      <c r="AN235" s="249"/>
      <c r="AO235" s="249"/>
      <c r="AP235" s="249"/>
      <c r="AQ235" s="249"/>
      <c r="AR235" s="249"/>
      <c r="AS235" s="249"/>
      <c r="AT235" s="249"/>
      <c r="AU235" s="249"/>
      <c r="AV235" s="249"/>
      <c r="AW235" s="249"/>
      <c r="AX235" s="249"/>
      <c r="AY235" s="249"/>
    </row>
    <row r="236" spans="1:51" ht="26.25" customHeight="1" thickBot="1" x14ac:dyDescent="0.25">
      <c r="A236" s="791"/>
      <c r="B236" s="792"/>
      <c r="C236" s="792"/>
      <c r="D236" s="792"/>
      <c r="E236" s="792"/>
      <c r="F236" s="792"/>
      <c r="G236" s="792"/>
      <c r="H236" s="792"/>
      <c r="I236" s="792"/>
      <c r="J236" s="792"/>
      <c r="K236" s="792"/>
      <c r="L236" s="792"/>
      <c r="M236" s="894"/>
      <c r="N236" s="894"/>
      <c r="O236" s="894"/>
      <c r="P236" s="894"/>
      <c r="Q236" s="895"/>
      <c r="R236" s="310"/>
      <c r="S236" s="323" t="str">
        <f>IF(ISBLANK(A236),"",VLOOKUP(A236,VProjType,2,FALSE))</f>
        <v/>
      </c>
      <c r="T236" s="323" t="str">
        <f>IF(ISBLANK(E236),"",VLOOKUP(E236,VSubtype1,2,FALSE))</f>
        <v/>
      </c>
      <c r="U236" s="323" t="str">
        <f>IF(ISBLANK(I236),"",VLOOKUP(I236,VSubtype2,2,FALSE))</f>
        <v/>
      </c>
      <c r="V236" s="323" t="str">
        <f>IF(ISBLANK(M236),"",VLOOKUP(M236,VSubtype3,2,FALSE))</f>
        <v/>
      </c>
      <c r="W236" s="340"/>
      <c r="X236" s="322"/>
      <c r="Y236" s="322"/>
      <c r="Z236" s="322"/>
      <c r="AA236" s="322"/>
      <c r="AB236" s="322"/>
      <c r="AC236" s="322"/>
      <c r="AD236" s="340"/>
      <c r="AE236" s="249"/>
      <c r="AF236" s="249"/>
      <c r="AG236" s="249"/>
      <c r="AH236" s="249"/>
      <c r="AI236" s="249"/>
      <c r="AJ236" s="249"/>
      <c r="AK236" s="249"/>
      <c r="AL236" s="249"/>
      <c r="AM236" s="249"/>
      <c r="AN236" s="249"/>
      <c r="AO236" s="249"/>
      <c r="AP236" s="249"/>
      <c r="AQ236" s="249"/>
      <c r="AR236" s="249"/>
      <c r="AS236" s="249"/>
      <c r="AT236" s="249"/>
      <c r="AU236" s="249"/>
      <c r="AV236" s="249"/>
      <c r="AW236" s="249"/>
      <c r="AX236" s="249"/>
      <c r="AY236" s="249"/>
    </row>
    <row r="237" spans="1:51" ht="26.25" customHeight="1" x14ac:dyDescent="0.2">
      <c r="A237" s="896" t="s">
        <v>483</v>
      </c>
      <c r="B237" s="897"/>
      <c r="C237" s="897"/>
      <c r="D237" s="897"/>
      <c r="E237" s="897"/>
      <c r="F237" s="897"/>
      <c r="G237" s="897"/>
      <c r="H237" s="897"/>
      <c r="I237" s="897"/>
      <c r="J237" s="897"/>
      <c r="K237" s="897"/>
      <c r="L237" s="897"/>
      <c r="M237" s="897"/>
      <c r="N237" s="897"/>
      <c r="O237" s="897"/>
      <c r="P237" s="897"/>
      <c r="Q237" s="898"/>
      <c r="R237" s="320"/>
      <c r="S237" s="324" t="s">
        <v>537</v>
      </c>
      <c r="T237" s="320"/>
      <c r="U237" s="320"/>
      <c r="V237" s="320"/>
      <c r="W237" s="340"/>
      <c r="X237" s="322"/>
      <c r="Y237" s="322"/>
      <c r="Z237" s="322"/>
      <c r="AA237" s="322"/>
      <c r="AB237" s="322"/>
      <c r="AC237" s="322"/>
      <c r="AD237" s="340"/>
      <c r="AE237" s="249"/>
      <c r="AF237" s="249"/>
      <c r="AG237" s="249"/>
      <c r="AH237" s="249"/>
      <c r="AI237" s="249"/>
      <c r="AJ237" s="249"/>
      <c r="AK237" s="249"/>
      <c r="AL237" s="249"/>
      <c r="AM237" s="249"/>
      <c r="AN237" s="249"/>
      <c r="AO237" s="249"/>
      <c r="AP237" s="249"/>
      <c r="AQ237" s="249"/>
      <c r="AR237" s="249"/>
      <c r="AS237" s="249"/>
      <c r="AT237" s="249"/>
      <c r="AU237" s="249"/>
      <c r="AV237" s="249"/>
      <c r="AW237" s="249"/>
      <c r="AX237" s="249"/>
      <c r="AY237" s="249"/>
    </row>
    <row r="238" spans="1:51" ht="26.25" customHeight="1" x14ac:dyDescent="0.2">
      <c r="A238" s="859" t="s">
        <v>544</v>
      </c>
      <c r="B238" s="860"/>
      <c r="C238" s="860"/>
      <c r="D238" s="860"/>
      <c r="E238" s="860"/>
      <c r="F238" s="860"/>
      <c r="G238" s="860"/>
      <c r="H238" s="860"/>
      <c r="I238" s="860"/>
      <c r="J238" s="860"/>
      <c r="K238" s="860"/>
      <c r="L238" s="861"/>
      <c r="M238" s="876"/>
      <c r="N238" s="877"/>
      <c r="O238" s="877"/>
      <c r="P238" s="877"/>
      <c r="Q238" s="878"/>
      <c r="R238" s="320"/>
      <c r="S238" s="325" t="str">
        <f>IF(ISBLANK(M238),"",VLOOKUP(M238,VRemote,2,FALSE))</f>
        <v/>
      </c>
      <c r="T238" s="326" t="s">
        <v>545</v>
      </c>
      <c r="U238" s="320"/>
      <c r="V238" s="320"/>
      <c r="W238" s="293"/>
      <c r="X238" s="322"/>
      <c r="Y238" s="322"/>
      <c r="Z238" s="322"/>
      <c r="AA238" s="322"/>
      <c r="AB238" s="322"/>
      <c r="AC238" s="322"/>
      <c r="AD238" s="340"/>
      <c r="AE238" s="249"/>
      <c r="AF238" s="249"/>
      <c r="AG238" s="249"/>
      <c r="AH238" s="249"/>
      <c r="AI238" s="249"/>
      <c r="AJ238" s="249"/>
      <c r="AK238" s="249"/>
      <c r="AL238" s="249"/>
      <c r="AM238" s="249"/>
      <c r="AN238" s="249"/>
      <c r="AO238" s="249"/>
      <c r="AP238" s="249"/>
      <c r="AQ238" s="249"/>
      <c r="AR238" s="249"/>
      <c r="AS238" s="249"/>
      <c r="AT238" s="249"/>
      <c r="AU238" s="249"/>
      <c r="AV238" s="249"/>
      <c r="AW238" s="249"/>
      <c r="AX238" s="249"/>
      <c r="AY238" s="249"/>
    </row>
    <row r="239" spans="1:51" ht="26.25" customHeight="1" x14ac:dyDescent="0.2">
      <c r="A239" s="859" t="s">
        <v>529</v>
      </c>
      <c r="B239" s="860"/>
      <c r="C239" s="860"/>
      <c r="D239" s="860"/>
      <c r="E239" s="860"/>
      <c r="F239" s="860"/>
      <c r="G239" s="860"/>
      <c r="H239" s="860"/>
      <c r="I239" s="860"/>
      <c r="J239" s="860"/>
      <c r="K239" s="860"/>
      <c r="L239" s="860"/>
      <c r="M239" s="876"/>
      <c r="N239" s="877"/>
      <c r="O239" s="877"/>
      <c r="P239" s="877"/>
      <c r="Q239" s="878"/>
      <c r="R239" s="322"/>
      <c r="S239" s="325" t="str">
        <f>IF(ISBLANK(M239),"",VLOOKUP(M239,VCapacity,2,FALSE))</f>
        <v/>
      </c>
      <c r="T239" s="327" t="s">
        <v>539</v>
      </c>
      <c r="U239" s="322"/>
      <c r="V239" s="322"/>
      <c r="W239" s="322"/>
      <c r="X239" s="322"/>
      <c r="Y239" s="322"/>
      <c r="Z239" s="322"/>
      <c r="AA239" s="322"/>
      <c r="AB239" s="322"/>
      <c r="AC239" s="322"/>
      <c r="AD239" s="340"/>
      <c r="AE239" s="249"/>
      <c r="AF239" s="249"/>
      <c r="AG239" s="249"/>
      <c r="AH239" s="249"/>
      <c r="AI239" s="249"/>
      <c r="AJ239" s="249"/>
      <c r="AK239" s="249"/>
      <c r="AL239" s="249"/>
      <c r="AM239" s="249"/>
      <c r="AN239" s="249"/>
      <c r="AO239" s="249"/>
      <c r="AP239" s="249"/>
      <c r="AQ239" s="249"/>
      <c r="AR239" s="249"/>
      <c r="AS239" s="249"/>
      <c r="AT239" s="249"/>
      <c r="AU239" s="249"/>
      <c r="AV239" s="249"/>
      <c r="AW239" s="249"/>
      <c r="AX239" s="249"/>
      <c r="AY239" s="249"/>
    </row>
    <row r="240" spans="1:51" ht="26.25" customHeight="1" x14ac:dyDescent="0.2">
      <c r="A240" s="859" t="s">
        <v>484</v>
      </c>
      <c r="B240" s="860"/>
      <c r="C240" s="860"/>
      <c r="D240" s="860"/>
      <c r="E240" s="860"/>
      <c r="F240" s="860"/>
      <c r="G240" s="860"/>
      <c r="H240" s="860"/>
      <c r="I240" s="860"/>
      <c r="J240" s="860"/>
      <c r="K240" s="860"/>
      <c r="L240" s="860"/>
      <c r="M240" s="876"/>
      <c r="N240" s="877"/>
      <c r="O240" s="877"/>
      <c r="P240" s="877"/>
      <c r="Q240" s="878"/>
      <c r="R240" s="322"/>
      <c r="S240" s="325" t="str">
        <f>IF(ISBLANK(M240),"",VLOOKUP(M240,VPriorCap,2,FALSE))</f>
        <v/>
      </c>
      <c r="T240" s="327" t="s">
        <v>489</v>
      </c>
      <c r="U240" s="322"/>
      <c r="V240" s="322"/>
      <c r="W240" s="322"/>
      <c r="X240" s="322"/>
      <c r="Y240" s="322"/>
      <c r="Z240" s="322"/>
      <c r="AA240" s="322"/>
      <c r="AB240" s="322"/>
      <c r="AC240" s="322"/>
      <c r="AD240" s="340"/>
      <c r="AE240" s="249"/>
      <c r="AF240" s="249"/>
      <c r="AG240" s="249"/>
      <c r="AH240" s="249"/>
      <c r="AI240" s="249"/>
      <c r="AJ240" s="249"/>
      <c r="AK240" s="249"/>
      <c r="AL240" s="249"/>
      <c r="AM240" s="249"/>
      <c r="AN240" s="249"/>
      <c r="AO240" s="249"/>
      <c r="AP240" s="249"/>
      <c r="AQ240" s="249"/>
      <c r="AR240" s="249"/>
      <c r="AS240" s="249"/>
      <c r="AT240" s="249"/>
      <c r="AU240" s="249"/>
      <c r="AV240" s="249"/>
      <c r="AW240" s="249"/>
      <c r="AX240" s="249"/>
      <c r="AY240" s="249"/>
    </row>
    <row r="241" spans="1:51" ht="26.25" customHeight="1" x14ac:dyDescent="0.2">
      <c r="A241" s="780" t="s">
        <v>515</v>
      </c>
      <c r="B241" s="781"/>
      <c r="C241" s="781"/>
      <c r="D241" s="781"/>
      <c r="E241" s="781"/>
      <c r="F241" s="781"/>
      <c r="G241" s="781"/>
      <c r="H241" s="781"/>
      <c r="I241" s="781"/>
      <c r="J241" s="781"/>
      <c r="K241" s="781"/>
      <c r="L241" s="781"/>
      <c r="M241" s="781"/>
      <c r="N241" s="781"/>
      <c r="O241" s="781"/>
      <c r="P241" s="781"/>
      <c r="Q241" s="782"/>
      <c r="R241" s="322"/>
      <c r="S241" s="330" t="str">
        <f>IF(ISBLANK(A242),"",A242)</f>
        <v/>
      </c>
      <c r="T241" s="327" t="s">
        <v>490</v>
      </c>
      <c r="U241" s="322"/>
      <c r="V241" s="322"/>
      <c r="W241" s="322"/>
      <c r="X241" s="322"/>
      <c r="Y241" s="322"/>
      <c r="Z241" s="322"/>
      <c r="AA241" s="322"/>
      <c r="AB241" s="322"/>
      <c r="AC241" s="322"/>
      <c r="AD241" s="340"/>
      <c r="AE241" s="249"/>
      <c r="AF241" s="249"/>
      <c r="AG241" s="249"/>
      <c r="AH241" s="249"/>
      <c r="AI241" s="249"/>
      <c r="AJ241" s="249"/>
      <c r="AK241" s="249"/>
      <c r="AL241" s="249"/>
      <c r="AM241" s="249"/>
      <c r="AN241" s="249"/>
      <c r="AO241" s="249"/>
      <c r="AP241" s="249"/>
      <c r="AQ241" s="249"/>
      <c r="AR241" s="249"/>
      <c r="AS241" s="249"/>
      <c r="AT241" s="249"/>
      <c r="AU241" s="249"/>
      <c r="AV241" s="249"/>
      <c r="AW241" s="249"/>
      <c r="AX241" s="249"/>
      <c r="AY241" s="249"/>
    </row>
    <row r="242" spans="1:51" ht="26.25" customHeight="1" x14ac:dyDescent="0.2">
      <c r="A242" s="862"/>
      <c r="B242" s="845"/>
      <c r="C242" s="845"/>
      <c r="D242" s="845"/>
      <c r="E242" s="845"/>
      <c r="F242" s="845"/>
      <c r="G242" s="845"/>
      <c r="H242" s="845"/>
      <c r="I242" s="845"/>
      <c r="J242" s="845"/>
      <c r="K242" s="845"/>
      <c r="L242" s="845"/>
      <c r="M242" s="845"/>
      <c r="N242" s="845"/>
      <c r="O242" s="845"/>
      <c r="P242" s="845"/>
      <c r="Q242" s="863"/>
      <c r="R242" s="322"/>
      <c r="S242" s="322"/>
      <c r="T242" s="322"/>
      <c r="U242" s="322"/>
      <c r="V242" s="322"/>
      <c r="W242" s="322"/>
      <c r="X242" s="322"/>
      <c r="Y242" s="322"/>
      <c r="Z242" s="322"/>
      <c r="AA242" s="322"/>
      <c r="AB242" s="322"/>
      <c r="AC242" s="322"/>
      <c r="AD242" s="340"/>
      <c r="AE242" s="249"/>
      <c r="AF242" s="249"/>
      <c r="AG242" s="249"/>
      <c r="AH242" s="249"/>
      <c r="AI242" s="249"/>
      <c r="AJ242" s="249"/>
      <c r="AK242" s="249"/>
      <c r="AL242" s="249"/>
      <c r="AM242" s="249"/>
      <c r="AN242" s="249"/>
      <c r="AO242" s="249"/>
      <c r="AP242" s="249"/>
      <c r="AQ242" s="249"/>
      <c r="AR242" s="249"/>
      <c r="AS242" s="249"/>
      <c r="AT242" s="249"/>
      <c r="AU242" s="249"/>
      <c r="AV242" s="249"/>
      <c r="AW242" s="249"/>
      <c r="AX242" s="249"/>
    </row>
    <row r="243" spans="1:51" ht="26.25" customHeight="1" x14ac:dyDescent="0.2">
      <c r="A243" s="864"/>
      <c r="B243" s="865"/>
      <c r="C243" s="865"/>
      <c r="D243" s="865"/>
      <c r="E243" s="865"/>
      <c r="F243" s="865"/>
      <c r="G243" s="865"/>
      <c r="H243" s="865"/>
      <c r="I243" s="865"/>
      <c r="J243" s="865"/>
      <c r="K243" s="865"/>
      <c r="L243" s="865"/>
      <c r="M243" s="865"/>
      <c r="N243" s="865"/>
      <c r="O243" s="865"/>
      <c r="P243" s="865"/>
      <c r="Q243" s="866"/>
      <c r="R243" s="322"/>
      <c r="S243" s="322"/>
      <c r="T243" s="322"/>
      <c r="U243" s="322"/>
      <c r="V243" s="322"/>
      <c r="W243" s="322"/>
      <c r="X243" s="322"/>
      <c r="Y243" s="322"/>
      <c r="Z243" s="322"/>
      <c r="AA243" s="322"/>
      <c r="AB243" s="322"/>
      <c r="AC243" s="322"/>
      <c r="AD243" s="340"/>
      <c r="AE243" s="249"/>
      <c r="AF243" s="249"/>
      <c r="AG243" s="249"/>
      <c r="AH243" s="249"/>
      <c r="AI243" s="249"/>
      <c r="AJ243" s="249"/>
      <c r="AK243" s="249"/>
      <c r="AL243" s="249"/>
      <c r="AM243" s="249"/>
      <c r="AN243" s="249"/>
      <c r="AO243" s="249"/>
      <c r="AP243" s="249"/>
      <c r="AQ243" s="249"/>
      <c r="AR243" s="249"/>
      <c r="AS243" s="249"/>
      <c r="AT243" s="249"/>
      <c r="AU243" s="249"/>
      <c r="AV243" s="249"/>
      <c r="AW243" s="249"/>
      <c r="AX243" s="249"/>
    </row>
    <row r="244" spans="1:51" ht="26.25" customHeight="1" x14ac:dyDescent="0.2">
      <c r="A244" s="885" t="s">
        <v>514</v>
      </c>
      <c r="B244" s="886"/>
      <c r="C244" s="886"/>
      <c r="D244" s="886"/>
      <c r="E244" s="886"/>
      <c r="F244" s="886"/>
      <c r="G244" s="886"/>
      <c r="H244" s="886"/>
      <c r="I244" s="886"/>
      <c r="J244" s="886"/>
      <c r="K244" s="886"/>
      <c r="L244" s="886"/>
      <c r="M244" s="886"/>
      <c r="N244" s="886"/>
      <c r="O244" s="886"/>
      <c r="P244" s="886"/>
      <c r="Q244" s="887"/>
      <c r="R244" s="324"/>
      <c r="S244" s="324"/>
      <c r="T244" s="324"/>
      <c r="U244" s="324"/>
      <c r="V244" s="324"/>
      <c r="W244" s="322"/>
      <c r="X244" s="340"/>
      <c r="Y244" s="340"/>
      <c r="Z244" s="340"/>
      <c r="AA244" s="332"/>
      <c r="AB244" s="332"/>
      <c r="AC244" s="332"/>
      <c r="AD244" s="340"/>
      <c r="AE244" s="249"/>
      <c r="AF244" s="249"/>
      <c r="AG244" s="249"/>
      <c r="AH244" s="249"/>
      <c r="AI244" s="249"/>
      <c r="AJ244" s="249"/>
      <c r="AK244" s="249"/>
      <c r="AL244" s="249"/>
      <c r="AM244" s="249"/>
      <c r="AN244" s="249"/>
      <c r="AO244" s="249"/>
      <c r="AP244" s="249"/>
      <c r="AQ244" s="249"/>
      <c r="AR244" s="249"/>
      <c r="AS244" s="249"/>
      <c r="AT244" s="249"/>
      <c r="AU244" s="249"/>
      <c r="AV244" s="249"/>
      <c r="AW244" s="249"/>
      <c r="AX244" s="249"/>
    </row>
    <row r="245" spans="1:51" ht="26.25" customHeight="1" x14ac:dyDescent="0.2">
      <c r="A245" s="862"/>
      <c r="B245" s="845"/>
      <c r="C245" s="845"/>
      <c r="D245" s="845"/>
      <c r="E245" s="845"/>
      <c r="F245" s="845"/>
      <c r="G245" s="845"/>
      <c r="H245" s="845"/>
      <c r="I245" s="845"/>
      <c r="J245" s="845"/>
      <c r="K245" s="845"/>
      <c r="L245" s="845"/>
      <c r="M245" s="845"/>
      <c r="N245" s="845"/>
      <c r="O245" s="845"/>
      <c r="P245" s="845"/>
      <c r="Q245" s="846"/>
      <c r="R245" s="322"/>
      <c r="S245" s="330" t="str">
        <f>IF(ISBLANK(A245),"",A245)</f>
        <v/>
      </c>
      <c r="T245" s="289" t="s">
        <v>36</v>
      </c>
      <c r="U245" s="322"/>
      <c r="V245" s="322"/>
      <c r="W245" s="322"/>
      <c r="X245" s="320"/>
      <c r="Y245" s="320"/>
      <c r="Z245" s="320"/>
      <c r="AA245" s="338"/>
      <c r="AB245" s="338"/>
      <c r="AC245" s="338"/>
      <c r="AD245" s="286"/>
    </row>
    <row r="246" spans="1:51" ht="26.25" customHeight="1" thickBot="1" x14ac:dyDescent="0.25">
      <c r="A246" s="856"/>
      <c r="B246" s="857"/>
      <c r="C246" s="857"/>
      <c r="D246" s="857"/>
      <c r="E246" s="857"/>
      <c r="F246" s="857"/>
      <c r="G246" s="857"/>
      <c r="H246" s="857"/>
      <c r="I246" s="857"/>
      <c r="J246" s="857"/>
      <c r="K246" s="857"/>
      <c r="L246" s="857"/>
      <c r="M246" s="857"/>
      <c r="N246" s="857"/>
      <c r="O246" s="857"/>
      <c r="P246" s="857"/>
      <c r="Q246" s="858"/>
      <c r="R246" s="322"/>
      <c r="S246" s="322"/>
      <c r="T246" s="289"/>
      <c r="U246" s="322"/>
      <c r="V246" s="322"/>
      <c r="W246" s="322"/>
      <c r="X246" s="322"/>
      <c r="Y246" s="322"/>
      <c r="Z246" s="322"/>
      <c r="AA246" s="340"/>
      <c r="AB246" s="340"/>
      <c r="AC246" s="340"/>
      <c r="AD246" s="286"/>
      <c r="AL246" s="266"/>
    </row>
    <row r="247" spans="1:51" ht="26.25" customHeight="1" x14ac:dyDescent="0.2">
      <c r="A247" s="850" t="s">
        <v>504</v>
      </c>
      <c r="B247" s="851"/>
      <c r="C247" s="851"/>
      <c r="D247" s="851"/>
      <c r="E247" s="851"/>
      <c r="F247" s="851"/>
      <c r="G247" s="851"/>
      <c r="H247" s="851"/>
      <c r="I247" s="851"/>
      <c r="J247" s="851"/>
      <c r="K247" s="851"/>
      <c r="L247" s="851"/>
      <c r="M247" s="851"/>
      <c r="N247" s="851"/>
      <c r="O247" s="851"/>
      <c r="P247" s="851"/>
      <c r="Q247" s="852"/>
      <c r="R247" s="320"/>
      <c r="S247" s="324" t="s">
        <v>540</v>
      </c>
      <c r="T247" s="320"/>
      <c r="U247" s="320"/>
      <c r="V247" s="320"/>
      <c r="W247" s="322"/>
      <c r="X247" s="322"/>
      <c r="Y247" s="322"/>
      <c r="Z247" s="322"/>
      <c r="AA247" s="340"/>
      <c r="AB247" s="340"/>
      <c r="AC247" s="340"/>
      <c r="AD247" s="286"/>
      <c r="AL247" s="266"/>
    </row>
    <row r="248" spans="1:51" ht="26.25" customHeight="1" x14ac:dyDescent="0.2">
      <c r="A248" s="891" t="s">
        <v>557</v>
      </c>
      <c r="B248" s="892"/>
      <c r="C248" s="892"/>
      <c r="D248" s="892"/>
      <c r="E248" s="892"/>
      <c r="F248" s="892"/>
      <c r="G248" s="892"/>
      <c r="H248" s="892"/>
      <c r="I248" s="892"/>
      <c r="J248" s="892"/>
      <c r="K248" s="892"/>
      <c r="L248" s="893"/>
      <c r="M248" s="876"/>
      <c r="N248" s="877"/>
      <c r="O248" s="877"/>
      <c r="P248" s="877"/>
      <c r="Q248" s="878"/>
      <c r="R248" s="322"/>
      <c r="S248" s="331" t="str">
        <f>IF(ISBLANK(M248),"",VLOOKUP(M248,VImpact,2,FALSE))</f>
        <v/>
      </c>
      <c r="T248" s="327" t="s">
        <v>493</v>
      </c>
      <c r="U248" s="322"/>
      <c r="V248" s="322"/>
      <c r="W248" s="340"/>
      <c r="X248" s="322"/>
      <c r="Y248" s="322"/>
      <c r="Z248" s="322"/>
      <c r="AA248" s="340"/>
      <c r="AB248" s="340"/>
      <c r="AC248" s="340"/>
      <c r="AD248" s="340"/>
      <c r="AL248" s="308" t="str">
        <f>IF(AND(ISBLANK(D234),OR(NOT(ISBLANK(D235)),NOT(ISBLANK(D237)),NOT(ISBLANK(D238)),NOT(ISBLANK(F239)),NOT(ISBLANK(A242)))),1,"")</f>
        <v/>
      </c>
    </row>
    <row r="249" spans="1:51" ht="26.25" customHeight="1" x14ac:dyDescent="0.2">
      <c r="A249" s="859" t="s">
        <v>554</v>
      </c>
      <c r="B249" s="860"/>
      <c r="C249" s="860"/>
      <c r="D249" s="860"/>
      <c r="E249" s="860"/>
      <c r="F249" s="860"/>
      <c r="G249" s="860"/>
      <c r="H249" s="860"/>
      <c r="I249" s="860"/>
      <c r="J249" s="860"/>
      <c r="K249" s="860"/>
      <c r="L249" s="861"/>
      <c r="M249" s="876"/>
      <c r="N249" s="877"/>
      <c r="O249" s="877"/>
      <c r="P249" s="877"/>
      <c r="Q249" s="878"/>
      <c r="R249" s="322"/>
      <c r="S249" s="331" t="str">
        <f>IF(ISBLANK(M249),"",VLOOKUP(M249,VEvidence,2,FALSE))</f>
        <v/>
      </c>
      <c r="T249" s="307" t="s">
        <v>494</v>
      </c>
      <c r="U249" s="322"/>
      <c r="V249" s="322"/>
      <c r="W249" s="320"/>
      <c r="X249" s="322"/>
      <c r="Y249" s="322"/>
      <c r="Z249" s="322"/>
      <c r="AA249" s="340"/>
      <c r="AB249" s="340"/>
      <c r="AC249" s="340"/>
      <c r="AD249" s="340"/>
      <c r="AL249" s="308" t="str">
        <f>IF(AND(ISBLANK(D235),OR(NOT(ISBLANK(D234)),NOT(ISBLANK(D237)),NOT(ISBLANK(D238)),NOT(ISBLANK(F239)),NOT(ISBLANK(A242)))),1,"")</f>
        <v/>
      </c>
    </row>
    <row r="250" spans="1:51" ht="26.25" customHeight="1" x14ac:dyDescent="0.2">
      <c r="A250" s="888" t="s">
        <v>512</v>
      </c>
      <c r="B250" s="889"/>
      <c r="C250" s="889"/>
      <c r="D250" s="889"/>
      <c r="E250" s="889"/>
      <c r="F250" s="889"/>
      <c r="G250" s="889"/>
      <c r="H250" s="889"/>
      <c r="I250" s="889"/>
      <c r="J250" s="889"/>
      <c r="K250" s="889"/>
      <c r="L250" s="889"/>
      <c r="M250" s="889"/>
      <c r="N250" s="889"/>
      <c r="O250" s="889"/>
      <c r="P250" s="889"/>
      <c r="Q250" s="890"/>
      <c r="R250" s="322"/>
      <c r="S250" s="330" t="str">
        <f>IF(ISBLANK(A251),"",A251)</f>
        <v/>
      </c>
      <c r="T250" s="289" t="s">
        <v>35</v>
      </c>
      <c r="U250" s="322"/>
      <c r="V250" s="322"/>
      <c r="W250" s="322"/>
      <c r="X250" s="322"/>
      <c r="Y250" s="322"/>
      <c r="Z250" s="322"/>
      <c r="AA250" s="340"/>
      <c r="AB250" s="340"/>
      <c r="AC250" s="340"/>
      <c r="AD250" s="340"/>
      <c r="AL250" s="308"/>
    </row>
    <row r="251" spans="1:51" ht="26.25" customHeight="1" x14ac:dyDescent="0.2">
      <c r="A251" s="862"/>
      <c r="B251" s="845"/>
      <c r="C251" s="845"/>
      <c r="D251" s="845"/>
      <c r="E251" s="845"/>
      <c r="F251" s="845"/>
      <c r="G251" s="845"/>
      <c r="H251" s="845"/>
      <c r="I251" s="845"/>
      <c r="J251" s="845"/>
      <c r="K251" s="845"/>
      <c r="L251" s="845"/>
      <c r="M251" s="845"/>
      <c r="N251" s="845"/>
      <c r="O251" s="845"/>
      <c r="P251" s="845"/>
      <c r="Q251" s="846"/>
      <c r="R251" s="322"/>
      <c r="S251" s="322"/>
      <c r="T251" s="333"/>
      <c r="U251" s="322"/>
      <c r="V251" s="322"/>
      <c r="W251" s="322"/>
      <c r="X251" s="322"/>
      <c r="Y251" s="322"/>
      <c r="Z251" s="322"/>
      <c r="AA251" s="293"/>
      <c r="AB251" s="293"/>
      <c r="AC251" s="293"/>
      <c r="AD251" s="346"/>
      <c r="AL251" s="308" t="str">
        <f>IF(AND(ISBLANK(D237),OR(NOT(ISBLANK(D234)),NOT(ISBLANK(D235)),NOT(ISBLANK(D238)),NOT(ISBLANK(F239)),NOT(ISBLANK(A242)))),1,"")</f>
        <v/>
      </c>
    </row>
    <row r="252" spans="1:51" ht="26.25" customHeight="1" x14ac:dyDescent="0.2">
      <c r="A252" s="882"/>
      <c r="B252" s="883"/>
      <c r="C252" s="883"/>
      <c r="D252" s="883"/>
      <c r="E252" s="883"/>
      <c r="F252" s="883"/>
      <c r="G252" s="883"/>
      <c r="H252" s="883"/>
      <c r="I252" s="883"/>
      <c r="J252" s="883"/>
      <c r="K252" s="883"/>
      <c r="L252" s="883"/>
      <c r="M252" s="883"/>
      <c r="N252" s="883"/>
      <c r="O252" s="883"/>
      <c r="P252" s="883"/>
      <c r="Q252" s="884"/>
      <c r="R252" s="322"/>
      <c r="S252" s="322"/>
      <c r="T252" s="333"/>
      <c r="U252" s="322"/>
      <c r="V252" s="322"/>
      <c r="W252" s="322"/>
      <c r="X252" s="322"/>
      <c r="Y252" s="322"/>
      <c r="Z252" s="322"/>
      <c r="AA252" s="340"/>
      <c r="AB252" s="340"/>
      <c r="AC252" s="340"/>
      <c r="AD252" s="340"/>
      <c r="AL252" s="308" t="str">
        <f>IF(AND(ISBLANK(D238),OR(NOT(ISBLANK(D234)),NOT(ISBLANK(D235)),NOT(ISBLANK(D237)),NOT(ISBLANK(F239)),NOT(ISBLANK(A242)))),1,"")</f>
        <v/>
      </c>
    </row>
    <row r="253" spans="1:51" ht="26.25" customHeight="1" x14ac:dyDescent="0.2">
      <c r="A253" s="867" t="s">
        <v>513</v>
      </c>
      <c r="B253" s="868"/>
      <c r="C253" s="868"/>
      <c r="D253" s="868"/>
      <c r="E253" s="868"/>
      <c r="F253" s="868"/>
      <c r="G253" s="868"/>
      <c r="H253" s="868"/>
      <c r="I253" s="868"/>
      <c r="J253" s="868"/>
      <c r="K253" s="868"/>
      <c r="L253" s="868"/>
      <c r="M253" s="868"/>
      <c r="N253" s="868"/>
      <c r="O253" s="868"/>
      <c r="P253" s="868"/>
      <c r="Q253" s="869"/>
      <c r="R253" s="322"/>
      <c r="S253" s="330" t="str">
        <f>IF(ISBLANK(A254),"",A254)</f>
        <v/>
      </c>
      <c r="T253" s="333" t="s">
        <v>542</v>
      </c>
      <c r="U253" s="322"/>
      <c r="V253" s="322"/>
      <c r="W253" s="322"/>
      <c r="X253" s="322"/>
      <c r="Y253" s="322"/>
      <c r="Z253" s="322"/>
      <c r="AA253" s="340"/>
      <c r="AB253" s="340"/>
      <c r="AC253" s="340"/>
      <c r="AD253" s="340"/>
      <c r="AL253" s="308" t="str">
        <f>IF(AND(ISBLANK(F239),OR(NOT(ISBLANK(D234)),NOT(ISBLANK(D235)),NOT(ISBLANK(D237)),NOT(ISBLANK(D238)),NOT(ISBLANK(A242)))),1,"")</f>
        <v/>
      </c>
    </row>
    <row r="254" spans="1:51" ht="26.25" customHeight="1" x14ac:dyDescent="0.2">
      <c r="A254" s="862"/>
      <c r="B254" s="845"/>
      <c r="C254" s="845"/>
      <c r="D254" s="845"/>
      <c r="E254" s="845"/>
      <c r="F254" s="845"/>
      <c r="G254" s="845"/>
      <c r="H254" s="845"/>
      <c r="I254" s="845"/>
      <c r="J254" s="845"/>
      <c r="K254" s="845"/>
      <c r="L254" s="845"/>
      <c r="M254" s="845"/>
      <c r="N254" s="845"/>
      <c r="O254" s="845"/>
      <c r="P254" s="845"/>
      <c r="Q254" s="863"/>
      <c r="R254" s="322"/>
      <c r="U254" s="322"/>
      <c r="V254" s="322"/>
      <c r="W254" s="322"/>
      <c r="X254" s="322"/>
      <c r="Y254" s="322"/>
      <c r="Z254" s="322"/>
      <c r="AA254" s="340"/>
      <c r="AB254" s="340"/>
      <c r="AC254" s="340"/>
      <c r="AD254" s="286"/>
      <c r="AL254" s="308"/>
    </row>
    <row r="255" spans="1:51" ht="26.25" customHeight="1" thickBot="1" x14ac:dyDescent="0.3">
      <c r="A255" s="847"/>
      <c r="B255" s="848"/>
      <c r="C255" s="848"/>
      <c r="D255" s="848"/>
      <c r="E255" s="848"/>
      <c r="F255" s="848"/>
      <c r="G255" s="848"/>
      <c r="H255" s="848"/>
      <c r="I255" s="848"/>
      <c r="J255" s="848"/>
      <c r="K255" s="848"/>
      <c r="L255" s="848"/>
      <c r="M255" s="848"/>
      <c r="N255" s="848"/>
      <c r="O255" s="848"/>
      <c r="P255" s="848"/>
      <c r="Q255" s="849"/>
      <c r="R255" s="322"/>
      <c r="S255" s="322"/>
      <c r="T255" s="322"/>
      <c r="U255" s="322"/>
      <c r="V255" s="322"/>
      <c r="W255" s="322"/>
      <c r="X255" s="332"/>
      <c r="Y255" s="332"/>
      <c r="Z255" s="332"/>
      <c r="AA255" s="293"/>
      <c r="AB255" s="293"/>
      <c r="AC255" s="293"/>
      <c r="AD255" s="328"/>
      <c r="AL255" s="308"/>
    </row>
    <row r="256" spans="1:51" ht="26.25" customHeight="1" x14ac:dyDescent="0.2">
      <c r="A256" s="841" t="s">
        <v>555</v>
      </c>
      <c r="B256" s="842"/>
      <c r="C256" s="842"/>
      <c r="D256" s="842"/>
      <c r="E256" s="842"/>
      <c r="F256" s="842"/>
      <c r="G256" s="842"/>
      <c r="H256" s="842"/>
      <c r="I256" s="842"/>
      <c r="J256" s="842"/>
      <c r="K256" s="842"/>
      <c r="L256" s="842"/>
      <c r="M256" s="842"/>
      <c r="N256" s="842"/>
      <c r="O256" s="842"/>
      <c r="P256" s="842"/>
      <c r="Q256" s="843"/>
      <c r="S256" s="336" t="str">
        <f>IF(ISBLANK(A257),"",A257)</f>
        <v/>
      </c>
      <c r="T256" s="337" t="s">
        <v>556</v>
      </c>
      <c r="W256" s="322"/>
      <c r="X256" s="320"/>
      <c r="Y256" s="320"/>
      <c r="Z256" s="320"/>
      <c r="AA256" s="322"/>
      <c r="AB256" s="322"/>
      <c r="AC256" s="322"/>
      <c r="AD256" s="340"/>
      <c r="AL256" s="308" t="str">
        <f>IF(AND(ISBLANK(A242),OR(NOT(ISBLANK(D234)),NOT(ISBLANK(D235)),NOT(ISBLANK(D237)),NOT(ISBLANK(D238)),NOT(ISBLANK(F239)))),1,"")</f>
        <v/>
      </c>
    </row>
    <row r="257" spans="1:38" ht="26.25" customHeight="1" x14ac:dyDescent="0.25">
      <c r="A257" s="862"/>
      <c r="B257" s="845"/>
      <c r="C257" s="845"/>
      <c r="D257" s="845"/>
      <c r="E257" s="845"/>
      <c r="F257" s="845"/>
      <c r="G257" s="845"/>
      <c r="H257" s="845"/>
      <c r="I257" s="845"/>
      <c r="J257" s="845"/>
      <c r="K257" s="845"/>
      <c r="L257" s="845"/>
      <c r="M257" s="845"/>
      <c r="N257" s="845"/>
      <c r="O257" s="845"/>
      <c r="P257" s="845"/>
      <c r="Q257" s="846"/>
      <c r="W257" s="322"/>
      <c r="X257" s="322"/>
      <c r="Y257" s="322"/>
      <c r="Z257" s="322"/>
      <c r="AA257" s="322"/>
      <c r="AB257" s="322"/>
      <c r="AC257" s="322"/>
      <c r="AD257" s="328"/>
      <c r="AL257" s="266"/>
    </row>
    <row r="258" spans="1:38" ht="26.25" customHeight="1" thickBot="1" x14ac:dyDescent="0.3">
      <c r="A258" s="847"/>
      <c r="B258" s="848"/>
      <c r="C258" s="848"/>
      <c r="D258" s="848"/>
      <c r="E258" s="848"/>
      <c r="F258" s="848"/>
      <c r="G258" s="848"/>
      <c r="H258" s="848"/>
      <c r="I258" s="848"/>
      <c r="J258" s="848"/>
      <c r="K258" s="848"/>
      <c r="L258" s="848"/>
      <c r="M258" s="848"/>
      <c r="N258" s="848"/>
      <c r="O258" s="848"/>
      <c r="P258" s="848"/>
      <c r="Q258" s="849"/>
      <c r="R258" s="286"/>
      <c r="S258" s="286"/>
      <c r="T258" s="286"/>
      <c r="U258" s="286"/>
      <c r="V258" s="286"/>
      <c r="W258" s="322"/>
      <c r="X258" s="322"/>
      <c r="Y258" s="322"/>
      <c r="Z258" s="322"/>
      <c r="AA258" s="322"/>
      <c r="AB258" s="322"/>
      <c r="AC258" s="322"/>
      <c r="AD258" s="328"/>
      <c r="AL258" s="266"/>
    </row>
    <row r="259" spans="1:38" ht="26.25" customHeight="1" x14ac:dyDescent="0.25">
      <c r="A259" s="850" t="s">
        <v>482</v>
      </c>
      <c r="B259" s="851"/>
      <c r="C259" s="851"/>
      <c r="D259" s="851"/>
      <c r="E259" s="851"/>
      <c r="F259" s="851"/>
      <c r="G259" s="851"/>
      <c r="H259" s="851"/>
      <c r="I259" s="851"/>
      <c r="J259" s="851"/>
      <c r="K259" s="851"/>
      <c r="L259" s="851"/>
      <c r="M259" s="851"/>
      <c r="N259" s="851"/>
      <c r="O259" s="851"/>
      <c r="P259" s="851"/>
      <c r="Q259" s="852"/>
      <c r="R259" s="334"/>
      <c r="S259" s="341"/>
      <c r="T259" s="342"/>
      <c r="U259" s="334"/>
      <c r="V259" s="334"/>
      <c r="W259" s="332"/>
      <c r="X259" s="322"/>
      <c r="Y259" s="322"/>
      <c r="Z259" s="322"/>
      <c r="AA259" s="322"/>
      <c r="AB259" s="322"/>
      <c r="AC259" s="322"/>
      <c r="AD259" s="328"/>
    </row>
    <row r="260" spans="1:38" ht="26.25" customHeight="1" x14ac:dyDescent="0.25">
      <c r="A260" s="853"/>
      <c r="B260" s="854"/>
      <c r="C260" s="854"/>
      <c r="D260" s="854"/>
      <c r="E260" s="854"/>
      <c r="F260" s="854"/>
      <c r="G260" s="854"/>
      <c r="H260" s="854"/>
      <c r="I260" s="854"/>
      <c r="J260" s="854"/>
      <c r="K260" s="854"/>
      <c r="L260" s="854"/>
      <c r="M260" s="854"/>
      <c r="N260" s="854"/>
      <c r="O260" s="854"/>
      <c r="P260" s="854"/>
      <c r="Q260" s="855"/>
      <c r="R260" s="186"/>
      <c r="S260" s="343" t="str">
        <f>IF(ISBLANK(A260),"",CONCATENATE(S259,A260))</f>
        <v/>
      </c>
      <c r="T260" s="289" t="s">
        <v>37</v>
      </c>
      <c r="U260" s="186"/>
      <c r="V260" s="186"/>
      <c r="W260" s="320"/>
      <c r="X260" s="322"/>
      <c r="Y260" s="322"/>
      <c r="Z260" s="322"/>
      <c r="AA260" s="322"/>
      <c r="AB260" s="322"/>
      <c r="AC260" s="322"/>
      <c r="AD260" s="328"/>
    </row>
    <row r="261" spans="1:38" ht="26.25" customHeight="1" thickBot="1" x14ac:dyDescent="0.3">
      <c r="A261" s="856"/>
      <c r="B261" s="857"/>
      <c r="C261" s="857"/>
      <c r="D261" s="857"/>
      <c r="E261" s="857"/>
      <c r="F261" s="857"/>
      <c r="G261" s="857"/>
      <c r="H261" s="857"/>
      <c r="I261" s="857"/>
      <c r="J261" s="857"/>
      <c r="K261" s="857"/>
      <c r="L261" s="857"/>
      <c r="M261" s="857"/>
      <c r="N261" s="857"/>
      <c r="O261" s="857"/>
      <c r="P261" s="857"/>
      <c r="Q261" s="858"/>
      <c r="R261" s="186"/>
      <c r="S261" s="340"/>
      <c r="T261" s="340"/>
      <c r="U261" s="340"/>
      <c r="V261" s="340"/>
      <c r="W261" s="322"/>
      <c r="X261" s="322"/>
      <c r="Y261" s="322"/>
      <c r="Z261" s="322"/>
      <c r="AA261" s="322"/>
      <c r="AB261" s="322"/>
      <c r="AC261" s="322"/>
      <c r="AD261" s="328"/>
    </row>
    <row r="262" spans="1:38" ht="26.25" customHeight="1" x14ac:dyDescent="0.25">
      <c r="A262" s="344" t="e">
        <f>$A$1</f>
        <v>#N/A</v>
      </c>
      <c r="B262" s="340"/>
      <c r="C262" s="340"/>
      <c r="D262" s="340"/>
      <c r="E262" s="340"/>
      <c r="F262" s="340"/>
      <c r="G262" s="340"/>
      <c r="H262" s="340"/>
      <c r="I262" s="340"/>
      <c r="J262" s="340"/>
      <c r="K262" s="340"/>
      <c r="L262" s="340"/>
      <c r="M262" s="340"/>
      <c r="N262" s="340"/>
      <c r="O262" s="340"/>
      <c r="P262" s="773"/>
      <c r="Q262" s="773"/>
      <c r="R262" s="332"/>
      <c r="S262" s="332"/>
      <c r="T262" s="332"/>
      <c r="U262" s="332"/>
      <c r="V262" s="332"/>
      <c r="W262" s="322"/>
      <c r="X262" s="322"/>
      <c r="Y262" s="322"/>
      <c r="Z262" s="322"/>
      <c r="AA262" s="322"/>
      <c r="AB262" s="322"/>
      <c r="AC262" s="322"/>
      <c r="AD262" s="328"/>
    </row>
    <row r="263" spans="1:38" ht="23.45" customHeight="1" thickBot="1" x14ac:dyDescent="0.3">
      <c r="A263" s="776" t="s">
        <v>571</v>
      </c>
      <c r="B263" s="777"/>
      <c r="C263" s="777"/>
      <c r="D263" s="777"/>
      <c r="E263" s="777"/>
      <c r="F263" s="777"/>
      <c r="G263" s="777"/>
      <c r="H263" s="777"/>
      <c r="I263" s="777"/>
      <c r="J263" s="777"/>
      <c r="K263" s="777"/>
      <c r="L263" s="777"/>
      <c r="M263" s="777"/>
      <c r="N263" s="774" t="str">
        <f>$N$5</f>
        <v>2022 Report Year</v>
      </c>
      <c r="O263" s="775"/>
      <c r="P263" s="775"/>
      <c r="Q263" s="775"/>
      <c r="R263" s="338"/>
      <c r="S263" s="338"/>
      <c r="T263" s="338"/>
      <c r="U263" s="338"/>
      <c r="V263" s="338"/>
      <c r="W263" s="322"/>
      <c r="X263" s="322"/>
      <c r="Y263" s="322"/>
      <c r="Z263" s="322"/>
      <c r="AA263" s="322"/>
      <c r="AB263" s="322"/>
      <c r="AC263" s="322"/>
      <c r="AD263" s="328"/>
    </row>
    <row r="264" spans="1:38" ht="26.25" customHeight="1" x14ac:dyDescent="0.25">
      <c r="A264" s="821" t="e">
        <f>IF(AND(OR(ISNA(cap_exp_contact),TRIM(cap_exp_contact)=""),NOT(ISBLANK(code_7594))),"The Capital Expenditure Contact information has NOT been provided.  Please complete this information now.","")</f>
        <v>#N/A</v>
      </c>
      <c r="B264" s="822"/>
      <c r="C264" s="822"/>
      <c r="D264" s="822"/>
      <c r="E264" s="822"/>
      <c r="F264" s="822"/>
      <c r="G264" s="822"/>
      <c r="H264" s="822"/>
      <c r="I264" s="822"/>
      <c r="J264" s="822"/>
      <c r="K264" s="822"/>
      <c r="L264" s="822"/>
      <c r="M264" s="822"/>
      <c r="N264" s="271" t="s">
        <v>278</v>
      </c>
      <c r="O264" s="272" t="e">
        <f>'Capital Expend Detail'!$I$7</f>
        <v>#N/A</v>
      </c>
      <c r="P264" s="273" t="s">
        <v>431</v>
      </c>
      <c r="Q264" s="274" t="e">
        <f>IF(ISBLANK(Q221),"",Q221+1)</f>
        <v>#VALUE!</v>
      </c>
      <c r="R264" s="197"/>
      <c r="S264" s="340"/>
      <c r="T264" s="340"/>
      <c r="U264" s="340"/>
      <c r="V264" s="340"/>
      <c r="W264" s="322"/>
      <c r="X264" s="322"/>
      <c r="Y264" s="322"/>
      <c r="Z264" s="322"/>
      <c r="AA264" s="322"/>
      <c r="AB264" s="322"/>
      <c r="AC264" s="322"/>
      <c r="AD264" s="328"/>
    </row>
    <row r="265" spans="1:38" ht="26.25" customHeight="1" thickBot="1" x14ac:dyDescent="0.3">
      <c r="A265" s="778" t="s">
        <v>432</v>
      </c>
      <c r="B265" s="779"/>
      <c r="C265" s="779"/>
      <c r="D265" s="779"/>
      <c r="E265" s="815"/>
      <c r="F265" s="816"/>
      <c r="G265" s="816"/>
      <c r="H265" s="816"/>
      <c r="I265" s="816"/>
      <c r="J265" s="816"/>
      <c r="K265" s="816"/>
      <c r="L265" s="817"/>
      <c r="M265" s="276"/>
      <c r="N265" s="823" t="s">
        <v>443</v>
      </c>
      <c r="O265" s="824"/>
      <c r="P265" s="824"/>
      <c r="Q265" s="825"/>
      <c r="R265" s="197"/>
      <c r="S265" s="277" t="str">
        <f>IF(ISBLANK(E265),"",E265)</f>
        <v/>
      </c>
      <c r="T265" s="278" t="s">
        <v>407</v>
      </c>
      <c r="U265" s="197"/>
      <c r="V265" s="197"/>
      <c r="W265" s="322"/>
      <c r="X265" s="322"/>
      <c r="Y265" s="322"/>
      <c r="Z265" s="322"/>
      <c r="AA265" s="340"/>
      <c r="AB265" s="340"/>
      <c r="AC265" s="340"/>
      <c r="AD265" s="328"/>
    </row>
    <row r="266" spans="1:38" ht="26.25" customHeight="1" x14ac:dyDescent="0.25">
      <c r="A266" s="833" t="s">
        <v>433</v>
      </c>
      <c r="B266" s="834"/>
      <c r="C266" s="834"/>
      <c r="D266" s="835"/>
      <c r="E266" s="788"/>
      <c r="F266" s="789"/>
      <c r="G266" s="789"/>
      <c r="H266" s="789"/>
      <c r="I266" s="789"/>
      <c r="J266" s="789"/>
      <c r="K266" s="789"/>
      <c r="L266" s="790"/>
      <c r="M266" s="793" t="str">
        <f>IF(AND(ISBLANK(E266),OR(NOT(ISBLANK(E267)),NOT(ISBLANK(E268)),NOT(ISBLANK(E269)),NOT(ISBLANK(I270)),NOT(ISBLANK(A272)))),"This information is required.","")</f>
        <v/>
      </c>
      <c r="N266" s="794"/>
      <c r="O266" s="794"/>
      <c r="P266" s="794"/>
      <c r="Q266" s="279"/>
      <c r="R266" s="197"/>
      <c r="S266" s="277" t="str">
        <f>IF(ISBLANK(E266),"",E266)</f>
        <v/>
      </c>
      <c r="T266" s="278" t="s">
        <v>27</v>
      </c>
      <c r="U266" s="197"/>
      <c r="V266" s="197"/>
      <c r="W266" s="322"/>
      <c r="X266" s="340"/>
      <c r="Y266" s="340"/>
      <c r="Z266" s="340"/>
      <c r="AA266" s="320"/>
      <c r="AB266" s="320"/>
      <c r="AC266" s="320"/>
      <c r="AD266" s="328"/>
    </row>
    <row r="267" spans="1:38" ht="26.25" customHeight="1" x14ac:dyDescent="0.2">
      <c r="A267" s="783" t="s">
        <v>434</v>
      </c>
      <c r="B267" s="784"/>
      <c r="C267" s="784"/>
      <c r="D267" s="785"/>
      <c r="E267" s="788"/>
      <c r="F267" s="789"/>
      <c r="G267" s="789"/>
      <c r="H267" s="789"/>
      <c r="I267" s="789"/>
      <c r="J267" s="789"/>
      <c r="K267" s="789"/>
      <c r="L267" s="790"/>
      <c r="M267" s="793" t="str">
        <f>IF(AND(ISBLANK(E267),OR(NOT(ISBLANK(E266)),NOT(ISBLANK(E268)),NOT(ISBLANK(E269)),NOT(ISBLANK(I270)),NOT(ISBLANK(A272)))),"This information is required.","")</f>
        <v/>
      </c>
      <c r="N267" s="794"/>
      <c r="O267" s="794"/>
      <c r="P267" s="794"/>
      <c r="Q267" s="279"/>
      <c r="R267" s="197"/>
      <c r="S267" s="277" t="str">
        <f>IF(ISBLANK(E267),"",E267)</f>
        <v/>
      </c>
      <c r="T267" s="278" t="s">
        <v>28</v>
      </c>
      <c r="U267" s="197"/>
      <c r="V267" s="197"/>
      <c r="W267" s="322"/>
      <c r="X267" s="324"/>
      <c r="Y267" s="324"/>
      <c r="Z267" s="324"/>
      <c r="AA267" s="322"/>
      <c r="AB267" s="322"/>
      <c r="AC267" s="322"/>
      <c r="AD267" s="340"/>
    </row>
    <row r="268" spans="1:38" ht="26.25" customHeight="1" x14ac:dyDescent="0.25">
      <c r="A268" s="873" t="s">
        <v>436</v>
      </c>
      <c r="B268" s="874"/>
      <c r="C268" s="874"/>
      <c r="D268" s="875"/>
      <c r="E268" s="813"/>
      <c r="F268" s="814"/>
      <c r="G268" s="786" t="s">
        <v>437</v>
      </c>
      <c r="H268" s="786"/>
      <c r="I268" s="786"/>
      <c r="J268" s="786"/>
      <c r="K268" s="786"/>
      <c r="L268" s="786"/>
      <c r="M268" s="787" t="str">
        <f>IF(AND(ISBLANK(E268),OR(NOT(ISBLANK(E266)),NOT(ISBLANK(E267)),NOT(ISBLANK(E269)),NOT(ISBLANK(I270)),NOT(ISBLANK(A272)))),"This information is required.","")</f>
        <v/>
      </c>
      <c r="N268" s="711"/>
      <c r="O268" s="711"/>
      <c r="P268" s="711"/>
      <c r="Q268" s="280"/>
      <c r="R268" s="281"/>
      <c r="S268" s="282" t="str">
        <f>IF(ISBLANK(E268),"",E268)</f>
        <v/>
      </c>
      <c r="T268" s="283" t="s">
        <v>30</v>
      </c>
      <c r="U268" s="281"/>
      <c r="V268" s="281"/>
      <c r="W268" s="322"/>
      <c r="X268" s="322"/>
      <c r="Y268" s="322"/>
      <c r="Z268" s="322"/>
      <c r="AA268" s="322"/>
      <c r="AB268" s="322"/>
      <c r="AC268" s="322"/>
      <c r="AD268" s="328"/>
    </row>
    <row r="269" spans="1:38" ht="26.25" customHeight="1" x14ac:dyDescent="0.25">
      <c r="A269" s="783" t="s">
        <v>435</v>
      </c>
      <c r="B269" s="784"/>
      <c r="C269" s="784"/>
      <c r="D269" s="785"/>
      <c r="E269" s="828"/>
      <c r="F269" s="829"/>
      <c r="G269" s="284"/>
      <c r="H269" s="285"/>
      <c r="I269" s="286"/>
      <c r="J269" s="281"/>
      <c r="K269" s="281"/>
      <c r="L269" s="281"/>
      <c r="M269" s="711" t="str">
        <f>IF(AND(ISBLANK(E269),OR(NOT(ISBLANK(E266)),NOT(ISBLANK(E267)),NOT(ISBLANK(E268)),NOT(ISBLANK(I270)),NOT(ISBLANK(A272)))),"This information is required.","")</f>
        <v/>
      </c>
      <c r="N269" s="711"/>
      <c r="O269" s="711"/>
      <c r="P269" s="711"/>
      <c r="Q269" s="280"/>
      <c r="R269" s="287"/>
      <c r="S269" s="288" t="str">
        <f>IF(ISBLANK(E269),"",E269)</f>
        <v/>
      </c>
      <c r="T269" s="289" t="s">
        <v>31</v>
      </c>
      <c r="U269" s="287"/>
      <c r="V269" s="287"/>
      <c r="W269" s="322"/>
      <c r="X269" s="322"/>
      <c r="Y269" s="322"/>
      <c r="Z269" s="322"/>
      <c r="AA269" s="322"/>
      <c r="AB269" s="322"/>
      <c r="AC269" s="322"/>
      <c r="AD269" s="328"/>
    </row>
    <row r="270" spans="1:38" ht="26.25" customHeight="1" thickBot="1" x14ac:dyDescent="0.3">
      <c r="A270" s="797" t="s">
        <v>426</v>
      </c>
      <c r="B270" s="798"/>
      <c r="C270" s="798"/>
      <c r="D270" s="798"/>
      <c r="E270" s="799"/>
      <c r="F270" s="799"/>
      <c r="G270" s="799"/>
      <c r="H270" s="799"/>
      <c r="I270" s="832"/>
      <c r="J270" s="832"/>
      <c r="K270" s="795" t="s">
        <v>481</v>
      </c>
      <c r="L270" s="796"/>
      <c r="M270" s="827" t="str">
        <f>IF(AND(ISBLANK(I270),OR(NOT(ISBLANK(E266)),NOT(ISBLANK(E267)),NOT(ISBLANK(E268)),NOT(ISBLANK(E269)),NOT(ISBLANK(A272)))),"This information is required!","")</f>
        <v/>
      </c>
      <c r="N270" s="827"/>
      <c r="O270" s="827"/>
      <c r="P270" s="827"/>
      <c r="Q270" s="290"/>
      <c r="R270" s="287"/>
      <c r="S270" s="288" t="str">
        <f>IF(ISBLANK(I270),"",I270)</f>
        <v/>
      </c>
      <c r="T270" s="289" t="s">
        <v>32</v>
      </c>
      <c r="U270" s="291"/>
      <c r="V270" s="291"/>
      <c r="W270" s="340"/>
      <c r="X270" s="322"/>
      <c r="Y270" s="322"/>
      <c r="Z270" s="322"/>
      <c r="AA270" s="322"/>
      <c r="AB270" s="322"/>
      <c r="AC270" s="322"/>
      <c r="AD270" s="328"/>
    </row>
    <row r="271" spans="1:38" ht="26.25" customHeight="1" x14ac:dyDescent="0.25">
      <c r="A271" s="841" t="s">
        <v>553</v>
      </c>
      <c r="B271" s="842"/>
      <c r="C271" s="842"/>
      <c r="D271" s="842"/>
      <c r="E271" s="842"/>
      <c r="F271" s="842"/>
      <c r="G271" s="842"/>
      <c r="H271" s="842"/>
      <c r="I271" s="842"/>
      <c r="J271" s="909"/>
      <c r="K271" s="907" t="s">
        <v>646</v>
      </c>
      <c r="L271" s="907"/>
      <c r="M271" s="907"/>
      <c r="N271" s="907"/>
      <c r="O271" s="830" t="s">
        <v>535</v>
      </c>
      <c r="P271" s="830"/>
      <c r="Q271" s="831"/>
      <c r="R271" s="293"/>
      <c r="S271" s="288" t="str">
        <f>IF(ISBLANK(A272),"",A272)</f>
        <v/>
      </c>
      <c r="T271" s="289" t="s">
        <v>33</v>
      </c>
      <c r="U271" s="294"/>
      <c r="V271" s="294"/>
      <c r="W271" s="324"/>
      <c r="X271" s="322"/>
      <c r="Y271" s="322"/>
      <c r="Z271" s="322"/>
      <c r="AA271" s="322"/>
      <c r="AB271" s="322"/>
      <c r="AC271" s="322"/>
      <c r="AD271" s="328"/>
    </row>
    <row r="272" spans="1:38" ht="26.25" customHeight="1" x14ac:dyDescent="0.25">
      <c r="A272" s="853"/>
      <c r="B272" s="854"/>
      <c r="C272" s="854"/>
      <c r="D272" s="854"/>
      <c r="E272" s="854"/>
      <c r="F272" s="854"/>
      <c r="G272" s="854"/>
      <c r="H272" s="854"/>
      <c r="I272" s="854"/>
      <c r="J272" s="902"/>
      <c r="K272" s="908"/>
      <c r="L272" s="908"/>
      <c r="M272" s="908"/>
      <c r="N272" s="908"/>
      <c r="O272" s="295"/>
      <c r="P272" s="296" t="s">
        <v>43</v>
      </c>
      <c r="Q272" s="297" t="s">
        <v>44</v>
      </c>
      <c r="R272" s="293"/>
      <c r="S272" s="288" t="str">
        <f>IF(ISBLANK(A275),"",A275)</f>
        <v/>
      </c>
      <c r="T272" s="298" t="s">
        <v>34</v>
      </c>
      <c r="U272" s="294"/>
      <c r="V272" s="294"/>
      <c r="W272" s="322"/>
      <c r="X272" s="322"/>
      <c r="Y272" s="322"/>
      <c r="Z272" s="322"/>
      <c r="AA272" s="322"/>
      <c r="AB272" s="322"/>
      <c r="AC272" s="322"/>
      <c r="AD272" s="328"/>
    </row>
    <row r="273" spans="1:30" ht="26.25" customHeight="1" x14ac:dyDescent="0.25">
      <c r="A273" s="882"/>
      <c r="B273" s="883"/>
      <c r="C273" s="883"/>
      <c r="D273" s="883"/>
      <c r="E273" s="883"/>
      <c r="F273" s="883"/>
      <c r="G273" s="883"/>
      <c r="H273" s="883"/>
      <c r="I273" s="883"/>
      <c r="J273" s="903"/>
      <c r="K273" s="899" t="s">
        <v>516</v>
      </c>
      <c r="L273" s="900"/>
      <c r="M273" s="900"/>
      <c r="N273" s="900"/>
      <c r="O273" s="901"/>
      <c r="P273" s="304"/>
      <c r="Q273" s="305"/>
      <c r="R273" s="291" t="str">
        <f>IF(COUNTBLANK(P273:Q273)=2,"Please enter response.",IF(COUNTBLANK(P273:Q273)&lt;&gt;1,"Please VERIFY response.",""))</f>
        <v>Please enter response.</v>
      </c>
      <c r="S273" s="306" t="str">
        <f>IF(AND(ISBLANK(P273),ISBLANK(Q273)),"",IF(ISBLANK(P273),0,1))</f>
        <v/>
      </c>
      <c r="T273" s="307" t="s">
        <v>563</v>
      </c>
      <c r="U273" s="266"/>
      <c r="V273" s="266"/>
      <c r="W273" s="322"/>
      <c r="X273" s="322"/>
      <c r="Y273" s="322"/>
      <c r="Z273" s="322"/>
      <c r="AA273" s="322"/>
      <c r="AB273" s="322"/>
      <c r="AC273" s="322"/>
      <c r="AD273" s="328"/>
    </row>
    <row r="274" spans="1:30" ht="26.25" customHeight="1" x14ac:dyDescent="0.25">
      <c r="A274" s="904" t="s">
        <v>558</v>
      </c>
      <c r="B274" s="905"/>
      <c r="C274" s="905"/>
      <c r="D274" s="905"/>
      <c r="E274" s="905"/>
      <c r="F274" s="905"/>
      <c r="G274" s="905"/>
      <c r="H274" s="905"/>
      <c r="I274" s="905"/>
      <c r="J274" s="906"/>
      <c r="K274" s="899" t="s">
        <v>517</v>
      </c>
      <c r="L274" s="900"/>
      <c r="M274" s="900"/>
      <c r="N274" s="900"/>
      <c r="O274" s="901"/>
      <c r="P274" s="304"/>
      <c r="Q274" s="305"/>
      <c r="R274" s="291" t="str">
        <f>IF(COUNTBLANK(P274:Q274)=2,"Please enter response.",IF(COUNTBLANK(P274:Q274)&lt;&gt;1,"Please VERIFY response.",""))</f>
        <v>Please enter response.</v>
      </c>
      <c r="S274" s="306" t="str">
        <f>IF(AND(ISBLANK(P274),ISBLANK(Q274)),"",IF(ISBLANK(P274),0,1))</f>
        <v/>
      </c>
      <c r="T274" s="307" t="s">
        <v>564</v>
      </c>
      <c r="U274" s="266"/>
      <c r="V274" s="266"/>
      <c r="W274" s="322"/>
      <c r="X274" s="322"/>
      <c r="Y274" s="322"/>
      <c r="Z274" s="322"/>
      <c r="AA274" s="322"/>
      <c r="AB274" s="322"/>
      <c r="AC274" s="322"/>
      <c r="AD274" s="328"/>
    </row>
    <row r="275" spans="1:30" ht="26.25" customHeight="1" x14ac:dyDescent="0.25">
      <c r="A275" s="853"/>
      <c r="B275" s="854"/>
      <c r="C275" s="854"/>
      <c r="D275" s="854"/>
      <c r="E275" s="854"/>
      <c r="F275" s="854"/>
      <c r="G275" s="854"/>
      <c r="H275" s="854"/>
      <c r="I275" s="854"/>
      <c r="J275" s="902"/>
      <c r="K275" s="899" t="s">
        <v>518</v>
      </c>
      <c r="L275" s="900"/>
      <c r="M275" s="900"/>
      <c r="N275" s="900"/>
      <c r="O275" s="901"/>
      <c r="P275" s="304"/>
      <c r="Q275" s="305"/>
      <c r="R275" s="291" t="str">
        <f>IF(COUNTBLANK(P275:Q275)=2,"Please enter response.",IF(COUNTBLANK(P275:Q275)&lt;&gt;1,"Please VERIFY response.",""))</f>
        <v>Please enter response.</v>
      </c>
      <c r="S275" s="306" t="str">
        <f>IF(AND(ISBLANK(P275),ISBLANK(Q275)),"",IF(ISBLANK(P275),0,1))</f>
        <v/>
      </c>
      <c r="T275" s="307" t="s">
        <v>565</v>
      </c>
      <c r="U275" s="266"/>
      <c r="V275" s="266"/>
      <c r="W275" s="322"/>
      <c r="X275" s="322"/>
      <c r="Y275" s="322"/>
      <c r="Z275" s="322"/>
      <c r="AA275" s="322"/>
      <c r="AB275" s="322"/>
      <c r="AC275" s="322"/>
      <c r="AD275" s="328"/>
    </row>
    <row r="276" spans="1:30" ht="26.25" customHeight="1" x14ac:dyDescent="0.25">
      <c r="A276" s="882"/>
      <c r="B276" s="883"/>
      <c r="C276" s="883"/>
      <c r="D276" s="883"/>
      <c r="E276" s="883"/>
      <c r="F276" s="883"/>
      <c r="G276" s="883"/>
      <c r="H276" s="883"/>
      <c r="I276" s="883"/>
      <c r="J276" s="903"/>
      <c r="K276" s="899" t="s">
        <v>520</v>
      </c>
      <c r="L276" s="900"/>
      <c r="M276" s="900"/>
      <c r="N276" s="900"/>
      <c r="O276" s="901"/>
      <c r="P276" s="304"/>
      <c r="Q276" s="305"/>
      <c r="R276" s="291" t="str">
        <f>IF(COUNTBLANK(P276:Q276)=2,"Please enter response.",IF(COUNTBLANK(P276:Q276)&lt;&gt;1,"Please VERIFY response.",""))</f>
        <v>Please enter response.</v>
      </c>
      <c r="S276" s="306" t="str">
        <f>IF(AND(ISBLANK(P276),ISBLANK(Q276)),"",IF(ISBLANK(P276),0,1))</f>
        <v/>
      </c>
      <c r="T276" s="307" t="s">
        <v>566</v>
      </c>
      <c r="U276" s="266"/>
      <c r="V276" s="266"/>
      <c r="W276" s="322"/>
      <c r="X276" s="322"/>
      <c r="Y276" s="322"/>
      <c r="Z276" s="322"/>
      <c r="AA276" s="332"/>
      <c r="AB276" s="332"/>
      <c r="AC276" s="332"/>
      <c r="AD276" s="328"/>
    </row>
    <row r="277" spans="1:30" ht="26.25" customHeight="1" x14ac:dyDescent="0.25">
      <c r="A277" s="879" t="s">
        <v>546</v>
      </c>
      <c r="B277" s="880"/>
      <c r="C277" s="880"/>
      <c r="D277" s="880"/>
      <c r="E277" s="880"/>
      <c r="F277" s="880"/>
      <c r="G277" s="880"/>
      <c r="H277" s="880"/>
      <c r="I277" s="880"/>
      <c r="J277" s="880"/>
      <c r="K277" s="880"/>
      <c r="L277" s="880"/>
      <c r="M277" s="880"/>
      <c r="N277" s="880"/>
      <c r="O277" s="880"/>
      <c r="P277" s="880"/>
      <c r="Q277" s="881"/>
      <c r="R277" s="310"/>
      <c r="S277" s="319"/>
      <c r="T277" s="310"/>
      <c r="U277" s="310"/>
      <c r="V277" s="310"/>
      <c r="W277" s="322"/>
      <c r="X277" s="340"/>
      <c r="Y277" s="340"/>
      <c r="Z277" s="340"/>
      <c r="AA277" s="320"/>
      <c r="AB277" s="320"/>
      <c r="AC277" s="320"/>
      <c r="AD277" s="328"/>
    </row>
    <row r="278" spans="1:30" ht="26.25" customHeight="1" x14ac:dyDescent="0.2">
      <c r="A278" s="870" t="s">
        <v>450</v>
      </c>
      <c r="B278" s="826"/>
      <c r="C278" s="826"/>
      <c r="D278" s="826"/>
      <c r="E278" s="826" t="s">
        <v>478</v>
      </c>
      <c r="F278" s="826"/>
      <c r="G278" s="826"/>
      <c r="H278" s="826"/>
      <c r="I278" s="826" t="s">
        <v>479</v>
      </c>
      <c r="J278" s="826"/>
      <c r="K278" s="826"/>
      <c r="L278" s="826"/>
      <c r="M278" s="871" t="s">
        <v>465</v>
      </c>
      <c r="N278" s="826"/>
      <c r="O278" s="826"/>
      <c r="P278" s="826"/>
      <c r="Q278" s="872"/>
      <c r="R278" s="315"/>
      <c r="S278" s="836" t="s">
        <v>491</v>
      </c>
      <c r="T278" s="836"/>
      <c r="U278" s="836"/>
      <c r="V278" s="836"/>
      <c r="W278" s="322"/>
      <c r="X278" s="320"/>
      <c r="Y278" s="320"/>
      <c r="Z278" s="320"/>
      <c r="AA278" s="322"/>
      <c r="AB278" s="322"/>
      <c r="AC278" s="322"/>
      <c r="AD278" s="340"/>
    </row>
    <row r="279" spans="1:30" ht="26.25" customHeight="1" thickBot="1" x14ac:dyDescent="0.3">
      <c r="A279" s="791"/>
      <c r="B279" s="792"/>
      <c r="C279" s="792"/>
      <c r="D279" s="792"/>
      <c r="E279" s="792"/>
      <c r="F279" s="792"/>
      <c r="G279" s="792"/>
      <c r="H279" s="792"/>
      <c r="I279" s="792"/>
      <c r="J279" s="792"/>
      <c r="K279" s="792"/>
      <c r="L279" s="792"/>
      <c r="M279" s="894"/>
      <c r="N279" s="894"/>
      <c r="O279" s="894"/>
      <c r="P279" s="894"/>
      <c r="Q279" s="895"/>
      <c r="R279" s="310"/>
      <c r="S279" s="323" t="str">
        <f>IF(ISBLANK(A279),"",VLOOKUP(A279,VProjType,2,FALSE))</f>
        <v/>
      </c>
      <c r="T279" s="323" t="str">
        <f>IF(ISBLANK(E279),"",VLOOKUP(E279,VSubtype1,2,FALSE))</f>
        <v/>
      </c>
      <c r="U279" s="323" t="str">
        <f>IF(ISBLANK(I279),"",VLOOKUP(I279,VSubtype2,2,FALSE))</f>
        <v/>
      </c>
      <c r="V279" s="323" t="str">
        <f>IF(ISBLANK(M279),"",VLOOKUP(M279,VSubtype3,2,FALSE))</f>
        <v/>
      </c>
      <c r="W279" s="322"/>
      <c r="X279" s="322"/>
      <c r="Y279" s="322"/>
      <c r="Z279" s="322"/>
      <c r="AA279" s="322"/>
      <c r="AB279" s="322"/>
      <c r="AC279" s="322"/>
      <c r="AD279" s="328"/>
    </row>
    <row r="280" spans="1:30" ht="26.25" customHeight="1" x14ac:dyDescent="0.25">
      <c r="A280" s="896" t="s">
        <v>483</v>
      </c>
      <c r="B280" s="897"/>
      <c r="C280" s="897"/>
      <c r="D280" s="897"/>
      <c r="E280" s="897"/>
      <c r="F280" s="897"/>
      <c r="G280" s="897"/>
      <c r="H280" s="897"/>
      <c r="I280" s="897"/>
      <c r="J280" s="897"/>
      <c r="K280" s="897"/>
      <c r="L280" s="897"/>
      <c r="M280" s="897"/>
      <c r="N280" s="897"/>
      <c r="O280" s="897"/>
      <c r="P280" s="897"/>
      <c r="Q280" s="898"/>
      <c r="R280" s="320"/>
      <c r="S280" s="324" t="s">
        <v>537</v>
      </c>
      <c r="T280" s="320"/>
      <c r="U280" s="320"/>
      <c r="V280" s="320"/>
      <c r="W280" s="322"/>
      <c r="X280" s="322"/>
      <c r="Y280" s="322"/>
      <c r="Z280" s="322"/>
      <c r="AA280" s="322"/>
      <c r="AB280" s="322"/>
      <c r="AC280" s="322"/>
      <c r="AD280" s="328"/>
    </row>
    <row r="281" spans="1:30" ht="26.25" customHeight="1" x14ac:dyDescent="0.2">
      <c r="A281" s="859" t="s">
        <v>544</v>
      </c>
      <c r="B281" s="860"/>
      <c r="C281" s="860"/>
      <c r="D281" s="860"/>
      <c r="E281" s="860"/>
      <c r="F281" s="860"/>
      <c r="G281" s="860"/>
      <c r="H281" s="860"/>
      <c r="I281" s="860"/>
      <c r="J281" s="860"/>
      <c r="K281" s="860"/>
      <c r="L281" s="861"/>
      <c r="M281" s="876"/>
      <c r="N281" s="877"/>
      <c r="O281" s="877"/>
      <c r="P281" s="877"/>
      <c r="Q281" s="878"/>
      <c r="R281" s="320"/>
      <c r="S281" s="325" t="str">
        <f>IF(ISBLANK(M281),"",VLOOKUP(M281,VRemote,2,FALSE))</f>
        <v/>
      </c>
      <c r="T281" s="326" t="s">
        <v>545</v>
      </c>
      <c r="U281" s="320"/>
      <c r="V281" s="320"/>
      <c r="W281" s="340"/>
      <c r="X281" s="322"/>
      <c r="Y281" s="322"/>
      <c r="Z281" s="322"/>
      <c r="AA281" s="322"/>
      <c r="AB281" s="322"/>
      <c r="AC281" s="322"/>
      <c r="AD281" s="340"/>
    </row>
    <row r="282" spans="1:30" ht="26.25" customHeight="1" x14ac:dyDescent="0.2">
      <c r="A282" s="859" t="s">
        <v>529</v>
      </c>
      <c r="B282" s="860"/>
      <c r="C282" s="860"/>
      <c r="D282" s="860"/>
      <c r="E282" s="860"/>
      <c r="F282" s="860"/>
      <c r="G282" s="860"/>
      <c r="H282" s="860"/>
      <c r="I282" s="860"/>
      <c r="J282" s="860"/>
      <c r="K282" s="860"/>
      <c r="L282" s="860"/>
      <c r="M282" s="876"/>
      <c r="N282" s="877"/>
      <c r="O282" s="877"/>
      <c r="P282" s="877"/>
      <c r="Q282" s="878"/>
      <c r="R282" s="322"/>
      <c r="S282" s="325" t="str">
        <f>IF(ISBLANK(M282),"",VLOOKUP(M282,VCapacity,2,FALSE))</f>
        <v/>
      </c>
      <c r="T282" s="327" t="s">
        <v>539</v>
      </c>
      <c r="U282" s="322"/>
      <c r="V282" s="322"/>
      <c r="W282" s="320"/>
      <c r="X282" s="322"/>
      <c r="Y282" s="322"/>
      <c r="Z282" s="322"/>
      <c r="AA282" s="322"/>
      <c r="AB282" s="322"/>
      <c r="AC282" s="322"/>
      <c r="AD282" s="340"/>
    </row>
    <row r="283" spans="1:30" ht="26.25" customHeight="1" x14ac:dyDescent="0.2">
      <c r="A283" s="859" t="s">
        <v>484</v>
      </c>
      <c r="B283" s="860"/>
      <c r="C283" s="860"/>
      <c r="D283" s="860"/>
      <c r="E283" s="860"/>
      <c r="F283" s="860"/>
      <c r="G283" s="860"/>
      <c r="H283" s="860"/>
      <c r="I283" s="860"/>
      <c r="J283" s="860"/>
      <c r="K283" s="860"/>
      <c r="L283" s="860"/>
      <c r="M283" s="876"/>
      <c r="N283" s="877"/>
      <c r="O283" s="877"/>
      <c r="P283" s="877"/>
      <c r="Q283" s="878"/>
      <c r="R283" s="322"/>
      <c r="S283" s="325" t="str">
        <f>IF(ISBLANK(M283),"",VLOOKUP(M283,VPriorCap,2,FALSE))</f>
        <v/>
      </c>
      <c r="T283" s="327" t="s">
        <v>489</v>
      </c>
      <c r="U283" s="322"/>
      <c r="V283" s="322"/>
      <c r="W283" s="322"/>
      <c r="X283" s="322"/>
      <c r="Y283" s="322"/>
      <c r="Z283" s="322"/>
      <c r="AA283" s="322"/>
      <c r="AB283" s="322"/>
      <c r="AC283" s="322"/>
      <c r="AD283" s="340"/>
    </row>
    <row r="284" spans="1:30" ht="26.25" customHeight="1" x14ac:dyDescent="0.2">
      <c r="A284" s="780" t="s">
        <v>515</v>
      </c>
      <c r="B284" s="781"/>
      <c r="C284" s="781"/>
      <c r="D284" s="781"/>
      <c r="E284" s="781"/>
      <c r="F284" s="781"/>
      <c r="G284" s="781"/>
      <c r="H284" s="781"/>
      <c r="I284" s="781"/>
      <c r="J284" s="781"/>
      <c r="K284" s="781"/>
      <c r="L284" s="781"/>
      <c r="M284" s="781"/>
      <c r="N284" s="781"/>
      <c r="O284" s="781"/>
      <c r="P284" s="781"/>
      <c r="Q284" s="782"/>
      <c r="R284" s="322"/>
      <c r="S284" s="330" t="str">
        <f>IF(ISBLANK(A285),"",A285)</f>
        <v/>
      </c>
      <c r="T284" s="327" t="s">
        <v>490</v>
      </c>
      <c r="U284" s="322"/>
      <c r="V284" s="322"/>
      <c r="W284" s="322"/>
      <c r="X284" s="322"/>
      <c r="Y284" s="322"/>
      <c r="Z284" s="322"/>
      <c r="AA284" s="322"/>
      <c r="AB284" s="322"/>
      <c r="AC284" s="322"/>
      <c r="AD284" s="340"/>
    </row>
    <row r="285" spans="1:30" ht="26.25" customHeight="1" x14ac:dyDescent="0.2">
      <c r="A285" s="862"/>
      <c r="B285" s="845"/>
      <c r="C285" s="845"/>
      <c r="D285" s="845"/>
      <c r="E285" s="845"/>
      <c r="F285" s="845"/>
      <c r="G285" s="845"/>
      <c r="H285" s="845"/>
      <c r="I285" s="845"/>
      <c r="J285" s="845"/>
      <c r="K285" s="845"/>
      <c r="L285" s="845"/>
      <c r="M285" s="845"/>
      <c r="N285" s="845"/>
      <c r="O285" s="845"/>
      <c r="P285" s="845"/>
      <c r="Q285" s="863"/>
      <c r="R285" s="322"/>
      <c r="S285" s="322"/>
      <c r="T285" s="322"/>
      <c r="U285" s="322"/>
      <c r="V285" s="322"/>
      <c r="W285" s="322"/>
      <c r="X285" s="322"/>
      <c r="Y285" s="322"/>
      <c r="Z285" s="322"/>
      <c r="AA285" s="322"/>
      <c r="AB285" s="322"/>
      <c r="AC285" s="322"/>
      <c r="AD285" s="340"/>
    </row>
    <row r="286" spans="1:30" ht="26.25" customHeight="1" x14ac:dyDescent="0.2">
      <c r="A286" s="864"/>
      <c r="B286" s="865"/>
      <c r="C286" s="865"/>
      <c r="D286" s="865"/>
      <c r="E286" s="865"/>
      <c r="F286" s="865"/>
      <c r="G286" s="865"/>
      <c r="H286" s="865"/>
      <c r="I286" s="865"/>
      <c r="J286" s="865"/>
      <c r="K286" s="865"/>
      <c r="L286" s="865"/>
      <c r="M286" s="865"/>
      <c r="N286" s="865"/>
      <c r="O286" s="865"/>
      <c r="P286" s="865"/>
      <c r="Q286" s="866"/>
      <c r="R286" s="322"/>
      <c r="S286" s="322"/>
      <c r="T286" s="322"/>
      <c r="U286" s="322"/>
      <c r="V286" s="322"/>
      <c r="W286" s="322"/>
      <c r="X286" s="322"/>
      <c r="Y286" s="322"/>
      <c r="Z286" s="322"/>
      <c r="AA286" s="322"/>
      <c r="AB286" s="322"/>
      <c r="AC286" s="322"/>
      <c r="AD286" s="340"/>
    </row>
    <row r="287" spans="1:30" ht="26.25" customHeight="1" x14ac:dyDescent="0.2">
      <c r="A287" s="885" t="s">
        <v>514</v>
      </c>
      <c r="B287" s="886"/>
      <c r="C287" s="886"/>
      <c r="D287" s="886"/>
      <c r="E287" s="886"/>
      <c r="F287" s="886"/>
      <c r="G287" s="886"/>
      <c r="H287" s="886"/>
      <c r="I287" s="886"/>
      <c r="J287" s="886"/>
      <c r="K287" s="886"/>
      <c r="L287" s="886"/>
      <c r="M287" s="886"/>
      <c r="N287" s="886"/>
      <c r="O287" s="886"/>
      <c r="P287" s="886"/>
      <c r="Q287" s="887"/>
      <c r="R287" s="324"/>
      <c r="S287" s="324"/>
      <c r="T287" s="324"/>
      <c r="U287" s="324"/>
      <c r="V287" s="324"/>
      <c r="W287" s="322"/>
      <c r="X287" s="322"/>
      <c r="Y287" s="322"/>
      <c r="Z287" s="322"/>
      <c r="AA287" s="340"/>
      <c r="AB287" s="340"/>
      <c r="AC287" s="340"/>
      <c r="AD287" s="340"/>
    </row>
    <row r="288" spans="1:30" ht="26.25" customHeight="1" x14ac:dyDescent="0.2">
      <c r="A288" s="862"/>
      <c r="B288" s="845"/>
      <c r="C288" s="845"/>
      <c r="D288" s="845"/>
      <c r="E288" s="845"/>
      <c r="F288" s="845"/>
      <c r="G288" s="845"/>
      <c r="H288" s="845"/>
      <c r="I288" s="845"/>
      <c r="J288" s="845"/>
      <c r="K288" s="845"/>
      <c r="L288" s="845"/>
      <c r="M288" s="845"/>
      <c r="N288" s="845"/>
      <c r="O288" s="845"/>
      <c r="P288" s="845"/>
      <c r="Q288" s="846"/>
      <c r="R288" s="322"/>
      <c r="S288" s="330" t="str">
        <f>IF(ISBLANK(A288),"",A288)</f>
        <v/>
      </c>
      <c r="T288" s="289" t="s">
        <v>36</v>
      </c>
      <c r="U288" s="322"/>
      <c r="V288" s="322"/>
      <c r="W288" s="322"/>
      <c r="X288" s="332"/>
      <c r="Y288" s="332"/>
      <c r="Z288" s="332"/>
      <c r="AA288" s="324"/>
      <c r="AB288" s="324"/>
      <c r="AC288" s="324"/>
      <c r="AD288" s="340"/>
    </row>
    <row r="289" spans="1:30" ht="26.25" customHeight="1" thickBot="1" x14ac:dyDescent="0.25">
      <c r="A289" s="856"/>
      <c r="B289" s="857"/>
      <c r="C289" s="857"/>
      <c r="D289" s="857"/>
      <c r="E289" s="857"/>
      <c r="F289" s="857"/>
      <c r="G289" s="857"/>
      <c r="H289" s="857"/>
      <c r="I289" s="857"/>
      <c r="J289" s="857"/>
      <c r="K289" s="857"/>
      <c r="L289" s="857"/>
      <c r="M289" s="857"/>
      <c r="N289" s="857"/>
      <c r="O289" s="857"/>
      <c r="P289" s="857"/>
      <c r="Q289" s="858"/>
      <c r="R289" s="322"/>
      <c r="S289" s="322"/>
      <c r="T289" s="289"/>
      <c r="U289" s="322"/>
      <c r="V289" s="322"/>
      <c r="W289" s="322"/>
      <c r="X289" s="338"/>
      <c r="Y289" s="338"/>
      <c r="Z289" s="338"/>
      <c r="AA289" s="322"/>
      <c r="AB289" s="322"/>
      <c r="AC289" s="322"/>
      <c r="AD289" s="340"/>
    </row>
    <row r="290" spans="1:30" ht="26.25" customHeight="1" x14ac:dyDescent="0.2">
      <c r="A290" s="850" t="s">
        <v>504</v>
      </c>
      <c r="B290" s="851"/>
      <c r="C290" s="851"/>
      <c r="D290" s="851"/>
      <c r="E290" s="851"/>
      <c r="F290" s="851"/>
      <c r="G290" s="851"/>
      <c r="H290" s="851"/>
      <c r="I290" s="851"/>
      <c r="J290" s="851"/>
      <c r="K290" s="851"/>
      <c r="L290" s="851"/>
      <c r="M290" s="851"/>
      <c r="N290" s="851"/>
      <c r="O290" s="851"/>
      <c r="P290" s="851"/>
      <c r="Q290" s="852"/>
      <c r="R290" s="320"/>
      <c r="S290" s="324" t="s">
        <v>540</v>
      </c>
      <c r="T290" s="320"/>
      <c r="U290" s="320"/>
      <c r="V290" s="320"/>
      <c r="W290" s="322"/>
      <c r="X290" s="340"/>
      <c r="Y290" s="340"/>
      <c r="Z290" s="340"/>
      <c r="AA290" s="322"/>
      <c r="AB290" s="322"/>
      <c r="AC290" s="322"/>
      <c r="AD290" s="340"/>
    </row>
    <row r="291" spans="1:30" ht="26.25" customHeight="1" x14ac:dyDescent="0.2">
      <c r="A291" s="891" t="s">
        <v>557</v>
      </c>
      <c r="B291" s="892"/>
      <c r="C291" s="892"/>
      <c r="D291" s="892"/>
      <c r="E291" s="892"/>
      <c r="F291" s="892"/>
      <c r="G291" s="892"/>
      <c r="H291" s="892"/>
      <c r="I291" s="892"/>
      <c r="J291" s="892"/>
      <c r="K291" s="892"/>
      <c r="L291" s="893"/>
      <c r="M291" s="876"/>
      <c r="N291" s="877"/>
      <c r="O291" s="877"/>
      <c r="P291" s="877"/>
      <c r="Q291" s="878"/>
      <c r="R291" s="322"/>
      <c r="S291" s="331" t="str">
        <f>IF(ISBLANK(M291),"",VLOOKUP(M291,VImpact,2,FALSE))</f>
        <v/>
      </c>
      <c r="T291" s="327" t="s">
        <v>493</v>
      </c>
      <c r="U291" s="322"/>
      <c r="V291" s="322"/>
      <c r="W291" s="322"/>
      <c r="X291" s="340"/>
      <c r="Y291" s="340"/>
      <c r="Z291" s="340"/>
      <c r="AA291" s="322"/>
      <c r="AB291" s="322"/>
      <c r="AC291" s="322"/>
      <c r="AD291" s="340"/>
    </row>
    <row r="292" spans="1:30" ht="26.25" customHeight="1" x14ac:dyDescent="0.2">
      <c r="A292" s="859" t="s">
        <v>554</v>
      </c>
      <c r="B292" s="860"/>
      <c r="C292" s="860"/>
      <c r="D292" s="860"/>
      <c r="E292" s="860"/>
      <c r="F292" s="860"/>
      <c r="G292" s="860"/>
      <c r="H292" s="860"/>
      <c r="I292" s="860"/>
      <c r="J292" s="860"/>
      <c r="K292" s="860"/>
      <c r="L292" s="861"/>
      <c r="M292" s="876"/>
      <c r="N292" s="877"/>
      <c r="O292" s="877"/>
      <c r="P292" s="877"/>
      <c r="Q292" s="878"/>
      <c r="R292" s="322"/>
      <c r="S292" s="331" t="str">
        <f>IF(ISBLANK(M292),"",VLOOKUP(M292,VEvidence,2,FALSE))</f>
        <v/>
      </c>
      <c r="T292" s="307" t="s">
        <v>494</v>
      </c>
      <c r="U292" s="322"/>
      <c r="V292" s="322"/>
      <c r="W292" s="332"/>
      <c r="X292" s="340"/>
      <c r="Y292" s="340"/>
      <c r="Z292" s="340"/>
      <c r="AA292" s="322"/>
      <c r="AB292" s="322"/>
      <c r="AC292" s="322"/>
      <c r="AD292" s="340"/>
    </row>
    <row r="293" spans="1:30" ht="26.25" customHeight="1" x14ac:dyDescent="0.2">
      <c r="A293" s="888" t="s">
        <v>512</v>
      </c>
      <c r="B293" s="889"/>
      <c r="C293" s="889"/>
      <c r="D293" s="889"/>
      <c r="E293" s="889"/>
      <c r="F293" s="889"/>
      <c r="G293" s="889"/>
      <c r="H293" s="889"/>
      <c r="I293" s="889"/>
      <c r="J293" s="889"/>
      <c r="K293" s="889"/>
      <c r="L293" s="889"/>
      <c r="M293" s="889"/>
      <c r="N293" s="889"/>
      <c r="O293" s="889"/>
      <c r="P293" s="889"/>
      <c r="Q293" s="890"/>
      <c r="R293" s="322"/>
      <c r="S293" s="330" t="str">
        <f>IF(ISBLANK(A294),"",A294)</f>
        <v/>
      </c>
      <c r="T293" s="289" t="s">
        <v>35</v>
      </c>
      <c r="U293" s="322"/>
      <c r="V293" s="322"/>
      <c r="W293" s="338"/>
      <c r="X293" s="340"/>
      <c r="Y293" s="340"/>
      <c r="Z293" s="340"/>
      <c r="AA293" s="322"/>
      <c r="AB293" s="322"/>
      <c r="AC293" s="322"/>
      <c r="AD293" s="340"/>
    </row>
    <row r="294" spans="1:30" ht="26.25" customHeight="1" x14ac:dyDescent="0.2">
      <c r="A294" s="862"/>
      <c r="B294" s="845"/>
      <c r="C294" s="845"/>
      <c r="D294" s="845"/>
      <c r="E294" s="845"/>
      <c r="F294" s="845"/>
      <c r="G294" s="845"/>
      <c r="H294" s="845"/>
      <c r="I294" s="845"/>
      <c r="J294" s="845"/>
      <c r="K294" s="845"/>
      <c r="L294" s="845"/>
      <c r="M294" s="845"/>
      <c r="N294" s="845"/>
      <c r="O294" s="845"/>
      <c r="P294" s="845"/>
      <c r="Q294" s="846"/>
      <c r="R294" s="322"/>
      <c r="S294" s="322"/>
      <c r="T294" s="333"/>
      <c r="U294" s="322"/>
      <c r="V294" s="322"/>
      <c r="W294" s="340"/>
      <c r="X294" s="340"/>
      <c r="Y294" s="340"/>
      <c r="Z294" s="340"/>
      <c r="AA294" s="322"/>
      <c r="AB294" s="322"/>
      <c r="AC294" s="322"/>
      <c r="AD294" s="340"/>
    </row>
    <row r="295" spans="1:30" ht="26.25" customHeight="1" x14ac:dyDescent="0.2">
      <c r="A295" s="882"/>
      <c r="B295" s="883"/>
      <c r="C295" s="883"/>
      <c r="D295" s="883"/>
      <c r="E295" s="883"/>
      <c r="F295" s="883"/>
      <c r="G295" s="883"/>
      <c r="H295" s="883"/>
      <c r="I295" s="883"/>
      <c r="J295" s="883"/>
      <c r="K295" s="883"/>
      <c r="L295" s="883"/>
      <c r="M295" s="883"/>
      <c r="N295" s="883"/>
      <c r="O295" s="883"/>
      <c r="P295" s="883"/>
      <c r="Q295" s="884"/>
      <c r="R295" s="322"/>
      <c r="S295" s="322"/>
      <c r="T295" s="333"/>
      <c r="U295" s="322"/>
      <c r="V295" s="322"/>
      <c r="W295" s="340"/>
      <c r="X295" s="293"/>
      <c r="Y295" s="293"/>
      <c r="Z295" s="293"/>
      <c r="AA295" s="322"/>
      <c r="AB295" s="322"/>
      <c r="AC295" s="322"/>
      <c r="AD295" s="340"/>
    </row>
    <row r="296" spans="1:30" ht="26.25" customHeight="1" x14ac:dyDescent="0.2">
      <c r="A296" s="867" t="s">
        <v>513</v>
      </c>
      <c r="B296" s="868"/>
      <c r="C296" s="868"/>
      <c r="D296" s="868"/>
      <c r="E296" s="868"/>
      <c r="F296" s="868"/>
      <c r="G296" s="868"/>
      <c r="H296" s="868"/>
      <c r="I296" s="868"/>
      <c r="J296" s="868"/>
      <c r="K296" s="868"/>
      <c r="L296" s="868"/>
      <c r="M296" s="868"/>
      <c r="N296" s="868"/>
      <c r="O296" s="868"/>
      <c r="P296" s="868"/>
      <c r="Q296" s="869"/>
      <c r="R296" s="322"/>
      <c r="S296" s="330" t="str">
        <f>IF(ISBLANK(A297),"",A297)</f>
        <v/>
      </c>
      <c r="T296" s="333" t="s">
        <v>542</v>
      </c>
      <c r="U296" s="322"/>
      <c r="V296" s="322"/>
      <c r="W296" s="340"/>
      <c r="X296" s="340"/>
      <c r="Y296" s="340"/>
      <c r="Z296" s="340"/>
      <c r="AA296" s="322"/>
      <c r="AB296" s="322"/>
      <c r="AC296" s="322"/>
      <c r="AD296" s="340"/>
    </row>
    <row r="297" spans="1:30" ht="26.25" customHeight="1" x14ac:dyDescent="0.2">
      <c r="A297" s="862"/>
      <c r="B297" s="845"/>
      <c r="C297" s="845"/>
      <c r="D297" s="845"/>
      <c r="E297" s="845"/>
      <c r="F297" s="845"/>
      <c r="G297" s="845"/>
      <c r="H297" s="845"/>
      <c r="I297" s="845"/>
      <c r="J297" s="845"/>
      <c r="K297" s="845"/>
      <c r="L297" s="845"/>
      <c r="M297" s="845"/>
      <c r="N297" s="845"/>
      <c r="O297" s="845"/>
      <c r="P297" s="845"/>
      <c r="Q297" s="863"/>
      <c r="R297" s="322"/>
      <c r="U297" s="322"/>
      <c r="V297" s="322"/>
      <c r="W297" s="340"/>
      <c r="X297" s="340"/>
      <c r="Y297" s="340"/>
      <c r="Z297" s="340"/>
      <c r="AA297" s="322"/>
      <c r="AB297" s="322"/>
      <c r="AC297" s="322"/>
      <c r="AD297" s="340"/>
    </row>
    <row r="298" spans="1:30" ht="26.25" customHeight="1" thickBot="1" x14ac:dyDescent="0.25">
      <c r="A298" s="847"/>
      <c r="B298" s="848"/>
      <c r="C298" s="848"/>
      <c r="D298" s="848"/>
      <c r="E298" s="848"/>
      <c r="F298" s="848"/>
      <c r="G298" s="848"/>
      <c r="H298" s="848"/>
      <c r="I298" s="848"/>
      <c r="J298" s="848"/>
      <c r="K298" s="848"/>
      <c r="L298" s="848"/>
      <c r="M298" s="848"/>
      <c r="N298" s="848"/>
      <c r="O298" s="848"/>
      <c r="P298" s="848"/>
      <c r="Q298" s="849"/>
      <c r="R298" s="322"/>
      <c r="S298" s="322"/>
      <c r="T298" s="322"/>
      <c r="U298" s="322"/>
      <c r="V298" s="322"/>
      <c r="W298" s="340"/>
      <c r="X298" s="340"/>
      <c r="Y298" s="340"/>
      <c r="Z298" s="340"/>
      <c r="AA298" s="340"/>
      <c r="AB298" s="340"/>
      <c r="AC298" s="340"/>
      <c r="AD298" s="340"/>
    </row>
    <row r="299" spans="1:30" ht="26.25" customHeight="1" x14ac:dyDescent="0.2">
      <c r="A299" s="841" t="s">
        <v>555</v>
      </c>
      <c r="B299" s="842"/>
      <c r="C299" s="842"/>
      <c r="D299" s="842"/>
      <c r="E299" s="842"/>
      <c r="F299" s="842"/>
      <c r="G299" s="842"/>
      <c r="H299" s="842"/>
      <c r="I299" s="842"/>
      <c r="J299" s="842"/>
      <c r="K299" s="842"/>
      <c r="L299" s="842"/>
      <c r="M299" s="842"/>
      <c r="N299" s="842"/>
      <c r="O299" s="842"/>
      <c r="P299" s="842"/>
      <c r="Q299" s="843"/>
      <c r="S299" s="336" t="str">
        <f>IF(ISBLANK(A300),"",A300)</f>
        <v/>
      </c>
      <c r="T299" s="337" t="s">
        <v>556</v>
      </c>
      <c r="W299" s="293"/>
      <c r="X299" s="293"/>
      <c r="Y299" s="293"/>
      <c r="Z299" s="293"/>
      <c r="AA299" s="320"/>
      <c r="AB299" s="320"/>
      <c r="AC299" s="320"/>
      <c r="AD299" s="340"/>
    </row>
    <row r="300" spans="1:30" ht="26.25" customHeight="1" x14ac:dyDescent="0.2">
      <c r="A300" s="862"/>
      <c r="B300" s="845"/>
      <c r="C300" s="845"/>
      <c r="D300" s="845"/>
      <c r="E300" s="845"/>
      <c r="F300" s="845"/>
      <c r="G300" s="845"/>
      <c r="H300" s="845"/>
      <c r="I300" s="845"/>
      <c r="J300" s="845"/>
      <c r="K300" s="845"/>
      <c r="L300" s="845"/>
      <c r="M300" s="845"/>
      <c r="N300" s="845"/>
      <c r="O300" s="845"/>
      <c r="P300" s="845"/>
      <c r="Q300" s="846"/>
      <c r="W300" s="340"/>
      <c r="X300" s="322"/>
      <c r="Y300" s="322"/>
      <c r="Z300" s="322"/>
      <c r="AA300" s="322"/>
      <c r="AB300" s="322"/>
      <c r="AC300" s="322"/>
      <c r="AD300" s="340"/>
    </row>
    <row r="301" spans="1:30" ht="26.25" customHeight="1" thickBot="1" x14ac:dyDescent="0.25">
      <c r="A301" s="847"/>
      <c r="B301" s="848"/>
      <c r="C301" s="848"/>
      <c r="D301" s="848"/>
      <c r="E301" s="848"/>
      <c r="F301" s="848"/>
      <c r="G301" s="848"/>
      <c r="H301" s="848"/>
      <c r="I301" s="848"/>
      <c r="J301" s="848"/>
      <c r="K301" s="848"/>
      <c r="L301" s="848"/>
      <c r="M301" s="848"/>
      <c r="N301" s="848"/>
      <c r="O301" s="848"/>
      <c r="P301" s="848"/>
      <c r="Q301" s="849"/>
      <c r="R301" s="286"/>
      <c r="S301" s="286"/>
      <c r="T301" s="286"/>
      <c r="U301" s="286"/>
      <c r="V301" s="286"/>
      <c r="W301" s="340"/>
      <c r="X301" s="322"/>
      <c r="Y301" s="322"/>
      <c r="Z301" s="322"/>
      <c r="AA301" s="322"/>
      <c r="AB301" s="322"/>
      <c r="AC301" s="322"/>
      <c r="AD301" s="340"/>
    </row>
    <row r="302" spans="1:30" ht="26.25" customHeight="1" x14ac:dyDescent="0.2">
      <c r="A302" s="850" t="s">
        <v>482</v>
      </c>
      <c r="B302" s="851"/>
      <c r="C302" s="851"/>
      <c r="D302" s="851"/>
      <c r="E302" s="851"/>
      <c r="F302" s="851"/>
      <c r="G302" s="851"/>
      <c r="H302" s="851"/>
      <c r="I302" s="851"/>
      <c r="J302" s="851"/>
      <c r="K302" s="851"/>
      <c r="L302" s="851"/>
      <c r="M302" s="851"/>
      <c r="N302" s="851"/>
      <c r="O302" s="851"/>
      <c r="P302" s="851"/>
      <c r="Q302" s="852"/>
      <c r="R302" s="334"/>
      <c r="S302" s="341"/>
      <c r="T302" s="342"/>
      <c r="U302" s="334"/>
      <c r="V302" s="334"/>
      <c r="W302" s="340"/>
      <c r="X302" s="322"/>
      <c r="Y302" s="322"/>
      <c r="Z302" s="322"/>
      <c r="AA302" s="322"/>
      <c r="AB302" s="322"/>
      <c r="AC302" s="322"/>
      <c r="AD302" s="340"/>
    </row>
    <row r="303" spans="1:30" ht="26.25" customHeight="1" x14ac:dyDescent="0.2">
      <c r="A303" s="853"/>
      <c r="B303" s="854"/>
      <c r="C303" s="854"/>
      <c r="D303" s="854"/>
      <c r="E303" s="854"/>
      <c r="F303" s="854"/>
      <c r="G303" s="854"/>
      <c r="H303" s="854"/>
      <c r="I303" s="854"/>
      <c r="J303" s="854"/>
      <c r="K303" s="854"/>
      <c r="L303" s="854"/>
      <c r="M303" s="854"/>
      <c r="N303" s="854"/>
      <c r="O303" s="854"/>
      <c r="P303" s="854"/>
      <c r="Q303" s="855"/>
      <c r="R303" s="186"/>
      <c r="S303" s="343" t="str">
        <f>IF(ISBLANK(A303),"",CONCATENATE(S302,A303))</f>
        <v/>
      </c>
      <c r="T303" s="289" t="s">
        <v>37</v>
      </c>
      <c r="U303" s="186"/>
      <c r="V303" s="186"/>
      <c r="W303" s="293"/>
      <c r="X303" s="322"/>
      <c r="Y303" s="322"/>
      <c r="Z303" s="322"/>
      <c r="AA303" s="322"/>
      <c r="AB303" s="322"/>
      <c r="AC303" s="322"/>
      <c r="AD303" s="340"/>
    </row>
    <row r="304" spans="1:30" ht="26.25" customHeight="1" thickBot="1" x14ac:dyDescent="0.25">
      <c r="A304" s="856"/>
      <c r="B304" s="857"/>
      <c r="C304" s="857"/>
      <c r="D304" s="857"/>
      <c r="E304" s="857"/>
      <c r="F304" s="857"/>
      <c r="G304" s="857"/>
      <c r="H304" s="857"/>
      <c r="I304" s="857"/>
      <c r="J304" s="857"/>
      <c r="K304" s="857"/>
      <c r="L304" s="857"/>
      <c r="M304" s="857"/>
      <c r="N304" s="857"/>
      <c r="O304" s="857"/>
      <c r="P304" s="857"/>
      <c r="Q304" s="858"/>
      <c r="R304" s="186"/>
      <c r="S304" s="340"/>
      <c r="T304" s="340"/>
      <c r="U304" s="340"/>
      <c r="V304" s="340"/>
      <c r="W304" s="322"/>
      <c r="X304" s="322"/>
      <c r="Y304" s="322"/>
      <c r="Z304" s="322"/>
      <c r="AA304" s="322"/>
      <c r="AB304" s="322"/>
      <c r="AC304" s="322"/>
      <c r="AD304" s="340"/>
    </row>
    <row r="305" spans="1:38" ht="26.25" customHeight="1" x14ac:dyDescent="0.2">
      <c r="A305" s="344" t="e">
        <f>$A$1</f>
        <v>#N/A</v>
      </c>
      <c r="B305" s="340"/>
      <c r="C305" s="340"/>
      <c r="D305" s="340"/>
      <c r="E305" s="340"/>
      <c r="F305" s="340"/>
      <c r="G305" s="340"/>
      <c r="H305" s="340"/>
      <c r="I305" s="340"/>
      <c r="J305" s="340"/>
      <c r="K305" s="340"/>
      <c r="L305" s="340"/>
      <c r="M305" s="340"/>
      <c r="N305" s="340"/>
      <c r="O305" s="340"/>
      <c r="P305" s="773"/>
      <c r="Q305" s="773"/>
      <c r="R305" s="332"/>
      <c r="S305" s="332"/>
      <c r="T305" s="332"/>
      <c r="U305" s="332"/>
      <c r="V305" s="332"/>
      <c r="W305" s="322"/>
      <c r="X305" s="322"/>
      <c r="Y305" s="322"/>
      <c r="Z305" s="322"/>
      <c r="AA305" s="322"/>
      <c r="AB305" s="322"/>
      <c r="AC305" s="322"/>
      <c r="AD305" s="340"/>
    </row>
    <row r="306" spans="1:38" ht="26.25" customHeight="1" thickBot="1" x14ac:dyDescent="0.25">
      <c r="A306" s="776" t="s">
        <v>572</v>
      </c>
      <c r="B306" s="777"/>
      <c r="C306" s="777"/>
      <c r="D306" s="777"/>
      <c r="E306" s="777"/>
      <c r="F306" s="777"/>
      <c r="G306" s="777"/>
      <c r="H306" s="777"/>
      <c r="I306" s="777"/>
      <c r="J306" s="777"/>
      <c r="K306" s="777"/>
      <c r="L306" s="777"/>
      <c r="M306" s="777"/>
      <c r="N306" s="774" t="str">
        <f>$N$5</f>
        <v>2022 Report Year</v>
      </c>
      <c r="O306" s="775"/>
      <c r="P306" s="775"/>
      <c r="Q306" s="775"/>
      <c r="R306" s="338"/>
      <c r="S306" s="338"/>
      <c r="T306" s="338"/>
      <c r="U306" s="338"/>
      <c r="V306" s="338"/>
      <c r="W306" s="322"/>
      <c r="X306" s="322"/>
      <c r="Y306" s="322"/>
      <c r="Z306" s="322"/>
      <c r="AA306" s="322"/>
      <c r="AB306" s="322"/>
      <c r="AC306" s="322"/>
      <c r="AD306" s="340"/>
    </row>
    <row r="307" spans="1:38" ht="26.25" customHeight="1" x14ac:dyDescent="0.2">
      <c r="A307" s="821" t="e">
        <f>IF(AND(OR(ISNA(cap_exp_contact),TRIM(cap_exp_contact)=""),NOT(ISBLANK(code_7594))),"The Capital Expenditure Contact information has NOT been provided.  Please complete this information now.","")</f>
        <v>#N/A</v>
      </c>
      <c r="B307" s="822"/>
      <c r="C307" s="822"/>
      <c r="D307" s="822"/>
      <c r="E307" s="822"/>
      <c r="F307" s="822"/>
      <c r="G307" s="822"/>
      <c r="H307" s="822"/>
      <c r="I307" s="822"/>
      <c r="J307" s="822"/>
      <c r="K307" s="822"/>
      <c r="L307" s="822"/>
      <c r="M307" s="822"/>
      <c r="N307" s="271" t="s">
        <v>278</v>
      </c>
      <c r="O307" s="272" t="e">
        <f>'Capital Expend Detail'!$I$7</f>
        <v>#N/A</v>
      </c>
      <c r="P307" s="273" t="s">
        <v>431</v>
      </c>
      <c r="Q307" s="274" t="e">
        <f>IF(ISBLANK(Q264),"",Q264+1)</f>
        <v>#VALUE!</v>
      </c>
      <c r="R307" s="197"/>
      <c r="S307" s="340"/>
      <c r="T307" s="340"/>
      <c r="U307" s="340"/>
      <c r="V307" s="340"/>
      <c r="W307" s="322"/>
      <c r="X307" s="322"/>
      <c r="Y307" s="322"/>
      <c r="Z307" s="322"/>
      <c r="AA307" s="322"/>
      <c r="AB307" s="322"/>
      <c r="AC307" s="322"/>
      <c r="AD307" s="340"/>
    </row>
    <row r="308" spans="1:38" ht="26.25" customHeight="1" thickBot="1" x14ac:dyDescent="0.25">
      <c r="A308" s="778" t="s">
        <v>432</v>
      </c>
      <c r="B308" s="779"/>
      <c r="C308" s="779"/>
      <c r="D308" s="779"/>
      <c r="E308" s="815"/>
      <c r="F308" s="816"/>
      <c r="G308" s="816"/>
      <c r="H308" s="816"/>
      <c r="I308" s="816"/>
      <c r="J308" s="816"/>
      <c r="K308" s="816"/>
      <c r="L308" s="817"/>
      <c r="M308" s="276"/>
      <c r="N308" s="823" t="s">
        <v>443</v>
      </c>
      <c r="O308" s="824"/>
      <c r="P308" s="824"/>
      <c r="Q308" s="825"/>
      <c r="R308" s="197"/>
      <c r="S308" s="277" t="str">
        <f>IF(ISBLANK(E308),"",E308)</f>
        <v/>
      </c>
      <c r="T308" s="278" t="s">
        <v>407</v>
      </c>
      <c r="U308" s="197"/>
      <c r="V308" s="197"/>
      <c r="W308" s="322"/>
      <c r="X308" s="322"/>
      <c r="Y308" s="322"/>
      <c r="Z308" s="322"/>
      <c r="AA308" s="322"/>
      <c r="AB308" s="322"/>
      <c r="AC308" s="322"/>
      <c r="AD308" s="340"/>
    </row>
    <row r="309" spans="1:38" ht="26.25" customHeight="1" x14ac:dyDescent="0.2">
      <c r="A309" s="833" t="s">
        <v>433</v>
      </c>
      <c r="B309" s="834"/>
      <c r="C309" s="834"/>
      <c r="D309" s="835"/>
      <c r="E309" s="788"/>
      <c r="F309" s="789"/>
      <c r="G309" s="789"/>
      <c r="H309" s="789"/>
      <c r="I309" s="789"/>
      <c r="J309" s="789"/>
      <c r="K309" s="789"/>
      <c r="L309" s="790"/>
      <c r="M309" s="793" t="str">
        <f>IF(AND(ISBLANK(E309),OR(NOT(ISBLANK(E310)),NOT(ISBLANK(E311)),NOT(ISBLANK(E312)),NOT(ISBLANK(I313)),NOT(ISBLANK(A315)))),"This information is required.","")</f>
        <v/>
      </c>
      <c r="N309" s="794"/>
      <c r="O309" s="794"/>
      <c r="P309" s="794"/>
      <c r="Q309" s="279"/>
      <c r="R309" s="197"/>
      <c r="S309" s="277" t="str">
        <f>IF(ISBLANK(E309),"",E309)</f>
        <v/>
      </c>
      <c r="T309" s="278" t="s">
        <v>27</v>
      </c>
      <c r="U309" s="197"/>
      <c r="V309" s="197"/>
      <c r="W309" s="322"/>
      <c r="X309" s="340"/>
      <c r="Y309" s="340"/>
      <c r="Z309" s="340"/>
      <c r="AA309" s="332"/>
      <c r="AB309" s="332"/>
      <c r="AC309" s="332"/>
      <c r="AD309" s="286"/>
    </row>
    <row r="310" spans="1:38" ht="26.25" customHeight="1" x14ac:dyDescent="0.2">
      <c r="A310" s="783" t="s">
        <v>434</v>
      </c>
      <c r="B310" s="784"/>
      <c r="C310" s="784"/>
      <c r="D310" s="785"/>
      <c r="E310" s="788"/>
      <c r="F310" s="789"/>
      <c r="G310" s="789"/>
      <c r="H310" s="789"/>
      <c r="I310" s="789"/>
      <c r="J310" s="789"/>
      <c r="K310" s="789"/>
      <c r="L310" s="790"/>
      <c r="M310" s="793" t="str">
        <f>IF(AND(ISBLANK(E310),OR(NOT(ISBLANK(E309)),NOT(ISBLANK(E311)),NOT(ISBLANK(E312)),NOT(ISBLANK(I313)),NOT(ISBLANK(A315)))),"This information is required.","")</f>
        <v/>
      </c>
      <c r="N310" s="794"/>
      <c r="O310" s="794"/>
      <c r="P310" s="794"/>
      <c r="Q310" s="279"/>
      <c r="R310" s="197"/>
      <c r="S310" s="277" t="str">
        <f>IF(ISBLANK(E310),"",E310)</f>
        <v/>
      </c>
      <c r="T310" s="278" t="s">
        <v>28</v>
      </c>
      <c r="U310" s="197"/>
      <c r="V310" s="197"/>
      <c r="W310" s="322"/>
      <c r="X310" s="320"/>
      <c r="Y310" s="320"/>
      <c r="Z310" s="320"/>
      <c r="AA310" s="338"/>
      <c r="AB310" s="338"/>
      <c r="AC310" s="338"/>
      <c r="AD310" s="286"/>
    </row>
    <row r="311" spans="1:38" ht="26.25" customHeight="1" x14ac:dyDescent="0.2">
      <c r="A311" s="873" t="s">
        <v>436</v>
      </c>
      <c r="B311" s="874"/>
      <c r="C311" s="874"/>
      <c r="D311" s="875"/>
      <c r="E311" s="813"/>
      <c r="F311" s="814"/>
      <c r="G311" s="786" t="s">
        <v>437</v>
      </c>
      <c r="H311" s="786"/>
      <c r="I311" s="786"/>
      <c r="J311" s="786"/>
      <c r="K311" s="786"/>
      <c r="L311" s="786"/>
      <c r="M311" s="787" t="str">
        <f>IF(AND(ISBLANK(E311),OR(NOT(ISBLANK(E309)),NOT(ISBLANK(E310)),NOT(ISBLANK(E312)),NOT(ISBLANK(I313)),NOT(ISBLANK(A315)))),"This information is required.","")</f>
        <v/>
      </c>
      <c r="N311" s="711"/>
      <c r="O311" s="711"/>
      <c r="P311" s="711"/>
      <c r="Q311" s="280"/>
      <c r="R311" s="281"/>
      <c r="S311" s="282" t="str">
        <f>IF(ISBLANK(E311),"",E311)</f>
        <v/>
      </c>
      <c r="T311" s="283" t="s">
        <v>30</v>
      </c>
      <c r="U311" s="281"/>
      <c r="V311" s="281"/>
      <c r="W311" s="322"/>
      <c r="X311" s="322"/>
      <c r="Y311" s="322"/>
      <c r="Z311" s="322"/>
      <c r="AA311" s="340"/>
      <c r="AB311" s="340"/>
      <c r="AC311" s="340"/>
      <c r="AD311" s="286"/>
      <c r="AL311" s="266"/>
    </row>
    <row r="312" spans="1:38" ht="26.25" customHeight="1" x14ac:dyDescent="0.2">
      <c r="A312" s="783" t="s">
        <v>435</v>
      </c>
      <c r="B312" s="784"/>
      <c r="C312" s="784"/>
      <c r="D312" s="785"/>
      <c r="E312" s="828"/>
      <c r="F312" s="829"/>
      <c r="G312" s="284"/>
      <c r="H312" s="285"/>
      <c r="I312" s="286"/>
      <c r="J312" s="281"/>
      <c r="K312" s="281"/>
      <c r="L312" s="281"/>
      <c r="M312" s="711" t="str">
        <f>IF(AND(ISBLANK(E312),OR(NOT(ISBLANK(E309)),NOT(ISBLANK(E310)),NOT(ISBLANK(E311)),NOT(ISBLANK(I313)),NOT(ISBLANK(A315)))),"This information is required.","")</f>
        <v/>
      </c>
      <c r="N312" s="711"/>
      <c r="O312" s="711"/>
      <c r="P312" s="711"/>
      <c r="Q312" s="280"/>
      <c r="R312" s="287"/>
      <c r="S312" s="288" t="str">
        <f>IF(ISBLANK(E312),"",E312)</f>
        <v/>
      </c>
      <c r="T312" s="289" t="s">
        <v>31</v>
      </c>
      <c r="U312" s="287"/>
      <c r="V312" s="287"/>
      <c r="W312" s="322"/>
      <c r="X312" s="322"/>
      <c r="Y312" s="322"/>
      <c r="Z312" s="322"/>
      <c r="AA312" s="340"/>
      <c r="AB312" s="340"/>
      <c r="AC312" s="340"/>
      <c r="AD312" s="286"/>
      <c r="AL312" s="266"/>
    </row>
    <row r="313" spans="1:38" ht="26.25" customHeight="1" thickBot="1" x14ac:dyDescent="0.25">
      <c r="A313" s="797" t="s">
        <v>426</v>
      </c>
      <c r="B313" s="798"/>
      <c r="C313" s="798"/>
      <c r="D313" s="798"/>
      <c r="E313" s="799"/>
      <c r="F313" s="799"/>
      <c r="G313" s="799"/>
      <c r="H313" s="799"/>
      <c r="I313" s="832"/>
      <c r="J313" s="832"/>
      <c r="K313" s="795" t="s">
        <v>481</v>
      </c>
      <c r="L313" s="796"/>
      <c r="M313" s="827" t="str">
        <f>IF(AND(ISBLANK(I313),OR(NOT(ISBLANK(E309)),NOT(ISBLANK(E310)),NOT(ISBLANK(E311)),NOT(ISBLANK(E312)),NOT(ISBLANK(A315)))),"This information is required!","")</f>
        <v/>
      </c>
      <c r="N313" s="827"/>
      <c r="O313" s="827"/>
      <c r="P313" s="827"/>
      <c r="Q313" s="290"/>
      <c r="R313" s="287"/>
      <c r="S313" s="288" t="str">
        <f>IF(ISBLANK(I313),"",I313)</f>
        <v/>
      </c>
      <c r="T313" s="289" t="s">
        <v>32</v>
      </c>
      <c r="U313" s="291"/>
      <c r="V313" s="291"/>
      <c r="W313" s="340"/>
      <c r="X313" s="322"/>
      <c r="Y313" s="322"/>
      <c r="Z313" s="322"/>
      <c r="AA313" s="340"/>
      <c r="AB313" s="340"/>
      <c r="AC313" s="340"/>
      <c r="AD313" s="340"/>
      <c r="AL313" s="308"/>
    </row>
    <row r="314" spans="1:38" ht="26.25" customHeight="1" x14ac:dyDescent="0.2">
      <c r="A314" s="841" t="s">
        <v>553</v>
      </c>
      <c r="B314" s="842"/>
      <c r="C314" s="842"/>
      <c r="D314" s="842"/>
      <c r="E314" s="842"/>
      <c r="F314" s="842"/>
      <c r="G314" s="842"/>
      <c r="H314" s="842"/>
      <c r="I314" s="842"/>
      <c r="J314" s="909"/>
      <c r="K314" s="907" t="s">
        <v>646</v>
      </c>
      <c r="L314" s="907"/>
      <c r="M314" s="907"/>
      <c r="N314" s="907"/>
      <c r="O314" s="830" t="s">
        <v>535</v>
      </c>
      <c r="P314" s="830"/>
      <c r="Q314" s="831"/>
      <c r="R314" s="293"/>
      <c r="S314" s="288" t="str">
        <f>IF(ISBLANK(A315),"",A315)</f>
        <v/>
      </c>
      <c r="T314" s="289" t="s">
        <v>33</v>
      </c>
      <c r="U314" s="294"/>
      <c r="V314" s="294"/>
      <c r="W314" s="320"/>
      <c r="X314" s="322"/>
      <c r="Y314" s="322"/>
      <c r="Z314" s="322"/>
      <c r="AA314" s="340"/>
      <c r="AB314" s="340"/>
      <c r="AC314" s="340"/>
      <c r="AD314" s="340"/>
      <c r="AL314" s="308"/>
    </row>
    <row r="315" spans="1:38" ht="26.25" customHeight="1" x14ac:dyDescent="0.2">
      <c r="A315" s="853"/>
      <c r="B315" s="854"/>
      <c r="C315" s="854"/>
      <c r="D315" s="854"/>
      <c r="E315" s="854"/>
      <c r="F315" s="854"/>
      <c r="G315" s="854"/>
      <c r="H315" s="854"/>
      <c r="I315" s="854"/>
      <c r="J315" s="902"/>
      <c r="K315" s="908"/>
      <c r="L315" s="908"/>
      <c r="M315" s="908"/>
      <c r="N315" s="908"/>
      <c r="O315" s="295"/>
      <c r="P315" s="296" t="s">
        <v>43</v>
      </c>
      <c r="Q315" s="297" t="s">
        <v>44</v>
      </c>
      <c r="R315" s="293"/>
      <c r="S315" s="288" t="str">
        <f>IF(ISBLANK(A318),"",A318)</f>
        <v/>
      </c>
      <c r="T315" s="298" t="s">
        <v>34</v>
      </c>
      <c r="U315" s="294"/>
      <c r="V315" s="294"/>
      <c r="W315" s="322"/>
      <c r="X315" s="322"/>
      <c r="Y315" s="322"/>
      <c r="Z315" s="322"/>
      <c r="AA315" s="340"/>
      <c r="AB315" s="340"/>
      <c r="AC315" s="340"/>
      <c r="AD315" s="340"/>
      <c r="AL315" s="308"/>
    </row>
    <row r="316" spans="1:38" ht="26.25" customHeight="1" x14ac:dyDescent="0.2">
      <c r="A316" s="882"/>
      <c r="B316" s="883"/>
      <c r="C316" s="883"/>
      <c r="D316" s="883"/>
      <c r="E316" s="883"/>
      <c r="F316" s="883"/>
      <c r="G316" s="883"/>
      <c r="H316" s="883"/>
      <c r="I316" s="883"/>
      <c r="J316" s="903"/>
      <c r="K316" s="899" t="s">
        <v>516</v>
      </c>
      <c r="L316" s="900"/>
      <c r="M316" s="900"/>
      <c r="N316" s="900"/>
      <c r="O316" s="901"/>
      <c r="P316" s="304"/>
      <c r="Q316" s="305"/>
      <c r="R316" s="291" t="str">
        <f>IF(COUNTBLANK(P316:Q316)=2,"Please enter response.",IF(COUNTBLANK(P316:Q316)&lt;&gt;1,"Please VERIFY response.",""))</f>
        <v>Please enter response.</v>
      </c>
      <c r="S316" s="306" t="str">
        <f>IF(AND(ISBLANK(P316),ISBLANK(Q316)),"",IF(ISBLANK(P316),0,1))</f>
        <v/>
      </c>
      <c r="T316" s="307" t="s">
        <v>563</v>
      </c>
      <c r="U316" s="266"/>
      <c r="V316" s="266"/>
      <c r="W316" s="322"/>
      <c r="X316" s="322"/>
      <c r="Y316" s="322"/>
      <c r="Z316" s="322"/>
      <c r="AA316" s="293"/>
      <c r="AB316" s="293"/>
      <c r="AC316" s="293"/>
      <c r="AD316" s="346"/>
      <c r="AL316" s="308"/>
    </row>
    <row r="317" spans="1:38" ht="26.25" customHeight="1" x14ac:dyDescent="0.2">
      <c r="A317" s="904" t="s">
        <v>558</v>
      </c>
      <c r="B317" s="905"/>
      <c r="C317" s="905"/>
      <c r="D317" s="905"/>
      <c r="E317" s="905"/>
      <c r="F317" s="905"/>
      <c r="G317" s="905"/>
      <c r="H317" s="905"/>
      <c r="I317" s="905"/>
      <c r="J317" s="906"/>
      <c r="K317" s="899" t="s">
        <v>517</v>
      </c>
      <c r="L317" s="900"/>
      <c r="M317" s="900"/>
      <c r="N317" s="900"/>
      <c r="O317" s="901"/>
      <c r="P317" s="304"/>
      <c r="Q317" s="305"/>
      <c r="R317" s="291" t="str">
        <f>IF(COUNTBLANK(P317:Q317)=2,"Please enter response.",IF(COUNTBLANK(P317:Q317)&lt;&gt;1,"Please VERIFY response.",""))</f>
        <v>Please enter response.</v>
      </c>
      <c r="S317" s="306" t="str">
        <f>IF(AND(ISBLANK(P317),ISBLANK(Q317)),"",IF(ISBLANK(P317),0,1))</f>
        <v/>
      </c>
      <c r="T317" s="307" t="s">
        <v>564</v>
      </c>
      <c r="U317" s="266"/>
      <c r="V317" s="266"/>
      <c r="W317" s="322"/>
      <c r="X317" s="322"/>
      <c r="Y317" s="322"/>
      <c r="Z317" s="322"/>
      <c r="AA317" s="340"/>
      <c r="AB317" s="340"/>
      <c r="AC317" s="340"/>
      <c r="AD317" s="340"/>
      <c r="AL317" s="308"/>
    </row>
    <row r="318" spans="1:38" ht="26.25" customHeight="1" x14ac:dyDescent="0.2">
      <c r="A318" s="853"/>
      <c r="B318" s="854"/>
      <c r="C318" s="854"/>
      <c r="D318" s="854"/>
      <c r="E318" s="854"/>
      <c r="F318" s="854"/>
      <c r="G318" s="854"/>
      <c r="H318" s="854"/>
      <c r="I318" s="854"/>
      <c r="J318" s="902"/>
      <c r="K318" s="899" t="s">
        <v>518</v>
      </c>
      <c r="L318" s="900"/>
      <c r="M318" s="900"/>
      <c r="N318" s="900"/>
      <c r="O318" s="901"/>
      <c r="P318" s="304"/>
      <c r="Q318" s="305"/>
      <c r="R318" s="291" t="str">
        <f>IF(COUNTBLANK(P318:Q318)=2,"Please enter response.",IF(COUNTBLANK(P318:Q318)&lt;&gt;1,"Please VERIFY response.",""))</f>
        <v>Please enter response.</v>
      </c>
      <c r="S318" s="306" t="str">
        <f>IF(AND(ISBLANK(P318),ISBLANK(Q318)),"",IF(ISBLANK(P318),0,1))</f>
        <v/>
      </c>
      <c r="T318" s="307" t="s">
        <v>565</v>
      </c>
      <c r="U318" s="266"/>
      <c r="V318" s="266"/>
      <c r="W318" s="322"/>
      <c r="X318" s="322"/>
      <c r="Y318" s="322"/>
      <c r="Z318" s="322"/>
      <c r="AA318" s="340"/>
      <c r="AB318" s="340"/>
      <c r="AC318" s="340"/>
      <c r="AD318" s="340"/>
      <c r="AL318" s="308"/>
    </row>
    <row r="319" spans="1:38" ht="26.25" customHeight="1" x14ac:dyDescent="0.2">
      <c r="A319" s="882"/>
      <c r="B319" s="883"/>
      <c r="C319" s="883"/>
      <c r="D319" s="883"/>
      <c r="E319" s="883"/>
      <c r="F319" s="883"/>
      <c r="G319" s="883"/>
      <c r="H319" s="883"/>
      <c r="I319" s="883"/>
      <c r="J319" s="903"/>
      <c r="K319" s="899" t="s">
        <v>520</v>
      </c>
      <c r="L319" s="900"/>
      <c r="M319" s="900"/>
      <c r="N319" s="900"/>
      <c r="O319" s="901"/>
      <c r="P319" s="304"/>
      <c r="Q319" s="305"/>
      <c r="R319" s="291" t="str">
        <f>IF(COUNTBLANK(P319:Q319)=2,"Please enter response.",IF(COUNTBLANK(P319:Q319)&lt;&gt;1,"Please VERIFY response.",""))</f>
        <v>Please enter response.</v>
      </c>
      <c r="S319" s="306" t="str">
        <f>IF(AND(ISBLANK(P319),ISBLANK(Q319)),"",IF(ISBLANK(P319),0,1))</f>
        <v/>
      </c>
      <c r="T319" s="307" t="s">
        <v>566</v>
      </c>
      <c r="U319" s="266"/>
      <c r="V319" s="266"/>
      <c r="W319" s="322"/>
      <c r="X319" s="322"/>
      <c r="Y319" s="322"/>
      <c r="Z319" s="322"/>
      <c r="AA319" s="340"/>
      <c r="AB319" s="340"/>
      <c r="AC319" s="340"/>
      <c r="AD319" s="286"/>
      <c r="AL319" s="308"/>
    </row>
    <row r="320" spans="1:38" ht="26.25" customHeight="1" x14ac:dyDescent="0.25">
      <c r="A320" s="879" t="s">
        <v>546</v>
      </c>
      <c r="B320" s="880"/>
      <c r="C320" s="880"/>
      <c r="D320" s="880"/>
      <c r="E320" s="880"/>
      <c r="F320" s="880"/>
      <c r="G320" s="880"/>
      <c r="H320" s="880"/>
      <c r="I320" s="880"/>
      <c r="J320" s="880"/>
      <c r="K320" s="880"/>
      <c r="L320" s="880"/>
      <c r="M320" s="880"/>
      <c r="N320" s="880"/>
      <c r="O320" s="880"/>
      <c r="P320" s="880"/>
      <c r="Q320" s="881"/>
      <c r="R320" s="310"/>
      <c r="S320" s="319"/>
      <c r="T320" s="310"/>
      <c r="U320" s="310"/>
      <c r="V320" s="310"/>
      <c r="W320" s="322"/>
      <c r="X320" s="332"/>
      <c r="Y320" s="332"/>
      <c r="Z320" s="332"/>
      <c r="AA320" s="293"/>
      <c r="AB320" s="293"/>
      <c r="AC320" s="293"/>
      <c r="AD320" s="328"/>
      <c r="AL320" s="308"/>
    </row>
    <row r="321" spans="1:38" ht="26.25" customHeight="1" x14ac:dyDescent="0.2">
      <c r="A321" s="870" t="s">
        <v>450</v>
      </c>
      <c r="B321" s="826"/>
      <c r="C321" s="826"/>
      <c r="D321" s="826"/>
      <c r="E321" s="826" t="s">
        <v>478</v>
      </c>
      <c r="F321" s="826"/>
      <c r="G321" s="826"/>
      <c r="H321" s="826"/>
      <c r="I321" s="826" t="s">
        <v>479</v>
      </c>
      <c r="J321" s="826"/>
      <c r="K321" s="826"/>
      <c r="L321" s="826"/>
      <c r="M321" s="871" t="s">
        <v>465</v>
      </c>
      <c r="N321" s="826"/>
      <c r="O321" s="826"/>
      <c r="P321" s="826"/>
      <c r="Q321" s="872"/>
      <c r="R321" s="315"/>
      <c r="S321" s="836" t="s">
        <v>491</v>
      </c>
      <c r="T321" s="836"/>
      <c r="U321" s="836"/>
      <c r="V321" s="836"/>
      <c r="W321" s="322"/>
      <c r="X321" s="320"/>
      <c r="Y321" s="320"/>
      <c r="Z321" s="320"/>
      <c r="AA321" s="322"/>
      <c r="AB321" s="322"/>
      <c r="AC321" s="322"/>
      <c r="AD321" s="340"/>
      <c r="AL321" s="308"/>
    </row>
    <row r="322" spans="1:38" ht="26.25" customHeight="1" thickBot="1" x14ac:dyDescent="0.3">
      <c r="A322" s="791"/>
      <c r="B322" s="792"/>
      <c r="C322" s="792"/>
      <c r="D322" s="792"/>
      <c r="E322" s="792"/>
      <c r="F322" s="792"/>
      <c r="G322" s="792"/>
      <c r="H322" s="792"/>
      <c r="I322" s="792"/>
      <c r="J322" s="792"/>
      <c r="K322" s="792"/>
      <c r="L322" s="792"/>
      <c r="M322" s="894"/>
      <c r="N322" s="894"/>
      <c r="O322" s="894"/>
      <c r="P322" s="894"/>
      <c r="Q322" s="895"/>
      <c r="R322" s="310"/>
      <c r="S322" s="323" t="str">
        <f>IF(ISBLANK(A322),"",VLOOKUP(A322,VProjType,2,FALSE))</f>
        <v/>
      </c>
      <c r="T322" s="323" t="str">
        <f>IF(ISBLANK(E322),"",VLOOKUP(E322,VSubtype1,2,FALSE))</f>
        <v/>
      </c>
      <c r="U322" s="323" t="str">
        <f>IF(ISBLANK(I322),"",VLOOKUP(I322,VSubtype2,2,FALSE))</f>
        <v/>
      </c>
      <c r="V322" s="323" t="str">
        <f>IF(ISBLANK(M322),"",VLOOKUP(M322,VSubtype3,2,FALSE))</f>
        <v/>
      </c>
      <c r="W322" s="322"/>
      <c r="X322" s="322"/>
      <c r="Y322" s="322"/>
      <c r="Z322" s="322"/>
      <c r="AA322" s="322"/>
      <c r="AB322" s="322"/>
      <c r="AC322" s="322"/>
      <c r="AD322" s="328"/>
      <c r="AL322" s="266"/>
    </row>
    <row r="323" spans="1:38" ht="26.25" customHeight="1" x14ac:dyDescent="0.25">
      <c r="A323" s="896" t="s">
        <v>483</v>
      </c>
      <c r="B323" s="897"/>
      <c r="C323" s="897"/>
      <c r="D323" s="897"/>
      <c r="E323" s="897"/>
      <c r="F323" s="897"/>
      <c r="G323" s="897"/>
      <c r="H323" s="897"/>
      <c r="I323" s="897"/>
      <c r="J323" s="897"/>
      <c r="K323" s="897"/>
      <c r="L323" s="897"/>
      <c r="M323" s="897"/>
      <c r="N323" s="897"/>
      <c r="O323" s="897"/>
      <c r="P323" s="897"/>
      <c r="Q323" s="898"/>
      <c r="R323" s="320"/>
      <c r="S323" s="324" t="s">
        <v>537</v>
      </c>
      <c r="T323" s="320"/>
      <c r="U323" s="320"/>
      <c r="V323" s="320"/>
      <c r="W323" s="322"/>
      <c r="X323" s="322"/>
      <c r="Y323" s="322"/>
      <c r="Z323" s="322"/>
      <c r="AA323" s="322"/>
      <c r="AB323" s="322"/>
      <c r="AC323" s="322"/>
      <c r="AD323" s="328"/>
      <c r="AL323" s="266"/>
    </row>
    <row r="324" spans="1:38" ht="26.25" customHeight="1" x14ac:dyDescent="0.25">
      <c r="A324" s="859" t="s">
        <v>544</v>
      </c>
      <c r="B324" s="860"/>
      <c r="C324" s="860"/>
      <c r="D324" s="860"/>
      <c r="E324" s="860"/>
      <c r="F324" s="860"/>
      <c r="G324" s="860"/>
      <c r="H324" s="860"/>
      <c r="I324" s="860"/>
      <c r="J324" s="860"/>
      <c r="K324" s="860"/>
      <c r="L324" s="861"/>
      <c r="M324" s="876"/>
      <c r="N324" s="877"/>
      <c r="O324" s="877"/>
      <c r="P324" s="877"/>
      <c r="Q324" s="878"/>
      <c r="R324" s="320"/>
      <c r="S324" s="325" t="str">
        <f>IF(ISBLANK(M324),"",VLOOKUP(M324,VRemote,2,FALSE))</f>
        <v/>
      </c>
      <c r="T324" s="326" t="s">
        <v>545</v>
      </c>
      <c r="U324" s="320"/>
      <c r="V324" s="320"/>
      <c r="W324" s="332"/>
      <c r="X324" s="322"/>
      <c r="Y324" s="322"/>
      <c r="Z324" s="322"/>
      <c r="AA324" s="322"/>
      <c r="AB324" s="322"/>
      <c r="AC324" s="322"/>
      <c r="AD324" s="328"/>
      <c r="AL324" s="266"/>
    </row>
    <row r="325" spans="1:38" ht="26.25" customHeight="1" x14ac:dyDescent="0.25">
      <c r="A325" s="859" t="s">
        <v>529</v>
      </c>
      <c r="B325" s="860"/>
      <c r="C325" s="860"/>
      <c r="D325" s="860"/>
      <c r="E325" s="860"/>
      <c r="F325" s="860"/>
      <c r="G325" s="860"/>
      <c r="H325" s="860"/>
      <c r="I325" s="860"/>
      <c r="J325" s="860"/>
      <c r="K325" s="860"/>
      <c r="L325" s="860"/>
      <c r="M325" s="876"/>
      <c r="N325" s="877"/>
      <c r="O325" s="877"/>
      <c r="P325" s="877"/>
      <c r="Q325" s="878"/>
      <c r="R325" s="322"/>
      <c r="S325" s="325" t="str">
        <f>IF(ISBLANK(M325),"",VLOOKUP(M325,VCapacity,2,FALSE))</f>
        <v/>
      </c>
      <c r="T325" s="327" t="s">
        <v>539</v>
      </c>
      <c r="U325" s="322"/>
      <c r="V325" s="322"/>
      <c r="W325" s="320"/>
      <c r="X325" s="322"/>
      <c r="Y325" s="322"/>
      <c r="Z325" s="322"/>
      <c r="AA325" s="322"/>
      <c r="AB325" s="322"/>
      <c r="AC325" s="322"/>
      <c r="AD325" s="328"/>
      <c r="AL325" s="266"/>
    </row>
    <row r="326" spans="1:38" ht="26.25" customHeight="1" x14ac:dyDescent="0.25">
      <c r="A326" s="859" t="s">
        <v>484</v>
      </c>
      <c r="B326" s="860"/>
      <c r="C326" s="860"/>
      <c r="D326" s="860"/>
      <c r="E326" s="860"/>
      <c r="F326" s="860"/>
      <c r="G326" s="860"/>
      <c r="H326" s="860"/>
      <c r="I326" s="860"/>
      <c r="J326" s="860"/>
      <c r="K326" s="860"/>
      <c r="L326" s="860"/>
      <c r="M326" s="876"/>
      <c r="N326" s="877"/>
      <c r="O326" s="877"/>
      <c r="P326" s="877"/>
      <c r="Q326" s="878"/>
      <c r="R326" s="322"/>
      <c r="S326" s="325" t="str">
        <f>IF(ISBLANK(M326),"",VLOOKUP(M326,VPriorCap,2,FALSE))</f>
        <v/>
      </c>
      <c r="T326" s="327" t="s">
        <v>489</v>
      </c>
      <c r="U326" s="322"/>
      <c r="V326" s="322"/>
      <c r="W326" s="322"/>
      <c r="X326" s="322"/>
      <c r="Y326" s="322"/>
      <c r="Z326" s="322"/>
      <c r="AA326" s="322"/>
      <c r="AB326" s="322"/>
      <c r="AC326" s="322"/>
      <c r="AD326" s="328"/>
    </row>
    <row r="327" spans="1:38" ht="26.25" customHeight="1" x14ac:dyDescent="0.25">
      <c r="A327" s="780" t="s">
        <v>515</v>
      </c>
      <c r="B327" s="781"/>
      <c r="C327" s="781"/>
      <c r="D327" s="781"/>
      <c r="E327" s="781"/>
      <c r="F327" s="781"/>
      <c r="G327" s="781"/>
      <c r="H327" s="781"/>
      <c r="I327" s="781"/>
      <c r="J327" s="781"/>
      <c r="K327" s="781"/>
      <c r="L327" s="781"/>
      <c r="M327" s="781"/>
      <c r="N327" s="781"/>
      <c r="O327" s="781"/>
      <c r="P327" s="781"/>
      <c r="Q327" s="782"/>
      <c r="R327" s="322"/>
      <c r="S327" s="330" t="str">
        <f>IF(ISBLANK(A328),"",A328)</f>
        <v/>
      </c>
      <c r="T327" s="327" t="s">
        <v>490</v>
      </c>
      <c r="U327" s="322"/>
      <c r="V327" s="322"/>
      <c r="W327" s="322"/>
      <c r="X327" s="322"/>
      <c r="Y327" s="322"/>
      <c r="Z327" s="322"/>
      <c r="AA327" s="322"/>
      <c r="AB327" s="322"/>
      <c r="AC327" s="322"/>
      <c r="AD327" s="328"/>
    </row>
    <row r="328" spans="1:38" ht="25.9" customHeight="1" x14ac:dyDescent="0.25">
      <c r="A328" s="862"/>
      <c r="B328" s="845"/>
      <c r="C328" s="845"/>
      <c r="D328" s="845"/>
      <c r="E328" s="845"/>
      <c r="F328" s="845"/>
      <c r="G328" s="845"/>
      <c r="H328" s="845"/>
      <c r="I328" s="845"/>
      <c r="J328" s="845"/>
      <c r="K328" s="845"/>
      <c r="L328" s="845"/>
      <c r="M328" s="845"/>
      <c r="N328" s="845"/>
      <c r="O328" s="845"/>
      <c r="P328" s="845"/>
      <c r="Q328" s="863"/>
      <c r="R328" s="322"/>
      <c r="S328" s="322"/>
      <c r="T328" s="322"/>
      <c r="U328" s="322"/>
      <c r="V328" s="322"/>
      <c r="W328" s="322"/>
      <c r="X328" s="322"/>
      <c r="Y328" s="322"/>
      <c r="Z328" s="322"/>
      <c r="AA328" s="322"/>
      <c r="AB328" s="322"/>
      <c r="AC328" s="322"/>
      <c r="AD328" s="328"/>
    </row>
    <row r="329" spans="1:38" ht="26.25" customHeight="1" x14ac:dyDescent="0.25">
      <c r="A329" s="864"/>
      <c r="B329" s="865"/>
      <c r="C329" s="865"/>
      <c r="D329" s="865"/>
      <c r="E329" s="865"/>
      <c r="F329" s="865"/>
      <c r="G329" s="865"/>
      <c r="H329" s="865"/>
      <c r="I329" s="865"/>
      <c r="J329" s="865"/>
      <c r="K329" s="865"/>
      <c r="L329" s="865"/>
      <c r="M329" s="865"/>
      <c r="N329" s="865"/>
      <c r="O329" s="865"/>
      <c r="P329" s="865"/>
      <c r="Q329" s="866"/>
      <c r="R329" s="322"/>
      <c r="S329" s="322"/>
      <c r="T329" s="322"/>
      <c r="U329" s="322"/>
      <c r="V329" s="322"/>
      <c r="W329" s="322"/>
      <c r="X329" s="322"/>
      <c r="Y329" s="322"/>
      <c r="Z329" s="322"/>
      <c r="AA329" s="322"/>
      <c r="AB329" s="322"/>
      <c r="AC329" s="322"/>
      <c r="AD329" s="328"/>
    </row>
    <row r="330" spans="1:38" ht="26.25" customHeight="1" x14ac:dyDescent="0.25">
      <c r="A330" s="885" t="s">
        <v>514</v>
      </c>
      <c r="B330" s="886"/>
      <c r="C330" s="886"/>
      <c r="D330" s="886"/>
      <c r="E330" s="886"/>
      <c r="F330" s="886"/>
      <c r="G330" s="886"/>
      <c r="H330" s="886"/>
      <c r="I330" s="886"/>
      <c r="J330" s="886"/>
      <c r="K330" s="886"/>
      <c r="L330" s="886"/>
      <c r="M330" s="886"/>
      <c r="N330" s="886"/>
      <c r="O330" s="886"/>
      <c r="P330" s="886"/>
      <c r="Q330" s="887"/>
      <c r="R330" s="324"/>
      <c r="S330" s="324"/>
      <c r="T330" s="324"/>
      <c r="U330" s="324"/>
      <c r="V330" s="324"/>
      <c r="W330" s="322"/>
      <c r="X330" s="322"/>
      <c r="Y330" s="322"/>
      <c r="Z330" s="322"/>
      <c r="AA330" s="340"/>
      <c r="AB330" s="340"/>
      <c r="AC330" s="340"/>
      <c r="AD330" s="347"/>
    </row>
    <row r="331" spans="1:38" ht="26.25" customHeight="1" x14ac:dyDescent="0.25">
      <c r="A331" s="862"/>
      <c r="B331" s="845"/>
      <c r="C331" s="845"/>
      <c r="D331" s="845"/>
      <c r="E331" s="845"/>
      <c r="F331" s="845"/>
      <c r="G331" s="845"/>
      <c r="H331" s="845"/>
      <c r="I331" s="845"/>
      <c r="J331" s="845"/>
      <c r="K331" s="845"/>
      <c r="L331" s="845"/>
      <c r="M331" s="845"/>
      <c r="N331" s="845"/>
      <c r="O331" s="845"/>
      <c r="P331" s="845"/>
      <c r="Q331" s="846"/>
      <c r="R331" s="322"/>
      <c r="S331" s="330" t="str">
        <f>IF(ISBLANK(A331),"",A331)</f>
        <v/>
      </c>
      <c r="T331" s="289" t="s">
        <v>36</v>
      </c>
      <c r="U331" s="322"/>
      <c r="V331" s="322"/>
      <c r="W331" s="322"/>
      <c r="X331" s="340"/>
      <c r="Y331" s="340"/>
      <c r="Z331" s="340"/>
      <c r="AA331" s="320"/>
      <c r="AB331" s="320"/>
      <c r="AC331" s="320"/>
      <c r="AD331" s="328"/>
    </row>
    <row r="332" spans="1:38" ht="26.25" customHeight="1" thickBot="1" x14ac:dyDescent="0.25">
      <c r="A332" s="856"/>
      <c r="B332" s="857"/>
      <c r="C332" s="857"/>
      <c r="D332" s="857"/>
      <c r="E332" s="857"/>
      <c r="F332" s="857"/>
      <c r="G332" s="857"/>
      <c r="H332" s="857"/>
      <c r="I332" s="857"/>
      <c r="J332" s="857"/>
      <c r="K332" s="857"/>
      <c r="L332" s="857"/>
      <c r="M332" s="857"/>
      <c r="N332" s="857"/>
      <c r="O332" s="857"/>
      <c r="P332" s="857"/>
      <c r="Q332" s="858"/>
      <c r="R332" s="322"/>
      <c r="S332" s="322"/>
      <c r="T332" s="289"/>
      <c r="U332" s="322"/>
      <c r="V332" s="322"/>
      <c r="W332" s="322"/>
      <c r="X332" s="324"/>
      <c r="Y332" s="324"/>
      <c r="Z332" s="324"/>
      <c r="AA332" s="322"/>
      <c r="AB332" s="322"/>
      <c r="AC332" s="322"/>
      <c r="AD332" s="340"/>
    </row>
    <row r="333" spans="1:38" ht="26.25" customHeight="1" x14ac:dyDescent="0.25">
      <c r="A333" s="850" t="s">
        <v>504</v>
      </c>
      <c r="B333" s="851"/>
      <c r="C333" s="851"/>
      <c r="D333" s="851"/>
      <c r="E333" s="851"/>
      <c r="F333" s="851"/>
      <c r="G333" s="851"/>
      <c r="H333" s="851"/>
      <c r="I333" s="851"/>
      <c r="J333" s="851"/>
      <c r="K333" s="851"/>
      <c r="L333" s="851"/>
      <c r="M333" s="851"/>
      <c r="N333" s="851"/>
      <c r="O333" s="851"/>
      <c r="P333" s="851"/>
      <c r="Q333" s="852"/>
      <c r="R333" s="320"/>
      <c r="S333" s="324" t="s">
        <v>540</v>
      </c>
      <c r="T333" s="320"/>
      <c r="U333" s="320"/>
      <c r="V333" s="320"/>
      <c r="W333" s="322"/>
      <c r="X333" s="322"/>
      <c r="Y333" s="322"/>
      <c r="Z333" s="322"/>
      <c r="AA333" s="322"/>
      <c r="AB333" s="322"/>
      <c r="AC333" s="322"/>
      <c r="AD333" s="328"/>
    </row>
    <row r="334" spans="1:38" ht="26.25" customHeight="1" x14ac:dyDescent="0.25">
      <c r="A334" s="891" t="s">
        <v>557</v>
      </c>
      <c r="B334" s="892"/>
      <c r="C334" s="892"/>
      <c r="D334" s="892"/>
      <c r="E334" s="892"/>
      <c r="F334" s="892"/>
      <c r="G334" s="892"/>
      <c r="H334" s="892"/>
      <c r="I334" s="892"/>
      <c r="J334" s="892"/>
      <c r="K334" s="892"/>
      <c r="L334" s="893"/>
      <c r="M334" s="876"/>
      <c r="N334" s="877"/>
      <c r="O334" s="877"/>
      <c r="P334" s="877"/>
      <c r="Q334" s="878"/>
      <c r="R334" s="322"/>
      <c r="S334" s="331" t="str">
        <f>IF(ISBLANK(M334),"",VLOOKUP(M334,VImpact,2,FALSE))</f>
        <v/>
      </c>
      <c r="T334" s="327" t="s">
        <v>493</v>
      </c>
      <c r="U334" s="322"/>
      <c r="V334" s="322"/>
      <c r="W334" s="322"/>
      <c r="X334" s="322"/>
      <c r="Y334" s="322"/>
      <c r="Z334" s="322"/>
      <c r="AA334" s="322"/>
      <c r="AB334" s="322"/>
      <c r="AC334" s="322"/>
      <c r="AD334" s="328"/>
    </row>
    <row r="335" spans="1:38" ht="26.25" customHeight="1" x14ac:dyDescent="0.25">
      <c r="A335" s="859" t="s">
        <v>554</v>
      </c>
      <c r="B335" s="860"/>
      <c r="C335" s="860"/>
      <c r="D335" s="860"/>
      <c r="E335" s="860"/>
      <c r="F335" s="860"/>
      <c r="G335" s="860"/>
      <c r="H335" s="860"/>
      <c r="I335" s="860"/>
      <c r="J335" s="860"/>
      <c r="K335" s="860"/>
      <c r="L335" s="861"/>
      <c r="M335" s="876"/>
      <c r="N335" s="877"/>
      <c r="O335" s="877"/>
      <c r="P335" s="877"/>
      <c r="Q335" s="878"/>
      <c r="R335" s="322"/>
      <c r="S335" s="331" t="str">
        <f>IF(ISBLANK(M335),"",VLOOKUP(M335,VEvidence,2,FALSE))</f>
        <v/>
      </c>
      <c r="T335" s="307" t="s">
        <v>494</v>
      </c>
      <c r="U335" s="322"/>
      <c r="V335" s="322"/>
      <c r="W335" s="340"/>
      <c r="X335" s="322"/>
      <c r="Y335" s="322"/>
      <c r="Z335" s="322"/>
      <c r="AA335" s="322"/>
      <c r="AB335" s="322"/>
      <c r="AC335" s="322"/>
      <c r="AD335" s="328"/>
    </row>
    <row r="336" spans="1:38" ht="26.25" customHeight="1" x14ac:dyDescent="0.25">
      <c r="A336" s="888" t="s">
        <v>512</v>
      </c>
      <c r="B336" s="889"/>
      <c r="C336" s="889"/>
      <c r="D336" s="889"/>
      <c r="E336" s="889"/>
      <c r="F336" s="889"/>
      <c r="G336" s="889"/>
      <c r="H336" s="889"/>
      <c r="I336" s="889"/>
      <c r="J336" s="889"/>
      <c r="K336" s="889"/>
      <c r="L336" s="889"/>
      <c r="M336" s="889"/>
      <c r="N336" s="889"/>
      <c r="O336" s="889"/>
      <c r="P336" s="889"/>
      <c r="Q336" s="890"/>
      <c r="R336" s="322"/>
      <c r="S336" s="330" t="str">
        <f>IF(ISBLANK(A337),"",A337)</f>
        <v/>
      </c>
      <c r="T336" s="289" t="s">
        <v>35</v>
      </c>
      <c r="U336" s="322"/>
      <c r="V336" s="322"/>
      <c r="W336" s="324"/>
      <c r="X336" s="322"/>
      <c r="Y336" s="322"/>
      <c r="Z336" s="322"/>
      <c r="AA336" s="322"/>
      <c r="AB336" s="322"/>
      <c r="AC336" s="322"/>
      <c r="AD336" s="328"/>
    </row>
    <row r="337" spans="1:30" ht="26.25" customHeight="1" x14ac:dyDescent="0.25">
      <c r="A337" s="862"/>
      <c r="B337" s="845"/>
      <c r="C337" s="845"/>
      <c r="D337" s="845"/>
      <c r="E337" s="845"/>
      <c r="F337" s="845"/>
      <c r="G337" s="845"/>
      <c r="H337" s="845"/>
      <c r="I337" s="845"/>
      <c r="J337" s="845"/>
      <c r="K337" s="845"/>
      <c r="L337" s="845"/>
      <c r="M337" s="845"/>
      <c r="N337" s="845"/>
      <c r="O337" s="845"/>
      <c r="P337" s="845"/>
      <c r="Q337" s="846"/>
      <c r="R337" s="322"/>
      <c r="S337" s="322"/>
      <c r="T337" s="333"/>
      <c r="U337" s="322"/>
      <c r="V337" s="322"/>
      <c r="W337" s="322"/>
      <c r="X337" s="322"/>
      <c r="Y337" s="322"/>
      <c r="Z337" s="322"/>
      <c r="AA337" s="322"/>
      <c r="AB337" s="322"/>
      <c r="AC337" s="322"/>
      <c r="AD337" s="328"/>
    </row>
    <row r="338" spans="1:30" ht="26.25" customHeight="1" x14ac:dyDescent="0.25">
      <c r="A338" s="882"/>
      <c r="B338" s="883"/>
      <c r="C338" s="883"/>
      <c r="D338" s="883"/>
      <c r="E338" s="883"/>
      <c r="F338" s="883"/>
      <c r="G338" s="883"/>
      <c r="H338" s="883"/>
      <c r="I338" s="883"/>
      <c r="J338" s="883"/>
      <c r="K338" s="883"/>
      <c r="L338" s="883"/>
      <c r="M338" s="883"/>
      <c r="N338" s="883"/>
      <c r="O338" s="883"/>
      <c r="P338" s="883"/>
      <c r="Q338" s="884"/>
      <c r="R338" s="322"/>
      <c r="S338" s="322"/>
      <c r="T338" s="333"/>
      <c r="U338" s="322"/>
      <c r="V338" s="322"/>
      <c r="W338" s="322"/>
      <c r="X338" s="322"/>
      <c r="Y338" s="322"/>
      <c r="Z338" s="322"/>
      <c r="AA338" s="322"/>
      <c r="AB338" s="322"/>
      <c r="AC338" s="322"/>
      <c r="AD338" s="328"/>
    </row>
    <row r="339" spans="1:30" ht="26.25" customHeight="1" x14ac:dyDescent="0.25">
      <c r="A339" s="867" t="s">
        <v>513</v>
      </c>
      <c r="B339" s="868"/>
      <c r="C339" s="868"/>
      <c r="D339" s="868"/>
      <c r="E339" s="868"/>
      <c r="F339" s="868"/>
      <c r="G339" s="868"/>
      <c r="H339" s="868"/>
      <c r="I339" s="868"/>
      <c r="J339" s="868"/>
      <c r="K339" s="868"/>
      <c r="L339" s="868"/>
      <c r="M339" s="868"/>
      <c r="N339" s="868"/>
      <c r="O339" s="868"/>
      <c r="P339" s="868"/>
      <c r="Q339" s="869"/>
      <c r="R339" s="322"/>
      <c r="S339" s="330" t="str">
        <f>IF(ISBLANK(A340),"",A340)</f>
        <v/>
      </c>
      <c r="T339" s="333" t="s">
        <v>542</v>
      </c>
      <c r="U339" s="322"/>
      <c r="V339" s="322"/>
      <c r="W339" s="322"/>
      <c r="X339" s="322"/>
      <c r="Y339" s="322"/>
      <c r="Z339" s="322"/>
      <c r="AA339" s="322"/>
      <c r="AB339" s="322"/>
      <c r="AC339" s="322"/>
      <c r="AD339" s="328"/>
    </row>
    <row r="340" spans="1:30" ht="26.25" customHeight="1" x14ac:dyDescent="0.25">
      <c r="A340" s="862"/>
      <c r="B340" s="845"/>
      <c r="C340" s="845"/>
      <c r="D340" s="845"/>
      <c r="E340" s="845"/>
      <c r="F340" s="845"/>
      <c r="G340" s="845"/>
      <c r="H340" s="845"/>
      <c r="I340" s="845"/>
      <c r="J340" s="845"/>
      <c r="K340" s="845"/>
      <c r="L340" s="845"/>
      <c r="M340" s="845"/>
      <c r="N340" s="845"/>
      <c r="O340" s="845"/>
      <c r="P340" s="845"/>
      <c r="Q340" s="863"/>
      <c r="R340" s="322"/>
      <c r="U340" s="322"/>
      <c r="V340" s="322"/>
      <c r="W340" s="322"/>
      <c r="X340" s="322"/>
      <c r="Y340" s="322"/>
      <c r="Z340" s="322"/>
      <c r="AA340" s="322"/>
      <c r="AB340" s="322"/>
      <c r="AC340" s="322"/>
      <c r="AD340" s="328"/>
    </row>
    <row r="341" spans="1:30" ht="26.25" customHeight="1" thickBot="1" x14ac:dyDescent="0.3">
      <c r="A341" s="847"/>
      <c r="B341" s="848"/>
      <c r="C341" s="848"/>
      <c r="D341" s="848"/>
      <c r="E341" s="848"/>
      <c r="F341" s="848"/>
      <c r="G341" s="848"/>
      <c r="H341" s="848"/>
      <c r="I341" s="848"/>
      <c r="J341" s="848"/>
      <c r="K341" s="848"/>
      <c r="L341" s="848"/>
      <c r="M341" s="848"/>
      <c r="N341" s="848"/>
      <c r="O341" s="848"/>
      <c r="P341" s="848"/>
      <c r="Q341" s="849"/>
      <c r="R341" s="322"/>
      <c r="S341" s="322"/>
      <c r="T341" s="322"/>
      <c r="U341" s="322"/>
      <c r="V341" s="322"/>
      <c r="W341" s="322"/>
      <c r="X341" s="322"/>
      <c r="Y341" s="322"/>
      <c r="Z341" s="322"/>
      <c r="AA341" s="332"/>
      <c r="AB341" s="332"/>
      <c r="AC341" s="332"/>
      <c r="AD341" s="328"/>
    </row>
    <row r="342" spans="1:30" ht="26.25" customHeight="1" x14ac:dyDescent="0.25">
      <c r="A342" s="841" t="s">
        <v>555</v>
      </c>
      <c r="B342" s="842"/>
      <c r="C342" s="842"/>
      <c r="D342" s="842"/>
      <c r="E342" s="842"/>
      <c r="F342" s="842"/>
      <c r="G342" s="842"/>
      <c r="H342" s="842"/>
      <c r="I342" s="842"/>
      <c r="J342" s="842"/>
      <c r="K342" s="842"/>
      <c r="L342" s="842"/>
      <c r="M342" s="842"/>
      <c r="N342" s="842"/>
      <c r="O342" s="842"/>
      <c r="P342" s="842"/>
      <c r="Q342" s="843"/>
      <c r="S342" s="336" t="str">
        <f>IF(ISBLANK(A343),"",A343)</f>
        <v/>
      </c>
      <c r="T342" s="337" t="s">
        <v>556</v>
      </c>
      <c r="W342" s="322"/>
      <c r="X342" s="340"/>
      <c r="Y342" s="340"/>
      <c r="Z342" s="340"/>
      <c r="AA342" s="320"/>
      <c r="AB342" s="320"/>
      <c r="AC342" s="320"/>
      <c r="AD342" s="328"/>
    </row>
    <row r="343" spans="1:30" ht="26.25" customHeight="1" x14ac:dyDescent="0.2">
      <c r="A343" s="862"/>
      <c r="B343" s="845"/>
      <c r="C343" s="845"/>
      <c r="D343" s="845"/>
      <c r="E343" s="845"/>
      <c r="F343" s="845"/>
      <c r="G343" s="845"/>
      <c r="H343" s="845"/>
      <c r="I343" s="845"/>
      <c r="J343" s="845"/>
      <c r="K343" s="845"/>
      <c r="L343" s="845"/>
      <c r="M343" s="845"/>
      <c r="N343" s="845"/>
      <c r="O343" s="845"/>
      <c r="P343" s="845"/>
      <c r="Q343" s="846"/>
      <c r="W343" s="322"/>
      <c r="X343" s="320"/>
      <c r="Y343" s="320"/>
      <c r="Z343" s="320"/>
      <c r="AA343" s="322"/>
      <c r="AB343" s="322"/>
      <c r="AC343" s="322"/>
      <c r="AD343" s="340"/>
    </row>
    <row r="344" spans="1:30" ht="26.25" customHeight="1" thickBot="1" x14ac:dyDescent="0.3">
      <c r="A344" s="847"/>
      <c r="B344" s="848"/>
      <c r="C344" s="848"/>
      <c r="D344" s="848"/>
      <c r="E344" s="848"/>
      <c r="F344" s="848"/>
      <c r="G344" s="848"/>
      <c r="H344" s="848"/>
      <c r="I344" s="848"/>
      <c r="J344" s="848"/>
      <c r="K344" s="848"/>
      <c r="L344" s="848"/>
      <c r="M344" s="848"/>
      <c r="N344" s="848"/>
      <c r="O344" s="848"/>
      <c r="P344" s="848"/>
      <c r="Q344" s="849"/>
      <c r="R344" s="286"/>
      <c r="S344" s="286"/>
      <c r="T344" s="286"/>
      <c r="U344" s="286"/>
      <c r="V344" s="286"/>
      <c r="W344" s="322"/>
      <c r="X344" s="322"/>
      <c r="Y344" s="322"/>
      <c r="Z344" s="322"/>
      <c r="AA344" s="322"/>
      <c r="AB344" s="322"/>
      <c r="AC344" s="322"/>
      <c r="AD344" s="328"/>
    </row>
    <row r="345" spans="1:30" ht="26.25" customHeight="1" x14ac:dyDescent="0.25">
      <c r="A345" s="850" t="s">
        <v>482</v>
      </c>
      <c r="B345" s="851"/>
      <c r="C345" s="851"/>
      <c r="D345" s="851"/>
      <c r="E345" s="851"/>
      <c r="F345" s="851"/>
      <c r="G345" s="851"/>
      <c r="H345" s="851"/>
      <c r="I345" s="851"/>
      <c r="J345" s="851"/>
      <c r="K345" s="851"/>
      <c r="L345" s="851"/>
      <c r="M345" s="851"/>
      <c r="N345" s="851"/>
      <c r="O345" s="851"/>
      <c r="P345" s="851"/>
      <c r="Q345" s="852"/>
      <c r="R345" s="334"/>
      <c r="S345" s="341"/>
      <c r="T345" s="342"/>
      <c r="U345" s="334"/>
      <c r="V345" s="334"/>
      <c r="W345" s="322"/>
      <c r="X345" s="322"/>
      <c r="Y345" s="322"/>
      <c r="Z345" s="322"/>
      <c r="AA345" s="322"/>
      <c r="AB345" s="322"/>
      <c r="AC345" s="322"/>
      <c r="AD345" s="328"/>
    </row>
    <row r="346" spans="1:30" ht="26.25" customHeight="1" x14ac:dyDescent="0.2">
      <c r="A346" s="853"/>
      <c r="B346" s="854"/>
      <c r="C346" s="854"/>
      <c r="D346" s="854"/>
      <c r="E346" s="854"/>
      <c r="F346" s="854"/>
      <c r="G346" s="854"/>
      <c r="H346" s="854"/>
      <c r="I346" s="854"/>
      <c r="J346" s="854"/>
      <c r="K346" s="854"/>
      <c r="L346" s="854"/>
      <c r="M346" s="854"/>
      <c r="N346" s="854"/>
      <c r="O346" s="854"/>
      <c r="P346" s="854"/>
      <c r="Q346" s="855"/>
      <c r="R346" s="186"/>
      <c r="S346" s="343" t="str">
        <f>IF(ISBLANK(A346),"",CONCATENATE(S345,A346))</f>
        <v/>
      </c>
      <c r="T346" s="289" t="s">
        <v>37</v>
      </c>
      <c r="U346" s="186"/>
      <c r="V346" s="186"/>
      <c r="W346" s="340"/>
      <c r="X346" s="322"/>
      <c r="Y346" s="322"/>
      <c r="Z346" s="322"/>
      <c r="AA346" s="322"/>
      <c r="AB346" s="322"/>
      <c r="AC346" s="322"/>
      <c r="AD346" s="340"/>
    </row>
    <row r="347" spans="1:30" ht="26.25" customHeight="1" thickBot="1" x14ac:dyDescent="0.25">
      <c r="A347" s="856"/>
      <c r="B347" s="857"/>
      <c r="C347" s="857"/>
      <c r="D347" s="857"/>
      <c r="E347" s="857"/>
      <c r="F347" s="857"/>
      <c r="G347" s="857"/>
      <c r="H347" s="857"/>
      <c r="I347" s="857"/>
      <c r="J347" s="857"/>
      <c r="K347" s="857"/>
      <c r="L347" s="857"/>
      <c r="M347" s="857"/>
      <c r="N347" s="857"/>
      <c r="O347" s="857"/>
      <c r="P347" s="857"/>
      <c r="Q347" s="858"/>
      <c r="R347" s="186"/>
      <c r="S347" s="340"/>
      <c r="T347" s="340"/>
      <c r="U347" s="340"/>
      <c r="V347" s="340"/>
      <c r="W347" s="320"/>
      <c r="X347" s="322"/>
      <c r="Y347" s="322"/>
      <c r="Z347" s="322"/>
      <c r="AA347" s="322"/>
      <c r="AB347" s="322"/>
      <c r="AC347" s="322"/>
      <c r="AD347" s="340"/>
    </row>
    <row r="348" spans="1:30" ht="26.25" customHeight="1" x14ac:dyDescent="0.2">
      <c r="A348" s="344" t="e">
        <f>$A$1</f>
        <v>#N/A</v>
      </c>
      <c r="B348" s="340"/>
      <c r="C348" s="340"/>
      <c r="D348" s="340"/>
      <c r="E348" s="340"/>
      <c r="F348" s="340"/>
      <c r="G348" s="340"/>
      <c r="H348" s="340"/>
      <c r="I348" s="340"/>
      <c r="J348" s="340"/>
      <c r="K348" s="340"/>
      <c r="L348" s="340"/>
      <c r="M348" s="340"/>
      <c r="N348" s="340"/>
      <c r="O348" s="340"/>
      <c r="P348" s="773"/>
      <c r="Q348" s="773"/>
      <c r="R348" s="332"/>
      <c r="S348" s="332"/>
      <c r="T348" s="332"/>
      <c r="U348" s="332"/>
      <c r="V348" s="332"/>
      <c r="W348" s="322"/>
      <c r="X348" s="322"/>
      <c r="Y348" s="322"/>
      <c r="Z348" s="322"/>
      <c r="AA348" s="322"/>
      <c r="AB348" s="322"/>
      <c r="AC348" s="322"/>
      <c r="AD348" s="340"/>
    </row>
    <row r="349" spans="1:30" ht="26.25" customHeight="1" thickBot="1" x14ac:dyDescent="0.25">
      <c r="A349" s="776" t="s">
        <v>573</v>
      </c>
      <c r="B349" s="777"/>
      <c r="C349" s="777"/>
      <c r="D349" s="777"/>
      <c r="E349" s="777"/>
      <c r="F349" s="777"/>
      <c r="G349" s="777"/>
      <c r="H349" s="777"/>
      <c r="I349" s="777"/>
      <c r="J349" s="777"/>
      <c r="K349" s="777"/>
      <c r="L349" s="777"/>
      <c r="M349" s="777"/>
      <c r="N349" s="774" t="str">
        <f>$N$5</f>
        <v>2022 Report Year</v>
      </c>
      <c r="O349" s="775"/>
      <c r="P349" s="775"/>
      <c r="Q349" s="775"/>
      <c r="R349" s="338"/>
      <c r="S349" s="338"/>
      <c r="T349" s="338"/>
      <c r="U349" s="338"/>
      <c r="V349" s="338"/>
      <c r="W349" s="322"/>
      <c r="X349" s="322"/>
      <c r="Y349" s="322"/>
      <c r="Z349" s="322"/>
      <c r="AA349" s="322"/>
      <c r="AB349" s="322"/>
      <c r="AC349" s="322"/>
      <c r="AD349" s="340"/>
    </row>
    <row r="350" spans="1:30" ht="26.25" customHeight="1" x14ac:dyDescent="0.2">
      <c r="A350" s="821" t="e">
        <f>IF(AND(OR(ISNA(cap_exp_contact),TRIM(cap_exp_contact)=""),NOT(ISBLANK(code_7594))),"The Capital Expenditure Contact information has NOT been provided.  Please complete this information now.","")</f>
        <v>#N/A</v>
      </c>
      <c r="B350" s="822"/>
      <c r="C350" s="822"/>
      <c r="D350" s="822"/>
      <c r="E350" s="822"/>
      <c r="F350" s="822"/>
      <c r="G350" s="822"/>
      <c r="H350" s="822"/>
      <c r="I350" s="822"/>
      <c r="J350" s="822"/>
      <c r="K350" s="822"/>
      <c r="L350" s="822"/>
      <c r="M350" s="822"/>
      <c r="N350" s="271" t="s">
        <v>278</v>
      </c>
      <c r="O350" s="272" t="e">
        <f>'Capital Expend Detail'!$I$7</f>
        <v>#N/A</v>
      </c>
      <c r="P350" s="273" t="s">
        <v>431</v>
      </c>
      <c r="Q350" s="274" t="e">
        <f>IF(ISBLANK(Q307),"",Q307+1)</f>
        <v>#VALUE!</v>
      </c>
      <c r="R350" s="197"/>
      <c r="S350" s="340"/>
      <c r="T350" s="340"/>
      <c r="U350" s="340"/>
      <c r="V350" s="340"/>
      <c r="W350" s="322"/>
      <c r="X350" s="322"/>
      <c r="Y350" s="322"/>
      <c r="Z350" s="322"/>
      <c r="AA350" s="322"/>
      <c r="AB350" s="322"/>
      <c r="AC350" s="322"/>
      <c r="AD350" s="340"/>
    </row>
    <row r="351" spans="1:30" ht="26.25" customHeight="1" thickBot="1" x14ac:dyDescent="0.25">
      <c r="A351" s="778" t="s">
        <v>432</v>
      </c>
      <c r="B351" s="779"/>
      <c r="C351" s="779"/>
      <c r="D351" s="779"/>
      <c r="E351" s="815"/>
      <c r="F351" s="816"/>
      <c r="G351" s="816"/>
      <c r="H351" s="816"/>
      <c r="I351" s="816"/>
      <c r="J351" s="816"/>
      <c r="K351" s="816"/>
      <c r="L351" s="817"/>
      <c r="M351" s="276"/>
      <c r="N351" s="823" t="s">
        <v>443</v>
      </c>
      <c r="O351" s="824"/>
      <c r="P351" s="824"/>
      <c r="Q351" s="825"/>
      <c r="R351" s="197"/>
      <c r="S351" s="277" t="str">
        <f>IF(ISBLANK(E351),"",E351)</f>
        <v/>
      </c>
      <c r="T351" s="278" t="s">
        <v>407</v>
      </c>
      <c r="U351" s="197"/>
      <c r="V351" s="197"/>
      <c r="W351" s="322"/>
      <c r="X351" s="322"/>
      <c r="Y351" s="322"/>
      <c r="Z351" s="322"/>
      <c r="AA351" s="322"/>
      <c r="AB351" s="322"/>
      <c r="AC351" s="322"/>
      <c r="AD351" s="340"/>
    </row>
    <row r="352" spans="1:30" ht="26.25" customHeight="1" x14ac:dyDescent="0.2">
      <c r="A352" s="833" t="s">
        <v>433</v>
      </c>
      <c r="B352" s="834"/>
      <c r="C352" s="834"/>
      <c r="D352" s="835"/>
      <c r="E352" s="788"/>
      <c r="F352" s="789"/>
      <c r="G352" s="789"/>
      <c r="H352" s="789"/>
      <c r="I352" s="789"/>
      <c r="J352" s="789"/>
      <c r="K352" s="789"/>
      <c r="L352" s="790"/>
      <c r="M352" s="793" t="str">
        <f>IF(AND(ISBLANK(E352),OR(NOT(ISBLANK(E353)),NOT(ISBLANK(E354)),NOT(ISBLANK(E355)),NOT(ISBLANK(I356)),NOT(ISBLANK(A358)))),"This information is required.","")</f>
        <v/>
      </c>
      <c r="N352" s="794"/>
      <c r="O352" s="794"/>
      <c r="P352" s="794"/>
      <c r="Q352" s="279"/>
      <c r="R352" s="197"/>
      <c r="S352" s="277" t="str">
        <f>IF(ISBLANK(E352),"",E352)</f>
        <v/>
      </c>
      <c r="T352" s="278" t="s">
        <v>27</v>
      </c>
      <c r="U352" s="197"/>
      <c r="V352" s="197"/>
      <c r="W352" s="322"/>
      <c r="X352" s="322"/>
      <c r="Y352" s="322"/>
      <c r="Z352" s="322"/>
      <c r="AA352" s="340"/>
      <c r="AB352" s="340"/>
      <c r="AC352" s="340"/>
      <c r="AD352" s="340"/>
    </row>
    <row r="353" spans="1:30" ht="26.25" customHeight="1" x14ac:dyDescent="0.2">
      <c r="A353" s="783" t="s">
        <v>434</v>
      </c>
      <c r="B353" s="784"/>
      <c r="C353" s="784"/>
      <c r="D353" s="785"/>
      <c r="E353" s="788"/>
      <c r="F353" s="789"/>
      <c r="G353" s="789"/>
      <c r="H353" s="789"/>
      <c r="I353" s="789"/>
      <c r="J353" s="789"/>
      <c r="K353" s="789"/>
      <c r="L353" s="790"/>
      <c r="M353" s="793" t="str">
        <f>IF(AND(ISBLANK(E353),OR(NOT(ISBLANK(E352)),NOT(ISBLANK(E354)),NOT(ISBLANK(E355)),NOT(ISBLANK(I356)),NOT(ISBLANK(A358)))),"This information is required.","")</f>
        <v/>
      </c>
      <c r="N353" s="794"/>
      <c r="O353" s="794"/>
      <c r="P353" s="794"/>
      <c r="Q353" s="279"/>
      <c r="R353" s="197"/>
      <c r="S353" s="277" t="str">
        <f>IF(ISBLANK(E353),"",E353)</f>
        <v/>
      </c>
      <c r="T353" s="278" t="s">
        <v>28</v>
      </c>
      <c r="U353" s="197"/>
      <c r="V353" s="197"/>
      <c r="W353" s="322"/>
      <c r="X353" s="332"/>
      <c r="Y353" s="332"/>
      <c r="Z353" s="332"/>
      <c r="AA353" s="324"/>
      <c r="AB353" s="324"/>
      <c r="AC353" s="324"/>
      <c r="AD353" s="340"/>
    </row>
    <row r="354" spans="1:30" ht="26.25" customHeight="1" x14ac:dyDescent="0.2">
      <c r="A354" s="873" t="s">
        <v>436</v>
      </c>
      <c r="B354" s="874"/>
      <c r="C354" s="874"/>
      <c r="D354" s="875"/>
      <c r="E354" s="813"/>
      <c r="F354" s="814"/>
      <c r="G354" s="786" t="s">
        <v>437</v>
      </c>
      <c r="H354" s="786"/>
      <c r="I354" s="786"/>
      <c r="J354" s="786"/>
      <c r="K354" s="786"/>
      <c r="L354" s="786"/>
      <c r="M354" s="787" t="str">
        <f>IF(AND(ISBLANK(E354),OR(NOT(ISBLANK(E352)),NOT(ISBLANK(E353)),NOT(ISBLANK(E355)),NOT(ISBLANK(I356)),NOT(ISBLANK(A358)))),"This information is required.","")</f>
        <v/>
      </c>
      <c r="N354" s="711"/>
      <c r="O354" s="711"/>
      <c r="P354" s="711"/>
      <c r="Q354" s="280"/>
      <c r="R354" s="281"/>
      <c r="S354" s="282" t="str">
        <f>IF(ISBLANK(E354),"",E354)</f>
        <v/>
      </c>
      <c r="T354" s="283" t="s">
        <v>30</v>
      </c>
      <c r="U354" s="281"/>
      <c r="V354" s="281"/>
      <c r="W354" s="322"/>
      <c r="X354" s="338"/>
      <c r="Y354" s="338"/>
      <c r="Z354" s="338"/>
      <c r="AA354" s="322"/>
      <c r="AB354" s="322"/>
      <c r="AC354" s="322"/>
      <c r="AD354" s="340"/>
    </row>
    <row r="355" spans="1:30" ht="26.25" customHeight="1" x14ac:dyDescent="0.2">
      <c r="A355" s="783" t="s">
        <v>435</v>
      </c>
      <c r="B355" s="784"/>
      <c r="C355" s="784"/>
      <c r="D355" s="785"/>
      <c r="E355" s="828"/>
      <c r="F355" s="829"/>
      <c r="G355" s="284"/>
      <c r="H355" s="285"/>
      <c r="I355" s="286"/>
      <c r="J355" s="281"/>
      <c r="K355" s="281"/>
      <c r="L355" s="281"/>
      <c r="M355" s="711" t="str">
        <f>IF(AND(ISBLANK(E355),OR(NOT(ISBLANK(E352)),NOT(ISBLANK(E353)),NOT(ISBLANK(E354)),NOT(ISBLANK(I356)),NOT(ISBLANK(A358)))),"This information is required.","")</f>
        <v/>
      </c>
      <c r="N355" s="711"/>
      <c r="O355" s="711"/>
      <c r="P355" s="711"/>
      <c r="Q355" s="280"/>
      <c r="R355" s="287"/>
      <c r="S355" s="288" t="str">
        <f>IF(ISBLANK(E355),"",E355)</f>
        <v/>
      </c>
      <c r="T355" s="289" t="s">
        <v>31</v>
      </c>
      <c r="U355" s="287"/>
      <c r="V355" s="287"/>
      <c r="W355" s="322"/>
      <c r="X355" s="340"/>
      <c r="Y355" s="340"/>
      <c r="Z355" s="340"/>
      <c r="AA355" s="322"/>
      <c r="AB355" s="322"/>
      <c r="AC355" s="322"/>
      <c r="AD355" s="340"/>
    </row>
    <row r="356" spans="1:30" ht="26.25" customHeight="1" thickBot="1" x14ac:dyDescent="0.25">
      <c r="A356" s="797" t="s">
        <v>426</v>
      </c>
      <c r="B356" s="798"/>
      <c r="C356" s="798"/>
      <c r="D356" s="798"/>
      <c r="E356" s="799"/>
      <c r="F356" s="799"/>
      <c r="G356" s="799"/>
      <c r="H356" s="799"/>
      <c r="I356" s="832"/>
      <c r="J356" s="832"/>
      <c r="K356" s="795" t="s">
        <v>481</v>
      </c>
      <c r="L356" s="796"/>
      <c r="M356" s="827" t="str">
        <f>IF(AND(ISBLANK(I356),OR(NOT(ISBLANK(E352)),NOT(ISBLANK(E353)),NOT(ISBLANK(E354)),NOT(ISBLANK(E355)),NOT(ISBLANK(A358)))),"This information is required!","")</f>
        <v/>
      </c>
      <c r="N356" s="827"/>
      <c r="O356" s="827"/>
      <c r="P356" s="827"/>
      <c r="Q356" s="290"/>
      <c r="R356" s="287"/>
      <c r="S356" s="288" t="str">
        <f>IF(ISBLANK(I356),"",I356)</f>
        <v/>
      </c>
      <c r="T356" s="289" t="s">
        <v>32</v>
      </c>
      <c r="U356" s="291"/>
      <c r="V356" s="291"/>
      <c r="W356" s="322"/>
      <c r="X356" s="340"/>
      <c r="Y356" s="340"/>
      <c r="Z356" s="340"/>
      <c r="AA356" s="322"/>
      <c r="AB356" s="322"/>
      <c r="AC356" s="322"/>
      <c r="AD356" s="340"/>
    </row>
    <row r="357" spans="1:30" ht="26.25" customHeight="1" x14ac:dyDescent="0.2">
      <c r="A357" s="841" t="s">
        <v>553</v>
      </c>
      <c r="B357" s="842"/>
      <c r="C357" s="842"/>
      <c r="D357" s="842"/>
      <c r="E357" s="842"/>
      <c r="F357" s="842"/>
      <c r="G357" s="842"/>
      <c r="H357" s="842"/>
      <c r="I357" s="842"/>
      <c r="J357" s="909"/>
      <c r="K357" s="907" t="s">
        <v>646</v>
      </c>
      <c r="L357" s="907"/>
      <c r="M357" s="907"/>
      <c r="N357" s="907"/>
      <c r="O357" s="830" t="s">
        <v>535</v>
      </c>
      <c r="P357" s="830"/>
      <c r="Q357" s="831"/>
      <c r="R357" s="293"/>
      <c r="S357" s="288" t="str">
        <f>IF(ISBLANK(A358),"",A358)</f>
        <v/>
      </c>
      <c r="T357" s="289" t="s">
        <v>33</v>
      </c>
      <c r="U357" s="294"/>
      <c r="V357" s="294"/>
      <c r="W357" s="332"/>
      <c r="X357" s="340"/>
      <c r="Y357" s="340"/>
      <c r="Z357" s="340"/>
      <c r="AA357" s="322"/>
      <c r="AB357" s="322"/>
      <c r="AC357" s="322"/>
      <c r="AD357" s="340"/>
    </row>
    <row r="358" spans="1:30" ht="26.25" customHeight="1" x14ac:dyDescent="0.2">
      <c r="A358" s="853"/>
      <c r="B358" s="854"/>
      <c r="C358" s="854"/>
      <c r="D358" s="854"/>
      <c r="E358" s="854"/>
      <c r="F358" s="854"/>
      <c r="G358" s="854"/>
      <c r="H358" s="854"/>
      <c r="I358" s="854"/>
      <c r="J358" s="902"/>
      <c r="K358" s="908"/>
      <c r="L358" s="908"/>
      <c r="M358" s="908"/>
      <c r="N358" s="908"/>
      <c r="O358" s="295"/>
      <c r="P358" s="296" t="s">
        <v>43</v>
      </c>
      <c r="Q358" s="297" t="s">
        <v>44</v>
      </c>
      <c r="R358" s="293"/>
      <c r="S358" s="288" t="str">
        <f>IF(ISBLANK(A361),"",A361)</f>
        <v/>
      </c>
      <c r="T358" s="298" t="s">
        <v>34</v>
      </c>
      <c r="U358" s="294"/>
      <c r="V358" s="294"/>
      <c r="W358" s="338"/>
      <c r="X358" s="340"/>
      <c r="Y358" s="340"/>
      <c r="Z358" s="340"/>
      <c r="AA358" s="322"/>
      <c r="AB358" s="322"/>
      <c r="AC358" s="322"/>
      <c r="AD358" s="340"/>
    </row>
    <row r="359" spans="1:30" ht="26.25" customHeight="1" x14ac:dyDescent="0.2">
      <c r="A359" s="882"/>
      <c r="B359" s="883"/>
      <c r="C359" s="883"/>
      <c r="D359" s="883"/>
      <c r="E359" s="883"/>
      <c r="F359" s="883"/>
      <c r="G359" s="883"/>
      <c r="H359" s="883"/>
      <c r="I359" s="883"/>
      <c r="J359" s="903"/>
      <c r="K359" s="899" t="s">
        <v>516</v>
      </c>
      <c r="L359" s="900"/>
      <c r="M359" s="900"/>
      <c r="N359" s="900"/>
      <c r="O359" s="901"/>
      <c r="P359" s="304"/>
      <c r="Q359" s="305"/>
      <c r="R359" s="291" t="str">
        <f>IF(COUNTBLANK(P359:Q359)=2,"Please enter response.",IF(COUNTBLANK(P359:Q359)&lt;&gt;1,"Please VERIFY response.",""))</f>
        <v>Please enter response.</v>
      </c>
      <c r="S359" s="306" t="str">
        <f>IF(AND(ISBLANK(P359),ISBLANK(Q359)),"",IF(ISBLANK(P359),0,1))</f>
        <v/>
      </c>
      <c r="T359" s="307" t="s">
        <v>563</v>
      </c>
      <c r="U359" s="266"/>
      <c r="V359" s="266"/>
      <c r="W359" s="340"/>
      <c r="X359" s="340"/>
      <c r="Y359" s="340"/>
      <c r="Z359" s="340"/>
      <c r="AA359" s="322"/>
      <c r="AB359" s="322"/>
      <c r="AC359" s="322"/>
      <c r="AD359" s="340"/>
    </row>
    <row r="360" spans="1:30" ht="26.25" customHeight="1" x14ac:dyDescent="0.2">
      <c r="A360" s="904" t="s">
        <v>558</v>
      </c>
      <c r="B360" s="905"/>
      <c r="C360" s="905"/>
      <c r="D360" s="905"/>
      <c r="E360" s="905"/>
      <c r="F360" s="905"/>
      <c r="G360" s="905"/>
      <c r="H360" s="905"/>
      <c r="I360" s="905"/>
      <c r="J360" s="906"/>
      <c r="K360" s="899" t="s">
        <v>517</v>
      </c>
      <c r="L360" s="900"/>
      <c r="M360" s="900"/>
      <c r="N360" s="900"/>
      <c r="O360" s="901"/>
      <c r="P360" s="304"/>
      <c r="Q360" s="305"/>
      <c r="R360" s="291" t="str">
        <f>IF(COUNTBLANK(P360:Q360)=2,"Please enter response.",IF(COUNTBLANK(P360:Q360)&lt;&gt;1,"Please VERIFY response.",""))</f>
        <v>Please enter response.</v>
      </c>
      <c r="S360" s="306" t="str">
        <f>IF(AND(ISBLANK(P360),ISBLANK(Q360)),"",IF(ISBLANK(P360),0,1))</f>
        <v/>
      </c>
      <c r="T360" s="307" t="s">
        <v>564</v>
      </c>
      <c r="U360" s="266"/>
      <c r="V360" s="266"/>
      <c r="W360" s="340"/>
      <c r="X360" s="293"/>
      <c r="Y360" s="293"/>
      <c r="Z360" s="293"/>
      <c r="AA360" s="322"/>
      <c r="AB360" s="322"/>
      <c r="AC360" s="322"/>
      <c r="AD360" s="340"/>
    </row>
    <row r="361" spans="1:30" ht="26.25" customHeight="1" x14ac:dyDescent="0.2">
      <c r="A361" s="853"/>
      <c r="B361" s="854"/>
      <c r="C361" s="854"/>
      <c r="D361" s="854"/>
      <c r="E361" s="854"/>
      <c r="F361" s="854"/>
      <c r="G361" s="854"/>
      <c r="H361" s="854"/>
      <c r="I361" s="854"/>
      <c r="J361" s="902"/>
      <c r="K361" s="899" t="s">
        <v>518</v>
      </c>
      <c r="L361" s="900"/>
      <c r="M361" s="900"/>
      <c r="N361" s="900"/>
      <c r="O361" s="901"/>
      <c r="P361" s="304"/>
      <c r="Q361" s="305"/>
      <c r="R361" s="291" t="str">
        <f>IF(COUNTBLANK(P361:Q361)=2,"Please enter response.",IF(COUNTBLANK(P361:Q361)&lt;&gt;1,"Please VERIFY response.",""))</f>
        <v>Please enter response.</v>
      </c>
      <c r="S361" s="306" t="str">
        <f>IF(AND(ISBLANK(P361),ISBLANK(Q361)),"",IF(ISBLANK(P361),0,1))</f>
        <v/>
      </c>
      <c r="T361" s="307" t="s">
        <v>565</v>
      </c>
      <c r="U361" s="266"/>
      <c r="V361" s="266"/>
      <c r="W361" s="340"/>
      <c r="X361" s="340"/>
      <c r="Y361" s="340"/>
      <c r="Z361" s="340"/>
      <c r="AA361" s="322"/>
      <c r="AB361" s="322"/>
      <c r="AC361" s="322"/>
      <c r="AD361" s="340"/>
    </row>
    <row r="362" spans="1:30" ht="26.25" customHeight="1" x14ac:dyDescent="0.2">
      <c r="A362" s="882"/>
      <c r="B362" s="883"/>
      <c r="C362" s="883"/>
      <c r="D362" s="883"/>
      <c r="E362" s="883"/>
      <c r="F362" s="883"/>
      <c r="G362" s="883"/>
      <c r="H362" s="883"/>
      <c r="I362" s="883"/>
      <c r="J362" s="903"/>
      <c r="K362" s="899" t="s">
        <v>520</v>
      </c>
      <c r="L362" s="900"/>
      <c r="M362" s="900"/>
      <c r="N362" s="900"/>
      <c r="O362" s="901"/>
      <c r="P362" s="304"/>
      <c r="Q362" s="305"/>
      <c r="R362" s="291" t="str">
        <f>IF(COUNTBLANK(P362:Q362)=2,"Please enter response.",IF(COUNTBLANK(P362:Q362)&lt;&gt;1,"Please VERIFY response.",""))</f>
        <v>Please enter response.</v>
      </c>
      <c r="S362" s="306" t="str">
        <f>IF(AND(ISBLANK(P362),ISBLANK(Q362)),"",IF(ISBLANK(P362),0,1))</f>
        <v/>
      </c>
      <c r="T362" s="307" t="s">
        <v>566</v>
      </c>
      <c r="U362" s="266"/>
      <c r="V362" s="266"/>
      <c r="W362" s="340"/>
      <c r="X362" s="340"/>
      <c r="Y362" s="340"/>
      <c r="Z362" s="340"/>
      <c r="AA362" s="322"/>
      <c r="AB362" s="322"/>
      <c r="AC362" s="322"/>
      <c r="AD362" s="340"/>
    </row>
    <row r="363" spans="1:30" ht="26.25" customHeight="1" x14ac:dyDescent="0.2">
      <c r="A363" s="879" t="s">
        <v>546</v>
      </c>
      <c r="B363" s="880"/>
      <c r="C363" s="880"/>
      <c r="D363" s="880"/>
      <c r="E363" s="880"/>
      <c r="F363" s="880"/>
      <c r="G363" s="880"/>
      <c r="H363" s="880"/>
      <c r="I363" s="880"/>
      <c r="J363" s="880"/>
      <c r="K363" s="880"/>
      <c r="L363" s="880"/>
      <c r="M363" s="880"/>
      <c r="N363" s="880"/>
      <c r="O363" s="880"/>
      <c r="P363" s="880"/>
      <c r="Q363" s="881"/>
      <c r="R363" s="310"/>
      <c r="S363" s="319"/>
      <c r="T363" s="310"/>
      <c r="U363" s="310"/>
      <c r="V363" s="310"/>
      <c r="W363" s="340"/>
      <c r="X363" s="340"/>
      <c r="Y363" s="340"/>
      <c r="Z363" s="340"/>
      <c r="AA363" s="340"/>
      <c r="AB363" s="340"/>
      <c r="AC363" s="340"/>
      <c r="AD363" s="340"/>
    </row>
    <row r="364" spans="1:30" ht="26.25" customHeight="1" x14ac:dyDescent="0.2">
      <c r="A364" s="870" t="s">
        <v>450</v>
      </c>
      <c r="B364" s="826"/>
      <c r="C364" s="826"/>
      <c r="D364" s="826"/>
      <c r="E364" s="826" t="s">
        <v>478</v>
      </c>
      <c r="F364" s="826"/>
      <c r="G364" s="826"/>
      <c r="H364" s="826"/>
      <c r="I364" s="826" t="s">
        <v>479</v>
      </c>
      <c r="J364" s="826"/>
      <c r="K364" s="826"/>
      <c r="L364" s="826"/>
      <c r="M364" s="871" t="s">
        <v>465</v>
      </c>
      <c r="N364" s="826"/>
      <c r="O364" s="826"/>
      <c r="P364" s="826"/>
      <c r="Q364" s="872"/>
      <c r="R364" s="315"/>
      <c r="S364" s="836" t="s">
        <v>491</v>
      </c>
      <c r="T364" s="836"/>
      <c r="U364" s="836"/>
      <c r="V364" s="836"/>
      <c r="W364" s="293"/>
      <c r="X364" s="293"/>
      <c r="Y364" s="293"/>
      <c r="Z364" s="293"/>
      <c r="AA364" s="320"/>
      <c r="AB364" s="320"/>
      <c r="AC364" s="320"/>
      <c r="AD364" s="340"/>
    </row>
    <row r="365" spans="1:30" ht="26.25" customHeight="1" thickBot="1" x14ac:dyDescent="0.25">
      <c r="A365" s="791"/>
      <c r="B365" s="792"/>
      <c r="C365" s="792"/>
      <c r="D365" s="792"/>
      <c r="E365" s="792"/>
      <c r="F365" s="792"/>
      <c r="G365" s="792"/>
      <c r="H365" s="792"/>
      <c r="I365" s="792"/>
      <c r="J365" s="792"/>
      <c r="K365" s="792"/>
      <c r="L365" s="792"/>
      <c r="M365" s="894"/>
      <c r="N365" s="894"/>
      <c r="O365" s="894"/>
      <c r="P365" s="894"/>
      <c r="Q365" s="895"/>
      <c r="R365" s="310"/>
      <c r="S365" s="323" t="str">
        <f>IF(ISBLANK(A365),"",VLOOKUP(A365,VProjType,2,FALSE))</f>
        <v/>
      </c>
      <c r="T365" s="323" t="str">
        <f>IF(ISBLANK(E365),"",VLOOKUP(E365,VSubtype1,2,FALSE))</f>
        <v/>
      </c>
      <c r="U365" s="323" t="str">
        <f>IF(ISBLANK(I365),"",VLOOKUP(I365,VSubtype2,2,FALSE))</f>
        <v/>
      </c>
      <c r="V365" s="323" t="str">
        <f>IF(ISBLANK(M365),"",VLOOKUP(M365,VSubtype3,2,FALSE))</f>
        <v/>
      </c>
      <c r="W365" s="340"/>
      <c r="X365" s="322"/>
      <c r="Y365" s="322"/>
      <c r="Z365" s="322"/>
      <c r="AA365" s="322"/>
      <c r="AB365" s="322"/>
      <c r="AC365" s="322"/>
      <c r="AD365" s="340"/>
    </row>
    <row r="366" spans="1:30" ht="26.25" customHeight="1" x14ac:dyDescent="0.2">
      <c r="A366" s="896" t="s">
        <v>483</v>
      </c>
      <c r="B366" s="897"/>
      <c r="C366" s="897"/>
      <c r="D366" s="897"/>
      <c r="E366" s="897"/>
      <c r="F366" s="897"/>
      <c r="G366" s="897"/>
      <c r="H366" s="897"/>
      <c r="I366" s="897"/>
      <c r="J366" s="897"/>
      <c r="K366" s="897"/>
      <c r="L366" s="897"/>
      <c r="M366" s="897"/>
      <c r="N366" s="897"/>
      <c r="O366" s="897"/>
      <c r="P366" s="897"/>
      <c r="Q366" s="898"/>
      <c r="R366" s="320"/>
      <c r="S366" s="324" t="s">
        <v>537</v>
      </c>
      <c r="T366" s="320"/>
      <c r="U366" s="320"/>
      <c r="V366" s="320"/>
      <c r="W366" s="340"/>
      <c r="X366" s="322"/>
      <c r="Y366" s="322"/>
      <c r="Z366" s="322"/>
      <c r="AA366" s="322"/>
      <c r="AB366" s="322"/>
      <c r="AC366" s="322"/>
      <c r="AD366" s="340"/>
    </row>
    <row r="367" spans="1:30" ht="26.25" customHeight="1" x14ac:dyDescent="0.2">
      <c r="A367" s="859" t="s">
        <v>544</v>
      </c>
      <c r="B367" s="860"/>
      <c r="C367" s="860"/>
      <c r="D367" s="860"/>
      <c r="E367" s="860"/>
      <c r="F367" s="860"/>
      <c r="G367" s="860"/>
      <c r="H367" s="860"/>
      <c r="I367" s="860"/>
      <c r="J367" s="860"/>
      <c r="K367" s="860"/>
      <c r="L367" s="861"/>
      <c r="M367" s="876"/>
      <c r="N367" s="877"/>
      <c r="O367" s="877"/>
      <c r="P367" s="877"/>
      <c r="Q367" s="878"/>
      <c r="R367" s="320"/>
      <c r="S367" s="325" t="str">
        <f>IF(ISBLANK(M367),"",VLOOKUP(M367,VRemote,2,FALSE))</f>
        <v/>
      </c>
      <c r="T367" s="326" t="s">
        <v>545</v>
      </c>
      <c r="U367" s="320"/>
      <c r="V367" s="320"/>
      <c r="W367" s="340"/>
      <c r="X367" s="322"/>
      <c r="Y367" s="322"/>
      <c r="Z367" s="322"/>
      <c r="AA367" s="322"/>
      <c r="AB367" s="322"/>
      <c r="AC367" s="322"/>
      <c r="AD367" s="340"/>
    </row>
    <row r="368" spans="1:30" ht="26.25" customHeight="1" x14ac:dyDescent="0.2">
      <c r="A368" s="859" t="s">
        <v>529</v>
      </c>
      <c r="B368" s="860"/>
      <c r="C368" s="860"/>
      <c r="D368" s="860"/>
      <c r="E368" s="860"/>
      <c r="F368" s="860"/>
      <c r="G368" s="860"/>
      <c r="H368" s="860"/>
      <c r="I368" s="860"/>
      <c r="J368" s="860"/>
      <c r="K368" s="860"/>
      <c r="L368" s="860"/>
      <c r="M368" s="876"/>
      <c r="N368" s="877"/>
      <c r="O368" s="877"/>
      <c r="P368" s="877"/>
      <c r="Q368" s="878"/>
      <c r="R368" s="322"/>
      <c r="S368" s="325" t="str">
        <f>IF(ISBLANK(M368),"",VLOOKUP(M368,VCapacity,2,FALSE))</f>
        <v/>
      </c>
      <c r="T368" s="327" t="s">
        <v>539</v>
      </c>
      <c r="U368" s="322"/>
      <c r="V368" s="322"/>
      <c r="W368" s="293"/>
      <c r="X368" s="322"/>
      <c r="Y368" s="322"/>
      <c r="Z368" s="322"/>
      <c r="AA368" s="322"/>
      <c r="AB368" s="322"/>
      <c r="AC368" s="322"/>
      <c r="AD368" s="340"/>
    </row>
    <row r="369" spans="1:38" ht="26.25" customHeight="1" x14ac:dyDescent="0.2">
      <c r="A369" s="859" t="s">
        <v>484</v>
      </c>
      <c r="B369" s="860"/>
      <c r="C369" s="860"/>
      <c r="D369" s="860"/>
      <c r="E369" s="860"/>
      <c r="F369" s="860"/>
      <c r="G369" s="860"/>
      <c r="H369" s="860"/>
      <c r="I369" s="860"/>
      <c r="J369" s="860"/>
      <c r="K369" s="860"/>
      <c r="L369" s="860"/>
      <c r="M369" s="876"/>
      <c r="N369" s="877"/>
      <c r="O369" s="877"/>
      <c r="P369" s="877"/>
      <c r="Q369" s="878"/>
      <c r="R369" s="322"/>
      <c r="S369" s="325" t="str">
        <f>IF(ISBLANK(M369),"",VLOOKUP(M369,VPriorCap,2,FALSE))</f>
        <v/>
      </c>
      <c r="T369" s="327" t="s">
        <v>489</v>
      </c>
      <c r="U369" s="322"/>
      <c r="V369" s="322"/>
      <c r="W369" s="322"/>
      <c r="X369" s="322"/>
      <c r="Y369" s="322"/>
      <c r="Z369" s="322"/>
      <c r="AA369" s="322"/>
      <c r="AB369" s="322"/>
      <c r="AC369" s="322"/>
      <c r="AD369" s="340"/>
    </row>
    <row r="370" spans="1:38" ht="26.25" customHeight="1" x14ac:dyDescent="0.2">
      <c r="A370" s="780" t="s">
        <v>515</v>
      </c>
      <c r="B370" s="781"/>
      <c r="C370" s="781"/>
      <c r="D370" s="781"/>
      <c r="E370" s="781"/>
      <c r="F370" s="781"/>
      <c r="G370" s="781"/>
      <c r="H370" s="781"/>
      <c r="I370" s="781"/>
      <c r="J370" s="781"/>
      <c r="K370" s="781"/>
      <c r="L370" s="781"/>
      <c r="M370" s="781"/>
      <c r="N370" s="781"/>
      <c r="O370" s="781"/>
      <c r="P370" s="781"/>
      <c r="Q370" s="782"/>
      <c r="R370" s="322"/>
      <c r="S370" s="330" t="str">
        <f>IF(ISBLANK(A371),"",A371)</f>
        <v/>
      </c>
      <c r="T370" s="327" t="s">
        <v>490</v>
      </c>
      <c r="U370" s="322"/>
      <c r="V370" s="322"/>
      <c r="W370" s="322"/>
      <c r="X370" s="322"/>
      <c r="Y370" s="322"/>
      <c r="Z370" s="322"/>
      <c r="AA370" s="322"/>
      <c r="AB370" s="322"/>
      <c r="AC370" s="322"/>
      <c r="AD370" s="340"/>
    </row>
    <row r="371" spans="1:38" ht="26.25" customHeight="1" x14ac:dyDescent="0.2">
      <c r="A371" s="862"/>
      <c r="B371" s="845"/>
      <c r="C371" s="845"/>
      <c r="D371" s="845"/>
      <c r="E371" s="845"/>
      <c r="F371" s="845"/>
      <c r="G371" s="845"/>
      <c r="H371" s="845"/>
      <c r="I371" s="845"/>
      <c r="J371" s="845"/>
      <c r="K371" s="845"/>
      <c r="L371" s="845"/>
      <c r="M371" s="845"/>
      <c r="N371" s="845"/>
      <c r="O371" s="845"/>
      <c r="P371" s="845"/>
      <c r="Q371" s="863"/>
      <c r="R371" s="322"/>
      <c r="S371" s="322"/>
      <c r="T371" s="322"/>
      <c r="U371" s="322"/>
      <c r="V371" s="322"/>
      <c r="W371" s="322"/>
      <c r="X371" s="322"/>
      <c r="Y371" s="322"/>
      <c r="Z371" s="322"/>
      <c r="AA371" s="322"/>
      <c r="AB371" s="322"/>
      <c r="AC371" s="322"/>
      <c r="AD371" s="340"/>
    </row>
    <row r="372" spans="1:38" ht="26.25" customHeight="1" x14ac:dyDescent="0.2">
      <c r="A372" s="864"/>
      <c r="B372" s="865"/>
      <c r="C372" s="865"/>
      <c r="D372" s="865"/>
      <c r="E372" s="865"/>
      <c r="F372" s="865"/>
      <c r="G372" s="865"/>
      <c r="H372" s="865"/>
      <c r="I372" s="865"/>
      <c r="J372" s="865"/>
      <c r="K372" s="865"/>
      <c r="L372" s="865"/>
      <c r="M372" s="865"/>
      <c r="N372" s="865"/>
      <c r="O372" s="865"/>
      <c r="P372" s="865"/>
      <c r="Q372" s="866"/>
      <c r="R372" s="322"/>
      <c r="S372" s="322"/>
      <c r="T372" s="322"/>
      <c r="U372" s="322"/>
      <c r="V372" s="322"/>
      <c r="W372" s="322"/>
      <c r="X372" s="322"/>
      <c r="Y372" s="322"/>
      <c r="Z372" s="322"/>
      <c r="AA372" s="322"/>
      <c r="AB372" s="322"/>
      <c r="AC372" s="322"/>
      <c r="AD372" s="340"/>
    </row>
    <row r="373" spans="1:38" ht="26.25" customHeight="1" x14ac:dyDescent="0.2">
      <c r="A373" s="885" t="s">
        <v>514</v>
      </c>
      <c r="B373" s="886"/>
      <c r="C373" s="886"/>
      <c r="D373" s="886"/>
      <c r="E373" s="886"/>
      <c r="F373" s="886"/>
      <c r="G373" s="886"/>
      <c r="H373" s="886"/>
      <c r="I373" s="886"/>
      <c r="J373" s="886"/>
      <c r="K373" s="886"/>
      <c r="L373" s="886"/>
      <c r="M373" s="886"/>
      <c r="N373" s="886"/>
      <c r="O373" s="886"/>
      <c r="P373" s="886"/>
      <c r="Q373" s="887"/>
      <c r="R373" s="324"/>
      <c r="S373" s="324"/>
      <c r="T373" s="324"/>
      <c r="U373" s="324"/>
      <c r="V373" s="324"/>
      <c r="W373" s="322"/>
      <c r="X373" s="322"/>
      <c r="Y373" s="322"/>
      <c r="Z373" s="322"/>
      <c r="AA373" s="322"/>
      <c r="AB373" s="322"/>
      <c r="AC373" s="322"/>
      <c r="AD373" s="340"/>
    </row>
    <row r="374" spans="1:38" ht="26.25" customHeight="1" x14ac:dyDescent="0.2">
      <c r="A374" s="862"/>
      <c r="B374" s="845"/>
      <c r="C374" s="845"/>
      <c r="D374" s="845"/>
      <c r="E374" s="845"/>
      <c r="F374" s="845"/>
      <c r="G374" s="845"/>
      <c r="H374" s="845"/>
      <c r="I374" s="845"/>
      <c r="J374" s="845"/>
      <c r="K374" s="845"/>
      <c r="L374" s="845"/>
      <c r="M374" s="845"/>
      <c r="N374" s="845"/>
      <c r="O374" s="845"/>
      <c r="P374" s="845"/>
      <c r="Q374" s="846"/>
      <c r="R374" s="322"/>
      <c r="S374" s="330" t="str">
        <f>IF(ISBLANK(A374),"",A374)</f>
        <v/>
      </c>
      <c r="T374" s="289" t="s">
        <v>36</v>
      </c>
      <c r="U374" s="322"/>
      <c r="V374" s="322"/>
      <c r="W374" s="322"/>
      <c r="X374" s="340"/>
      <c r="Y374" s="340"/>
      <c r="Z374" s="340"/>
      <c r="AA374" s="332"/>
      <c r="AB374" s="332"/>
      <c r="AC374" s="332"/>
      <c r="AD374" s="286"/>
    </row>
    <row r="375" spans="1:38" ht="26.25" customHeight="1" thickBot="1" x14ac:dyDescent="0.25">
      <c r="A375" s="856"/>
      <c r="B375" s="857"/>
      <c r="C375" s="857"/>
      <c r="D375" s="857"/>
      <c r="E375" s="857"/>
      <c r="F375" s="857"/>
      <c r="G375" s="857"/>
      <c r="H375" s="857"/>
      <c r="I375" s="857"/>
      <c r="J375" s="857"/>
      <c r="K375" s="857"/>
      <c r="L375" s="857"/>
      <c r="M375" s="857"/>
      <c r="N375" s="857"/>
      <c r="O375" s="857"/>
      <c r="P375" s="857"/>
      <c r="Q375" s="858"/>
      <c r="R375" s="322"/>
      <c r="S375" s="322"/>
      <c r="T375" s="289"/>
      <c r="U375" s="322"/>
      <c r="V375" s="322"/>
      <c r="W375" s="322"/>
      <c r="X375" s="320"/>
      <c r="Y375" s="320"/>
      <c r="Z375" s="320"/>
      <c r="AA375" s="338"/>
      <c r="AB375" s="338"/>
      <c r="AC375" s="338"/>
      <c r="AD375" s="286"/>
    </row>
    <row r="376" spans="1:38" ht="26.25" customHeight="1" x14ac:dyDescent="0.2">
      <c r="A376" s="850" t="s">
        <v>504</v>
      </c>
      <c r="B376" s="851"/>
      <c r="C376" s="851"/>
      <c r="D376" s="851"/>
      <c r="E376" s="851"/>
      <c r="F376" s="851"/>
      <c r="G376" s="851"/>
      <c r="H376" s="851"/>
      <c r="I376" s="851"/>
      <c r="J376" s="851"/>
      <c r="K376" s="851"/>
      <c r="L376" s="851"/>
      <c r="M376" s="851"/>
      <c r="N376" s="851"/>
      <c r="O376" s="851"/>
      <c r="P376" s="851"/>
      <c r="Q376" s="852"/>
      <c r="R376" s="320"/>
      <c r="S376" s="324" t="s">
        <v>540</v>
      </c>
      <c r="T376" s="320"/>
      <c r="U376" s="320"/>
      <c r="V376" s="320"/>
      <c r="W376" s="322"/>
      <c r="X376" s="322"/>
      <c r="Y376" s="322"/>
      <c r="Z376" s="322"/>
      <c r="AA376" s="340"/>
      <c r="AB376" s="340"/>
      <c r="AC376" s="340"/>
      <c r="AD376" s="286"/>
      <c r="AL376" s="266"/>
    </row>
    <row r="377" spans="1:38" ht="26.25" customHeight="1" x14ac:dyDescent="0.2">
      <c r="A377" s="891" t="s">
        <v>557</v>
      </c>
      <c r="B377" s="892"/>
      <c r="C377" s="892"/>
      <c r="D377" s="892"/>
      <c r="E377" s="892"/>
      <c r="F377" s="892"/>
      <c r="G377" s="892"/>
      <c r="H377" s="892"/>
      <c r="I377" s="892"/>
      <c r="J377" s="892"/>
      <c r="K377" s="892"/>
      <c r="L377" s="893"/>
      <c r="M377" s="876"/>
      <c r="N377" s="877"/>
      <c r="O377" s="877"/>
      <c r="P377" s="877"/>
      <c r="Q377" s="878"/>
      <c r="R377" s="322"/>
      <c r="S377" s="331" t="str">
        <f>IF(ISBLANK(M377),"",VLOOKUP(M377,VImpact,2,FALSE))</f>
        <v/>
      </c>
      <c r="T377" s="327" t="s">
        <v>493</v>
      </c>
      <c r="U377" s="322"/>
      <c r="V377" s="322"/>
      <c r="W377" s="322"/>
      <c r="X377" s="322"/>
      <c r="Y377" s="322"/>
      <c r="Z377" s="322"/>
      <c r="AA377" s="340"/>
      <c r="AB377" s="340"/>
      <c r="AC377" s="340"/>
      <c r="AD377" s="286"/>
      <c r="AL377" s="266"/>
    </row>
    <row r="378" spans="1:38" ht="26.25" customHeight="1" x14ac:dyDescent="0.2">
      <c r="A378" s="859" t="s">
        <v>554</v>
      </c>
      <c r="B378" s="860"/>
      <c r="C378" s="860"/>
      <c r="D378" s="860"/>
      <c r="E378" s="860"/>
      <c r="F378" s="860"/>
      <c r="G378" s="860"/>
      <c r="H378" s="860"/>
      <c r="I378" s="860"/>
      <c r="J378" s="860"/>
      <c r="K378" s="860"/>
      <c r="L378" s="861"/>
      <c r="M378" s="876"/>
      <c r="N378" s="877"/>
      <c r="O378" s="877"/>
      <c r="P378" s="877"/>
      <c r="Q378" s="878"/>
      <c r="R378" s="322"/>
      <c r="S378" s="331" t="str">
        <f>IF(ISBLANK(M378),"",VLOOKUP(M378,VEvidence,2,FALSE))</f>
        <v/>
      </c>
      <c r="T378" s="307" t="s">
        <v>494</v>
      </c>
      <c r="U378" s="322"/>
      <c r="V378" s="322"/>
      <c r="W378" s="340"/>
      <c r="X378" s="322"/>
      <c r="Y378" s="322"/>
      <c r="Z378" s="322"/>
      <c r="AA378" s="340"/>
      <c r="AB378" s="340"/>
      <c r="AC378" s="340"/>
      <c r="AD378" s="340"/>
      <c r="AL378" s="308"/>
    </row>
    <row r="379" spans="1:38" ht="26.25" customHeight="1" x14ac:dyDescent="0.2">
      <c r="A379" s="888" t="s">
        <v>512</v>
      </c>
      <c r="B379" s="889"/>
      <c r="C379" s="889"/>
      <c r="D379" s="889"/>
      <c r="E379" s="889"/>
      <c r="F379" s="889"/>
      <c r="G379" s="889"/>
      <c r="H379" s="889"/>
      <c r="I379" s="889"/>
      <c r="J379" s="889"/>
      <c r="K379" s="889"/>
      <c r="L379" s="889"/>
      <c r="M379" s="889"/>
      <c r="N379" s="889"/>
      <c r="O379" s="889"/>
      <c r="P379" s="889"/>
      <c r="Q379" s="890"/>
      <c r="R379" s="322"/>
      <c r="S379" s="330" t="str">
        <f>IF(ISBLANK(A380),"",A380)</f>
        <v/>
      </c>
      <c r="T379" s="289" t="s">
        <v>35</v>
      </c>
      <c r="U379" s="322"/>
      <c r="V379" s="322"/>
      <c r="W379" s="320"/>
      <c r="X379" s="322"/>
      <c r="Y379" s="322"/>
      <c r="Z379" s="322"/>
      <c r="AA379" s="340"/>
      <c r="AB379" s="340"/>
      <c r="AC379" s="340"/>
      <c r="AD379" s="340"/>
      <c r="AL379" s="308"/>
    </row>
    <row r="380" spans="1:38" ht="26.25" customHeight="1" x14ac:dyDescent="0.2">
      <c r="A380" s="862"/>
      <c r="B380" s="845"/>
      <c r="C380" s="845"/>
      <c r="D380" s="845"/>
      <c r="E380" s="845"/>
      <c r="F380" s="845"/>
      <c r="G380" s="845"/>
      <c r="H380" s="845"/>
      <c r="I380" s="845"/>
      <c r="J380" s="845"/>
      <c r="K380" s="845"/>
      <c r="L380" s="845"/>
      <c r="M380" s="845"/>
      <c r="N380" s="845"/>
      <c r="O380" s="845"/>
      <c r="P380" s="845"/>
      <c r="Q380" s="846"/>
      <c r="R380" s="322"/>
      <c r="S380" s="322"/>
      <c r="T380" s="333"/>
      <c r="U380" s="322"/>
      <c r="V380" s="322"/>
      <c r="W380" s="322"/>
      <c r="X380" s="322"/>
      <c r="Y380" s="322"/>
      <c r="Z380" s="322"/>
      <c r="AA380" s="340"/>
      <c r="AB380" s="340"/>
      <c r="AC380" s="340"/>
      <c r="AD380" s="340"/>
      <c r="AL380" s="308"/>
    </row>
    <row r="381" spans="1:38" ht="26.25" customHeight="1" x14ac:dyDescent="0.2">
      <c r="A381" s="882"/>
      <c r="B381" s="883"/>
      <c r="C381" s="883"/>
      <c r="D381" s="883"/>
      <c r="E381" s="883"/>
      <c r="F381" s="883"/>
      <c r="G381" s="883"/>
      <c r="H381" s="883"/>
      <c r="I381" s="883"/>
      <c r="J381" s="883"/>
      <c r="K381" s="883"/>
      <c r="L381" s="883"/>
      <c r="M381" s="883"/>
      <c r="N381" s="883"/>
      <c r="O381" s="883"/>
      <c r="P381" s="883"/>
      <c r="Q381" s="884"/>
      <c r="R381" s="322"/>
      <c r="S381" s="322"/>
      <c r="T381" s="333"/>
      <c r="U381" s="322"/>
      <c r="V381" s="322"/>
      <c r="W381" s="322"/>
      <c r="X381" s="322"/>
      <c r="Y381" s="322"/>
      <c r="Z381" s="322"/>
      <c r="AA381" s="293"/>
      <c r="AB381" s="293"/>
      <c r="AC381" s="293"/>
      <c r="AD381" s="346"/>
      <c r="AL381" s="308"/>
    </row>
    <row r="382" spans="1:38" ht="26.25" customHeight="1" x14ac:dyDescent="0.2">
      <c r="A382" s="867" t="s">
        <v>513</v>
      </c>
      <c r="B382" s="868"/>
      <c r="C382" s="868"/>
      <c r="D382" s="868"/>
      <c r="E382" s="868"/>
      <c r="F382" s="868"/>
      <c r="G382" s="868"/>
      <c r="H382" s="868"/>
      <c r="I382" s="868"/>
      <c r="J382" s="868"/>
      <c r="K382" s="868"/>
      <c r="L382" s="868"/>
      <c r="M382" s="868"/>
      <c r="N382" s="868"/>
      <c r="O382" s="868"/>
      <c r="P382" s="868"/>
      <c r="Q382" s="869"/>
      <c r="R382" s="322"/>
      <c r="S382" s="330" t="str">
        <f>IF(ISBLANK(A383),"",A383)</f>
        <v/>
      </c>
      <c r="T382" s="333" t="s">
        <v>542</v>
      </c>
      <c r="U382" s="322"/>
      <c r="V382" s="322"/>
      <c r="W382" s="322"/>
      <c r="X382" s="322"/>
      <c r="Y382" s="322"/>
      <c r="Z382" s="322"/>
      <c r="AA382" s="340"/>
      <c r="AB382" s="340"/>
      <c r="AC382" s="340"/>
      <c r="AD382" s="340"/>
      <c r="AL382" s="308"/>
    </row>
    <row r="383" spans="1:38" ht="26.25" customHeight="1" x14ac:dyDescent="0.2">
      <c r="A383" s="862"/>
      <c r="B383" s="845"/>
      <c r="C383" s="845"/>
      <c r="D383" s="845"/>
      <c r="E383" s="845"/>
      <c r="F383" s="845"/>
      <c r="G383" s="845"/>
      <c r="H383" s="845"/>
      <c r="I383" s="845"/>
      <c r="J383" s="845"/>
      <c r="K383" s="845"/>
      <c r="L383" s="845"/>
      <c r="M383" s="845"/>
      <c r="N383" s="845"/>
      <c r="O383" s="845"/>
      <c r="P383" s="845"/>
      <c r="Q383" s="863"/>
      <c r="R383" s="322"/>
      <c r="U383" s="322"/>
      <c r="V383" s="322"/>
      <c r="W383" s="322"/>
      <c r="X383" s="322"/>
      <c r="Y383" s="322"/>
      <c r="Z383" s="322"/>
      <c r="AA383" s="340"/>
      <c r="AB383" s="340"/>
      <c r="AC383" s="340"/>
      <c r="AD383" s="340"/>
      <c r="AL383" s="308"/>
    </row>
    <row r="384" spans="1:38" ht="26.25" customHeight="1" thickBot="1" x14ac:dyDescent="0.25">
      <c r="A384" s="847"/>
      <c r="B384" s="848"/>
      <c r="C384" s="848"/>
      <c r="D384" s="848"/>
      <c r="E384" s="848"/>
      <c r="F384" s="848"/>
      <c r="G384" s="848"/>
      <c r="H384" s="848"/>
      <c r="I384" s="848"/>
      <c r="J384" s="848"/>
      <c r="K384" s="848"/>
      <c r="L384" s="848"/>
      <c r="M384" s="848"/>
      <c r="N384" s="848"/>
      <c r="O384" s="848"/>
      <c r="P384" s="848"/>
      <c r="Q384" s="849"/>
      <c r="R384" s="322"/>
      <c r="S384" s="322"/>
      <c r="T384" s="322"/>
      <c r="U384" s="322"/>
      <c r="V384" s="322"/>
      <c r="W384" s="322"/>
      <c r="X384" s="322"/>
      <c r="Y384" s="322"/>
      <c r="Z384" s="322"/>
      <c r="AA384" s="340"/>
      <c r="AB384" s="340"/>
      <c r="AC384" s="340"/>
      <c r="AD384" s="286"/>
      <c r="AL384" s="308"/>
    </row>
    <row r="385" spans="1:38" ht="26.25" customHeight="1" x14ac:dyDescent="0.25">
      <c r="A385" s="841" t="s">
        <v>555</v>
      </c>
      <c r="B385" s="842"/>
      <c r="C385" s="842"/>
      <c r="D385" s="842"/>
      <c r="E385" s="842"/>
      <c r="F385" s="842"/>
      <c r="G385" s="842"/>
      <c r="H385" s="842"/>
      <c r="I385" s="842"/>
      <c r="J385" s="842"/>
      <c r="K385" s="842"/>
      <c r="L385" s="842"/>
      <c r="M385" s="842"/>
      <c r="N385" s="842"/>
      <c r="O385" s="842"/>
      <c r="P385" s="842"/>
      <c r="Q385" s="843"/>
      <c r="S385" s="336" t="str">
        <f>IF(ISBLANK(A386),"",A386)</f>
        <v/>
      </c>
      <c r="T385" s="337" t="s">
        <v>556</v>
      </c>
      <c r="W385" s="322"/>
      <c r="X385" s="332"/>
      <c r="Y385" s="332"/>
      <c r="Z385" s="332"/>
      <c r="AA385" s="293"/>
      <c r="AB385" s="293"/>
      <c r="AC385" s="293"/>
      <c r="AD385" s="328"/>
      <c r="AL385" s="308"/>
    </row>
    <row r="386" spans="1:38" ht="26.25" customHeight="1" x14ac:dyDescent="0.2">
      <c r="A386" s="862"/>
      <c r="B386" s="845"/>
      <c r="C386" s="845"/>
      <c r="D386" s="845"/>
      <c r="E386" s="845"/>
      <c r="F386" s="845"/>
      <c r="G386" s="845"/>
      <c r="H386" s="845"/>
      <c r="I386" s="845"/>
      <c r="J386" s="845"/>
      <c r="K386" s="845"/>
      <c r="L386" s="845"/>
      <c r="M386" s="845"/>
      <c r="N386" s="845"/>
      <c r="O386" s="845"/>
      <c r="P386" s="845"/>
      <c r="Q386" s="846"/>
      <c r="W386" s="322"/>
      <c r="X386" s="320"/>
      <c r="Y386" s="320"/>
      <c r="Z386" s="320"/>
      <c r="AA386" s="322"/>
      <c r="AB386" s="322"/>
      <c r="AC386" s="322"/>
      <c r="AD386" s="340"/>
      <c r="AL386" s="308"/>
    </row>
    <row r="387" spans="1:38" ht="26.25" customHeight="1" thickBot="1" x14ac:dyDescent="0.3">
      <c r="A387" s="847"/>
      <c r="B387" s="848"/>
      <c r="C387" s="848"/>
      <c r="D387" s="848"/>
      <c r="E387" s="848"/>
      <c r="F387" s="848"/>
      <c r="G387" s="848"/>
      <c r="H387" s="848"/>
      <c r="I387" s="848"/>
      <c r="J387" s="848"/>
      <c r="K387" s="848"/>
      <c r="L387" s="848"/>
      <c r="M387" s="848"/>
      <c r="N387" s="848"/>
      <c r="O387" s="848"/>
      <c r="P387" s="848"/>
      <c r="Q387" s="849"/>
      <c r="R387" s="286"/>
      <c r="S387" s="286"/>
      <c r="T387" s="286"/>
      <c r="U387" s="286"/>
      <c r="V387" s="286"/>
      <c r="W387" s="322"/>
      <c r="X387" s="322"/>
      <c r="Y387" s="322"/>
      <c r="Z387" s="322"/>
      <c r="AA387" s="322"/>
      <c r="AB387" s="322"/>
      <c r="AC387" s="322"/>
      <c r="AD387" s="328"/>
      <c r="AL387" s="266"/>
    </row>
    <row r="388" spans="1:38" ht="26.25" customHeight="1" x14ac:dyDescent="0.25">
      <c r="A388" s="850" t="s">
        <v>482</v>
      </c>
      <c r="B388" s="851"/>
      <c r="C388" s="851"/>
      <c r="D388" s="851"/>
      <c r="E388" s="851"/>
      <c r="F388" s="851"/>
      <c r="G388" s="851"/>
      <c r="H388" s="851"/>
      <c r="I388" s="851"/>
      <c r="J388" s="851"/>
      <c r="K388" s="851"/>
      <c r="L388" s="851"/>
      <c r="M388" s="851"/>
      <c r="N388" s="851"/>
      <c r="O388" s="851"/>
      <c r="P388" s="851"/>
      <c r="Q388" s="852"/>
      <c r="R388" s="334"/>
      <c r="S388" s="341"/>
      <c r="T388" s="342"/>
      <c r="U388" s="334"/>
      <c r="V388" s="334"/>
      <c r="W388" s="322"/>
      <c r="X388" s="322"/>
      <c r="Y388" s="322"/>
      <c r="Z388" s="322"/>
      <c r="AA388" s="322"/>
      <c r="AB388" s="322"/>
      <c r="AC388" s="322"/>
      <c r="AD388" s="328"/>
    </row>
    <row r="389" spans="1:38" ht="26.25" customHeight="1" x14ac:dyDescent="0.25">
      <c r="A389" s="853"/>
      <c r="B389" s="854"/>
      <c r="C389" s="854"/>
      <c r="D389" s="854"/>
      <c r="E389" s="854"/>
      <c r="F389" s="854"/>
      <c r="G389" s="854"/>
      <c r="H389" s="854"/>
      <c r="I389" s="854"/>
      <c r="J389" s="854"/>
      <c r="K389" s="854"/>
      <c r="L389" s="854"/>
      <c r="M389" s="854"/>
      <c r="N389" s="854"/>
      <c r="O389" s="854"/>
      <c r="P389" s="854"/>
      <c r="Q389" s="855"/>
      <c r="R389" s="186"/>
      <c r="S389" s="343" t="str">
        <f>IF(ISBLANK(A389),"",CONCATENATE(S388,A389))</f>
        <v/>
      </c>
      <c r="T389" s="289" t="s">
        <v>37</v>
      </c>
      <c r="U389" s="186"/>
      <c r="V389" s="186"/>
      <c r="W389" s="332"/>
      <c r="X389" s="322"/>
      <c r="Y389" s="322"/>
      <c r="Z389" s="322"/>
      <c r="AA389" s="322"/>
      <c r="AB389" s="322"/>
      <c r="AC389" s="322"/>
      <c r="AD389" s="328"/>
    </row>
    <row r="390" spans="1:38" ht="26.25" customHeight="1" thickBot="1" x14ac:dyDescent="0.3">
      <c r="A390" s="856"/>
      <c r="B390" s="857"/>
      <c r="C390" s="857"/>
      <c r="D390" s="857"/>
      <c r="E390" s="857"/>
      <c r="F390" s="857"/>
      <c r="G390" s="857"/>
      <c r="H390" s="857"/>
      <c r="I390" s="857"/>
      <c r="J390" s="857"/>
      <c r="K390" s="857"/>
      <c r="L390" s="857"/>
      <c r="M390" s="857"/>
      <c r="N390" s="857"/>
      <c r="O390" s="857"/>
      <c r="P390" s="857"/>
      <c r="Q390" s="858"/>
      <c r="R390" s="186"/>
      <c r="S390" s="340"/>
      <c r="T390" s="340"/>
      <c r="U390" s="340"/>
      <c r="V390" s="340"/>
      <c r="W390" s="320"/>
      <c r="X390" s="322"/>
      <c r="Y390" s="322"/>
      <c r="Z390" s="322"/>
      <c r="AA390" s="322"/>
      <c r="AB390" s="322"/>
      <c r="AC390" s="322"/>
      <c r="AD390" s="328"/>
    </row>
    <row r="391" spans="1:38" ht="26.25" customHeight="1" x14ac:dyDescent="0.25">
      <c r="A391" s="344" t="e">
        <f>$A$1</f>
        <v>#N/A</v>
      </c>
      <c r="B391" s="340"/>
      <c r="C391" s="340"/>
      <c r="D391" s="340"/>
      <c r="E391" s="340"/>
      <c r="F391" s="340"/>
      <c r="G391" s="340"/>
      <c r="H391" s="340"/>
      <c r="I391" s="340"/>
      <c r="J391" s="340"/>
      <c r="K391" s="340"/>
      <c r="L391" s="340"/>
      <c r="M391" s="340"/>
      <c r="N391" s="340"/>
      <c r="O391" s="340"/>
      <c r="P391" s="773"/>
      <c r="Q391" s="773"/>
      <c r="R391" s="332"/>
      <c r="S391" s="332"/>
      <c r="T391" s="332"/>
      <c r="U391" s="332"/>
      <c r="V391" s="332"/>
      <c r="W391" s="322"/>
      <c r="X391" s="322"/>
      <c r="Y391" s="322"/>
      <c r="Z391" s="322"/>
      <c r="AA391" s="322"/>
      <c r="AB391" s="322"/>
      <c r="AC391" s="322"/>
      <c r="AD391" s="328"/>
    </row>
    <row r="392" spans="1:38" ht="26.25" customHeight="1" thickBot="1" x14ac:dyDescent="0.3">
      <c r="A392" s="776" t="s">
        <v>574</v>
      </c>
      <c r="B392" s="777"/>
      <c r="C392" s="777"/>
      <c r="D392" s="777"/>
      <c r="E392" s="777"/>
      <c r="F392" s="777"/>
      <c r="G392" s="777"/>
      <c r="H392" s="777"/>
      <c r="I392" s="777"/>
      <c r="J392" s="777"/>
      <c r="K392" s="777"/>
      <c r="L392" s="777"/>
      <c r="M392" s="777"/>
      <c r="N392" s="774" t="str">
        <f>$N$5</f>
        <v>2022 Report Year</v>
      </c>
      <c r="O392" s="775"/>
      <c r="P392" s="775"/>
      <c r="Q392" s="775"/>
      <c r="R392" s="338"/>
      <c r="S392" s="338"/>
      <c r="T392" s="338"/>
      <c r="U392" s="338"/>
      <c r="V392" s="338"/>
      <c r="W392" s="322"/>
      <c r="X392" s="322"/>
      <c r="Y392" s="322"/>
      <c r="Z392" s="322"/>
      <c r="AA392" s="322"/>
      <c r="AB392" s="322"/>
      <c r="AC392" s="322"/>
      <c r="AD392" s="328"/>
    </row>
    <row r="393" spans="1:38" ht="24.6" customHeight="1" x14ac:dyDescent="0.25">
      <c r="A393" s="821" t="e">
        <f>IF(AND(OR(ISNA(cap_exp_contact),TRIM(cap_exp_contact)=""),NOT(ISBLANK(code_7594))),"The Capital Expenditure Contact information has NOT been provided.  Please complete this information now.","")</f>
        <v>#N/A</v>
      </c>
      <c r="B393" s="822"/>
      <c r="C393" s="822"/>
      <c r="D393" s="822"/>
      <c r="E393" s="822"/>
      <c r="F393" s="822"/>
      <c r="G393" s="822"/>
      <c r="H393" s="822"/>
      <c r="I393" s="822"/>
      <c r="J393" s="822"/>
      <c r="K393" s="822"/>
      <c r="L393" s="822"/>
      <c r="M393" s="822"/>
      <c r="N393" s="271" t="s">
        <v>278</v>
      </c>
      <c r="O393" s="272" t="e">
        <f>'Capital Expend Detail'!$I$7</f>
        <v>#N/A</v>
      </c>
      <c r="P393" s="273" t="s">
        <v>431</v>
      </c>
      <c r="Q393" s="274" t="e">
        <f>IF(ISBLANK(Q350),"",Q350+1)</f>
        <v>#VALUE!</v>
      </c>
      <c r="R393" s="197"/>
      <c r="S393" s="340"/>
      <c r="T393" s="340"/>
      <c r="U393" s="340"/>
      <c r="V393" s="340"/>
      <c r="W393" s="322"/>
      <c r="X393" s="322"/>
      <c r="Y393" s="322"/>
      <c r="Z393" s="322"/>
      <c r="AA393" s="322"/>
      <c r="AB393" s="322"/>
      <c r="AC393" s="322"/>
      <c r="AD393" s="328"/>
    </row>
    <row r="394" spans="1:38" ht="26.25" customHeight="1" thickBot="1" x14ac:dyDescent="0.3">
      <c r="A394" s="778" t="s">
        <v>432</v>
      </c>
      <c r="B394" s="779"/>
      <c r="C394" s="779"/>
      <c r="D394" s="779"/>
      <c r="E394" s="815"/>
      <c r="F394" s="816"/>
      <c r="G394" s="816"/>
      <c r="H394" s="816"/>
      <c r="I394" s="816"/>
      <c r="J394" s="816"/>
      <c r="K394" s="816"/>
      <c r="L394" s="817"/>
      <c r="M394" s="276"/>
      <c r="N394" s="823" t="s">
        <v>443</v>
      </c>
      <c r="O394" s="824"/>
      <c r="P394" s="824"/>
      <c r="Q394" s="825"/>
      <c r="R394" s="197"/>
      <c r="S394" s="277" t="str">
        <f>IF(ISBLANK(E394),"",E394)</f>
        <v/>
      </c>
      <c r="T394" s="278" t="s">
        <v>407</v>
      </c>
      <c r="U394" s="197"/>
      <c r="V394" s="197"/>
      <c r="W394" s="322"/>
      <c r="X394" s="322"/>
      <c r="Y394" s="322"/>
      <c r="Z394" s="322"/>
      <c r="AA394" s="322"/>
      <c r="AB394" s="322"/>
      <c r="AC394" s="322"/>
      <c r="AD394" s="328"/>
    </row>
    <row r="395" spans="1:38" ht="26.25" customHeight="1" x14ac:dyDescent="0.25">
      <c r="A395" s="833" t="s">
        <v>433</v>
      </c>
      <c r="B395" s="834"/>
      <c r="C395" s="834"/>
      <c r="D395" s="835"/>
      <c r="E395" s="788"/>
      <c r="F395" s="789"/>
      <c r="G395" s="789"/>
      <c r="H395" s="789"/>
      <c r="I395" s="789"/>
      <c r="J395" s="789"/>
      <c r="K395" s="789"/>
      <c r="L395" s="790"/>
      <c r="M395" s="793" t="str">
        <f>IF(AND(ISBLANK(E395),OR(NOT(ISBLANK(E396)),NOT(ISBLANK(E397)),NOT(ISBLANK(E398)),NOT(ISBLANK(I399)),NOT(ISBLANK(A401)))),"This information is required.","")</f>
        <v/>
      </c>
      <c r="N395" s="794"/>
      <c r="O395" s="794"/>
      <c r="P395" s="794"/>
      <c r="Q395" s="279"/>
      <c r="R395" s="197"/>
      <c r="S395" s="277" t="str">
        <f>IF(ISBLANK(E395),"",E395)</f>
        <v/>
      </c>
      <c r="T395" s="278" t="s">
        <v>27</v>
      </c>
      <c r="U395" s="197"/>
      <c r="V395" s="197"/>
      <c r="W395" s="322"/>
      <c r="X395" s="322"/>
      <c r="Y395" s="322"/>
      <c r="Z395" s="322"/>
      <c r="AA395" s="340"/>
      <c r="AB395" s="340"/>
      <c r="AC395" s="340"/>
      <c r="AD395" s="328"/>
    </row>
    <row r="396" spans="1:38" ht="26.25" customHeight="1" x14ac:dyDescent="0.25">
      <c r="A396" s="783" t="s">
        <v>434</v>
      </c>
      <c r="B396" s="784"/>
      <c r="C396" s="784"/>
      <c r="D396" s="785"/>
      <c r="E396" s="788"/>
      <c r="F396" s="789"/>
      <c r="G396" s="789"/>
      <c r="H396" s="789"/>
      <c r="I396" s="789"/>
      <c r="J396" s="789"/>
      <c r="K396" s="789"/>
      <c r="L396" s="790"/>
      <c r="M396" s="793" t="str">
        <f>IF(AND(ISBLANK(E396),OR(NOT(ISBLANK(E395)),NOT(ISBLANK(E397)),NOT(ISBLANK(E398)),NOT(ISBLANK(I399)),NOT(ISBLANK(A401)))),"This information is required.","")</f>
        <v/>
      </c>
      <c r="N396" s="794"/>
      <c r="O396" s="794"/>
      <c r="P396" s="794"/>
      <c r="Q396" s="279"/>
      <c r="R396" s="197"/>
      <c r="S396" s="277" t="str">
        <f>IF(ISBLANK(E396),"",E396)</f>
        <v/>
      </c>
      <c r="T396" s="278" t="s">
        <v>28</v>
      </c>
      <c r="U396" s="197"/>
      <c r="V396" s="197"/>
      <c r="W396" s="322"/>
      <c r="X396" s="340"/>
      <c r="Y396" s="340"/>
      <c r="Z396" s="340"/>
      <c r="AA396" s="320"/>
      <c r="AB396" s="320"/>
      <c r="AC396" s="320"/>
      <c r="AD396" s="328"/>
    </row>
    <row r="397" spans="1:38" ht="26.25" customHeight="1" x14ac:dyDescent="0.2">
      <c r="A397" s="873" t="s">
        <v>436</v>
      </c>
      <c r="B397" s="874"/>
      <c r="C397" s="874"/>
      <c r="D397" s="875"/>
      <c r="E397" s="813"/>
      <c r="F397" s="814"/>
      <c r="G397" s="786" t="s">
        <v>437</v>
      </c>
      <c r="H397" s="786"/>
      <c r="I397" s="786"/>
      <c r="J397" s="786"/>
      <c r="K397" s="786"/>
      <c r="L397" s="786"/>
      <c r="M397" s="787" t="str">
        <f>IF(AND(ISBLANK(E397),OR(NOT(ISBLANK(E395)),NOT(ISBLANK(E396)),NOT(ISBLANK(E398)),NOT(ISBLANK(I399)),NOT(ISBLANK(A401)))),"This information is required.","")</f>
        <v/>
      </c>
      <c r="N397" s="711"/>
      <c r="O397" s="711"/>
      <c r="P397" s="711"/>
      <c r="Q397" s="280"/>
      <c r="R397" s="281"/>
      <c r="S397" s="282" t="str">
        <f>IF(ISBLANK(E397),"",E397)</f>
        <v/>
      </c>
      <c r="T397" s="283" t="s">
        <v>30</v>
      </c>
      <c r="U397" s="281"/>
      <c r="V397" s="281"/>
      <c r="W397" s="322"/>
      <c r="X397" s="324"/>
      <c r="Y397" s="324"/>
      <c r="Z397" s="324"/>
      <c r="AA397" s="322"/>
      <c r="AB397" s="322"/>
      <c r="AC397" s="322"/>
      <c r="AD397" s="340"/>
    </row>
    <row r="398" spans="1:38" ht="26.25" customHeight="1" x14ac:dyDescent="0.25">
      <c r="A398" s="783" t="s">
        <v>435</v>
      </c>
      <c r="B398" s="784"/>
      <c r="C398" s="784"/>
      <c r="D398" s="785"/>
      <c r="E398" s="828"/>
      <c r="F398" s="829"/>
      <c r="G398" s="284"/>
      <c r="H398" s="285"/>
      <c r="I398" s="286"/>
      <c r="J398" s="281"/>
      <c r="K398" s="281"/>
      <c r="L398" s="281"/>
      <c r="M398" s="711" t="str">
        <f>IF(AND(ISBLANK(E398),OR(NOT(ISBLANK(E395)),NOT(ISBLANK(E396)),NOT(ISBLANK(E397)),NOT(ISBLANK(I399)),NOT(ISBLANK(A401)))),"This information is required.","")</f>
        <v/>
      </c>
      <c r="N398" s="711"/>
      <c r="O398" s="711"/>
      <c r="P398" s="711"/>
      <c r="Q398" s="280"/>
      <c r="R398" s="287"/>
      <c r="S398" s="288" t="str">
        <f>IF(ISBLANK(E398),"",E398)</f>
        <v/>
      </c>
      <c r="T398" s="289" t="s">
        <v>31</v>
      </c>
      <c r="U398" s="287"/>
      <c r="V398" s="287"/>
      <c r="W398" s="322"/>
      <c r="X398" s="322"/>
      <c r="Y398" s="322"/>
      <c r="Z398" s="322"/>
      <c r="AA398" s="322"/>
      <c r="AB398" s="322"/>
      <c r="AC398" s="322"/>
      <c r="AD398" s="328"/>
    </row>
    <row r="399" spans="1:38" ht="26.25" customHeight="1" thickBot="1" x14ac:dyDescent="0.3">
      <c r="A399" s="797" t="s">
        <v>426</v>
      </c>
      <c r="B399" s="798"/>
      <c r="C399" s="798"/>
      <c r="D399" s="798"/>
      <c r="E399" s="799"/>
      <c r="F399" s="799"/>
      <c r="G399" s="799"/>
      <c r="H399" s="799"/>
      <c r="I399" s="832"/>
      <c r="J399" s="832"/>
      <c r="K399" s="795" t="s">
        <v>481</v>
      </c>
      <c r="L399" s="796"/>
      <c r="M399" s="827" t="str">
        <f>IF(AND(ISBLANK(I399),OR(NOT(ISBLANK(E395)),NOT(ISBLANK(E396)),NOT(ISBLANK(E397)),NOT(ISBLANK(E398)),NOT(ISBLANK(A401)))),"This information is required!","")</f>
        <v/>
      </c>
      <c r="N399" s="827"/>
      <c r="O399" s="827"/>
      <c r="P399" s="827"/>
      <c r="Q399" s="290"/>
      <c r="R399" s="287"/>
      <c r="S399" s="288" t="str">
        <f>IF(ISBLANK(I399),"",I399)</f>
        <v/>
      </c>
      <c r="T399" s="289" t="s">
        <v>32</v>
      </c>
      <c r="U399" s="291"/>
      <c r="V399" s="291"/>
      <c r="W399" s="322"/>
      <c r="X399" s="322"/>
      <c r="Y399" s="322"/>
      <c r="Z399" s="322"/>
      <c r="AA399" s="322"/>
      <c r="AB399" s="322"/>
      <c r="AC399" s="322"/>
      <c r="AD399" s="328"/>
    </row>
    <row r="400" spans="1:38" ht="26.25" customHeight="1" x14ac:dyDescent="0.25">
      <c r="A400" s="841" t="s">
        <v>553</v>
      </c>
      <c r="B400" s="842"/>
      <c r="C400" s="842"/>
      <c r="D400" s="842"/>
      <c r="E400" s="842"/>
      <c r="F400" s="842"/>
      <c r="G400" s="842"/>
      <c r="H400" s="842"/>
      <c r="I400" s="842"/>
      <c r="J400" s="909"/>
      <c r="K400" s="907" t="s">
        <v>646</v>
      </c>
      <c r="L400" s="907"/>
      <c r="M400" s="907"/>
      <c r="N400" s="907"/>
      <c r="O400" s="830" t="s">
        <v>535</v>
      </c>
      <c r="P400" s="830"/>
      <c r="Q400" s="831"/>
      <c r="R400" s="293"/>
      <c r="S400" s="288" t="str">
        <f>IF(ISBLANK(A401),"",A401)</f>
        <v/>
      </c>
      <c r="T400" s="289" t="s">
        <v>33</v>
      </c>
      <c r="U400" s="294"/>
      <c r="V400" s="294"/>
      <c r="W400" s="340"/>
      <c r="X400" s="322"/>
      <c r="Y400" s="322"/>
      <c r="Z400" s="322"/>
      <c r="AA400" s="322"/>
      <c r="AB400" s="322"/>
      <c r="AC400" s="322"/>
      <c r="AD400" s="328"/>
    </row>
    <row r="401" spans="1:30" ht="26.25" customHeight="1" x14ac:dyDescent="0.25">
      <c r="A401" s="853"/>
      <c r="B401" s="854"/>
      <c r="C401" s="854"/>
      <c r="D401" s="854"/>
      <c r="E401" s="854"/>
      <c r="F401" s="854"/>
      <c r="G401" s="854"/>
      <c r="H401" s="854"/>
      <c r="I401" s="854"/>
      <c r="J401" s="902"/>
      <c r="K401" s="908"/>
      <c r="L401" s="908"/>
      <c r="M401" s="908"/>
      <c r="N401" s="908"/>
      <c r="O401" s="295"/>
      <c r="P401" s="296" t="s">
        <v>43</v>
      </c>
      <c r="Q401" s="297" t="s">
        <v>44</v>
      </c>
      <c r="R401" s="293"/>
      <c r="S401" s="288" t="str">
        <f>IF(ISBLANK(A404),"",A404)</f>
        <v/>
      </c>
      <c r="T401" s="298" t="s">
        <v>34</v>
      </c>
      <c r="U401" s="294"/>
      <c r="V401" s="294"/>
      <c r="W401" s="324"/>
      <c r="X401" s="322"/>
      <c r="Y401" s="322"/>
      <c r="Z401" s="322"/>
      <c r="AA401" s="322"/>
      <c r="AB401" s="322"/>
      <c r="AC401" s="322"/>
      <c r="AD401" s="328"/>
    </row>
    <row r="402" spans="1:30" ht="26.25" customHeight="1" x14ac:dyDescent="0.25">
      <c r="A402" s="882"/>
      <c r="B402" s="883"/>
      <c r="C402" s="883"/>
      <c r="D402" s="883"/>
      <c r="E402" s="883"/>
      <c r="F402" s="883"/>
      <c r="G402" s="883"/>
      <c r="H402" s="883"/>
      <c r="I402" s="883"/>
      <c r="J402" s="903"/>
      <c r="K402" s="899" t="s">
        <v>516</v>
      </c>
      <c r="L402" s="900"/>
      <c r="M402" s="900"/>
      <c r="N402" s="900"/>
      <c r="O402" s="901"/>
      <c r="P402" s="304"/>
      <c r="Q402" s="305"/>
      <c r="R402" s="291" t="str">
        <f>IF(COUNTBLANK(P402:Q402)=2,"Please enter response.",IF(COUNTBLANK(P402:Q402)&lt;&gt;1,"Please VERIFY response.",""))</f>
        <v>Please enter response.</v>
      </c>
      <c r="S402" s="306" t="str">
        <f>IF(AND(ISBLANK(P402),ISBLANK(Q402)),"",IF(ISBLANK(P402),0,1))</f>
        <v/>
      </c>
      <c r="T402" s="307" t="s">
        <v>563</v>
      </c>
      <c r="U402" s="266"/>
      <c r="V402" s="266"/>
      <c r="W402" s="322"/>
      <c r="X402" s="322"/>
      <c r="Y402" s="322"/>
      <c r="Z402" s="322"/>
      <c r="AA402" s="322"/>
      <c r="AB402" s="322"/>
      <c r="AC402" s="322"/>
      <c r="AD402" s="328"/>
    </row>
    <row r="403" spans="1:30" ht="26.25" customHeight="1" x14ac:dyDescent="0.25">
      <c r="A403" s="904" t="s">
        <v>558</v>
      </c>
      <c r="B403" s="905"/>
      <c r="C403" s="905"/>
      <c r="D403" s="905"/>
      <c r="E403" s="905"/>
      <c r="F403" s="905"/>
      <c r="G403" s="905"/>
      <c r="H403" s="905"/>
      <c r="I403" s="905"/>
      <c r="J403" s="906"/>
      <c r="K403" s="899" t="s">
        <v>517</v>
      </c>
      <c r="L403" s="900"/>
      <c r="M403" s="900"/>
      <c r="N403" s="900"/>
      <c r="O403" s="901"/>
      <c r="P403" s="304"/>
      <c r="Q403" s="305"/>
      <c r="R403" s="291" t="str">
        <f>IF(COUNTBLANK(P403:Q403)=2,"Please enter response.",IF(COUNTBLANK(P403:Q403)&lt;&gt;1,"Please VERIFY response.",""))</f>
        <v>Please enter response.</v>
      </c>
      <c r="S403" s="306" t="str">
        <f>IF(AND(ISBLANK(P403),ISBLANK(Q403)),"",IF(ISBLANK(P403),0,1))</f>
        <v/>
      </c>
      <c r="T403" s="307" t="s">
        <v>564</v>
      </c>
      <c r="U403" s="266"/>
      <c r="V403" s="266"/>
      <c r="W403" s="322"/>
      <c r="X403" s="322"/>
      <c r="Y403" s="322"/>
      <c r="Z403" s="322"/>
      <c r="AA403" s="322"/>
      <c r="AB403" s="322"/>
      <c r="AC403" s="322"/>
      <c r="AD403" s="328"/>
    </row>
    <row r="404" spans="1:30" ht="26.25" customHeight="1" x14ac:dyDescent="0.25">
      <c r="A404" s="853"/>
      <c r="B404" s="854"/>
      <c r="C404" s="854"/>
      <c r="D404" s="854"/>
      <c r="E404" s="854"/>
      <c r="F404" s="854"/>
      <c r="G404" s="854"/>
      <c r="H404" s="854"/>
      <c r="I404" s="854"/>
      <c r="J404" s="902"/>
      <c r="K404" s="899" t="s">
        <v>518</v>
      </c>
      <c r="L404" s="900"/>
      <c r="M404" s="900"/>
      <c r="N404" s="900"/>
      <c r="O404" s="901"/>
      <c r="P404" s="304"/>
      <c r="Q404" s="305"/>
      <c r="R404" s="291" t="str">
        <f>IF(COUNTBLANK(P404:Q404)=2,"Please enter response.",IF(COUNTBLANK(P404:Q404)&lt;&gt;1,"Please VERIFY response.",""))</f>
        <v>Please enter response.</v>
      </c>
      <c r="S404" s="306" t="str">
        <f>IF(AND(ISBLANK(P404),ISBLANK(Q404)),"",IF(ISBLANK(P404),0,1))</f>
        <v/>
      </c>
      <c r="T404" s="307" t="s">
        <v>565</v>
      </c>
      <c r="U404" s="266"/>
      <c r="V404" s="266"/>
      <c r="W404" s="322"/>
      <c r="X404" s="322"/>
      <c r="Y404" s="322"/>
      <c r="Z404" s="322"/>
      <c r="AA404" s="322"/>
      <c r="AB404" s="322"/>
      <c r="AC404" s="322"/>
      <c r="AD404" s="328"/>
    </row>
    <row r="405" spans="1:30" ht="26.25" customHeight="1" x14ac:dyDescent="0.25">
      <c r="A405" s="882"/>
      <c r="B405" s="883"/>
      <c r="C405" s="883"/>
      <c r="D405" s="883"/>
      <c r="E405" s="883"/>
      <c r="F405" s="883"/>
      <c r="G405" s="883"/>
      <c r="H405" s="883"/>
      <c r="I405" s="883"/>
      <c r="J405" s="903"/>
      <c r="K405" s="899" t="s">
        <v>520</v>
      </c>
      <c r="L405" s="900"/>
      <c r="M405" s="900"/>
      <c r="N405" s="900"/>
      <c r="O405" s="901"/>
      <c r="P405" s="304"/>
      <c r="Q405" s="305"/>
      <c r="R405" s="291" t="str">
        <f>IF(COUNTBLANK(P405:Q405)=2,"Please enter response.",IF(COUNTBLANK(P405:Q405)&lt;&gt;1,"Please VERIFY response.",""))</f>
        <v>Please enter response.</v>
      </c>
      <c r="S405" s="306" t="str">
        <f>IF(AND(ISBLANK(P405),ISBLANK(Q405)),"",IF(ISBLANK(P405),0,1))</f>
        <v/>
      </c>
      <c r="T405" s="307" t="s">
        <v>566</v>
      </c>
      <c r="U405" s="266"/>
      <c r="V405" s="266"/>
      <c r="W405" s="322"/>
      <c r="X405" s="322"/>
      <c r="Y405" s="322"/>
      <c r="Z405" s="322"/>
      <c r="AA405" s="322"/>
      <c r="AB405" s="322"/>
      <c r="AC405" s="322"/>
      <c r="AD405" s="328"/>
    </row>
    <row r="406" spans="1:30" ht="26.25" customHeight="1" x14ac:dyDescent="0.25">
      <c r="A406" s="879" t="s">
        <v>546</v>
      </c>
      <c r="B406" s="880"/>
      <c r="C406" s="880"/>
      <c r="D406" s="880"/>
      <c r="E406" s="880"/>
      <c r="F406" s="880"/>
      <c r="G406" s="880"/>
      <c r="H406" s="880"/>
      <c r="I406" s="880"/>
      <c r="J406" s="880"/>
      <c r="K406" s="880"/>
      <c r="L406" s="880"/>
      <c r="M406" s="880"/>
      <c r="N406" s="880"/>
      <c r="O406" s="880"/>
      <c r="P406" s="880"/>
      <c r="Q406" s="881"/>
      <c r="R406" s="310"/>
      <c r="S406" s="319"/>
      <c r="T406" s="310"/>
      <c r="U406" s="310"/>
      <c r="V406" s="310"/>
      <c r="W406" s="322"/>
      <c r="X406" s="322"/>
      <c r="Y406" s="322"/>
      <c r="Z406" s="322"/>
      <c r="AA406" s="332"/>
      <c r="AB406" s="332"/>
      <c r="AC406" s="332"/>
      <c r="AD406" s="328"/>
    </row>
    <row r="407" spans="1:30" ht="26.25" customHeight="1" x14ac:dyDescent="0.25">
      <c r="A407" s="870" t="s">
        <v>450</v>
      </c>
      <c r="B407" s="826"/>
      <c r="C407" s="826"/>
      <c r="D407" s="826"/>
      <c r="E407" s="826" t="s">
        <v>478</v>
      </c>
      <c r="F407" s="826"/>
      <c r="G407" s="826"/>
      <c r="H407" s="826"/>
      <c r="I407" s="826" t="s">
        <v>479</v>
      </c>
      <c r="J407" s="826"/>
      <c r="K407" s="826"/>
      <c r="L407" s="826"/>
      <c r="M407" s="871" t="s">
        <v>465</v>
      </c>
      <c r="N407" s="826"/>
      <c r="O407" s="826"/>
      <c r="P407" s="826"/>
      <c r="Q407" s="872"/>
      <c r="R407" s="315"/>
      <c r="S407" s="836" t="s">
        <v>491</v>
      </c>
      <c r="T407" s="836"/>
      <c r="U407" s="836"/>
      <c r="V407" s="836"/>
      <c r="W407" s="322"/>
      <c r="X407" s="340"/>
      <c r="Y407" s="340"/>
      <c r="Z407" s="340"/>
      <c r="AA407" s="320"/>
      <c r="AB407" s="320"/>
      <c r="AC407" s="320"/>
      <c r="AD407" s="328"/>
    </row>
    <row r="408" spans="1:30" ht="26.25" customHeight="1" thickBot="1" x14ac:dyDescent="0.25">
      <c r="A408" s="791"/>
      <c r="B408" s="792"/>
      <c r="C408" s="792"/>
      <c r="D408" s="792"/>
      <c r="E408" s="792"/>
      <c r="F408" s="792"/>
      <c r="G408" s="792"/>
      <c r="H408" s="792"/>
      <c r="I408" s="792"/>
      <c r="J408" s="792"/>
      <c r="K408" s="792"/>
      <c r="L408" s="792"/>
      <c r="M408" s="894"/>
      <c r="N408" s="894"/>
      <c r="O408" s="894"/>
      <c r="P408" s="894"/>
      <c r="Q408" s="895"/>
      <c r="R408" s="310"/>
      <c r="S408" s="323" t="str">
        <f>IF(ISBLANK(A408),"",VLOOKUP(A408,VProjType,2,FALSE))</f>
        <v/>
      </c>
      <c r="T408" s="323" t="str">
        <f>IF(ISBLANK(E408),"",VLOOKUP(E408,VSubtype1,2,FALSE))</f>
        <v/>
      </c>
      <c r="U408" s="323" t="str">
        <f>IF(ISBLANK(I408),"",VLOOKUP(I408,VSubtype2,2,FALSE))</f>
        <v/>
      </c>
      <c r="V408" s="323" t="str">
        <f>IF(ISBLANK(M408),"",VLOOKUP(M408,VSubtype3,2,FALSE))</f>
        <v/>
      </c>
      <c r="W408" s="322"/>
      <c r="X408" s="320"/>
      <c r="Y408" s="320"/>
      <c r="Z408" s="320"/>
      <c r="AA408" s="322"/>
      <c r="AB408" s="322"/>
      <c r="AC408" s="322"/>
      <c r="AD408" s="340"/>
    </row>
    <row r="409" spans="1:30" ht="26.25" customHeight="1" x14ac:dyDescent="0.25">
      <c r="A409" s="896" t="s">
        <v>483</v>
      </c>
      <c r="B409" s="897"/>
      <c r="C409" s="897"/>
      <c r="D409" s="897"/>
      <c r="E409" s="897"/>
      <c r="F409" s="897"/>
      <c r="G409" s="897"/>
      <c r="H409" s="897"/>
      <c r="I409" s="897"/>
      <c r="J409" s="897"/>
      <c r="K409" s="897"/>
      <c r="L409" s="897"/>
      <c r="M409" s="897"/>
      <c r="N409" s="897"/>
      <c r="O409" s="897"/>
      <c r="P409" s="897"/>
      <c r="Q409" s="898"/>
      <c r="R409" s="320"/>
      <c r="S409" s="324" t="s">
        <v>537</v>
      </c>
      <c r="T409" s="320"/>
      <c r="U409" s="320"/>
      <c r="V409" s="320"/>
      <c r="W409" s="322"/>
      <c r="X409" s="322"/>
      <c r="Y409" s="322"/>
      <c r="Z409" s="322"/>
      <c r="AA409" s="322"/>
      <c r="AB409" s="322"/>
      <c r="AC409" s="322"/>
      <c r="AD409" s="328"/>
    </row>
    <row r="410" spans="1:30" ht="26.25" customHeight="1" x14ac:dyDescent="0.25">
      <c r="A410" s="859" t="s">
        <v>544</v>
      </c>
      <c r="B410" s="860"/>
      <c r="C410" s="860"/>
      <c r="D410" s="860"/>
      <c r="E410" s="860"/>
      <c r="F410" s="860"/>
      <c r="G410" s="860"/>
      <c r="H410" s="860"/>
      <c r="I410" s="860"/>
      <c r="J410" s="860"/>
      <c r="K410" s="860"/>
      <c r="L410" s="861"/>
      <c r="M410" s="876"/>
      <c r="N410" s="877"/>
      <c r="O410" s="877"/>
      <c r="P410" s="877"/>
      <c r="Q410" s="878"/>
      <c r="R410" s="320"/>
      <c r="S410" s="325" t="str">
        <f>IF(ISBLANK(M410),"",VLOOKUP(M410,VRemote,2,FALSE))</f>
        <v/>
      </c>
      <c r="T410" s="326" t="s">
        <v>545</v>
      </c>
      <c r="U410" s="320"/>
      <c r="V410" s="320"/>
      <c r="W410" s="322"/>
      <c r="X410" s="322"/>
      <c r="Y410" s="322"/>
      <c r="Z410" s="322"/>
      <c r="AA410" s="322"/>
      <c r="AB410" s="322"/>
      <c r="AC410" s="322"/>
      <c r="AD410" s="328"/>
    </row>
    <row r="411" spans="1:30" ht="26.25" customHeight="1" x14ac:dyDescent="0.2">
      <c r="A411" s="859" t="s">
        <v>529</v>
      </c>
      <c r="B411" s="860"/>
      <c r="C411" s="860"/>
      <c r="D411" s="860"/>
      <c r="E411" s="860"/>
      <c r="F411" s="860"/>
      <c r="G411" s="860"/>
      <c r="H411" s="860"/>
      <c r="I411" s="860"/>
      <c r="J411" s="860"/>
      <c r="K411" s="860"/>
      <c r="L411" s="860"/>
      <c r="M411" s="876"/>
      <c r="N411" s="877"/>
      <c r="O411" s="877"/>
      <c r="P411" s="877"/>
      <c r="Q411" s="878"/>
      <c r="R411" s="322"/>
      <c r="S411" s="325" t="str">
        <f>IF(ISBLANK(M411),"",VLOOKUP(M411,VCapacity,2,FALSE))</f>
        <v/>
      </c>
      <c r="T411" s="327" t="s">
        <v>539</v>
      </c>
      <c r="U411" s="322"/>
      <c r="V411" s="322"/>
      <c r="W411" s="340"/>
      <c r="X411" s="322"/>
      <c r="Y411" s="322"/>
      <c r="Z411" s="322"/>
      <c r="AA411" s="322"/>
      <c r="AB411" s="322"/>
      <c r="AC411" s="322"/>
      <c r="AD411" s="340"/>
    </row>
    <row r="412" spans="1:30" ht="26.25" customHeight="1" x14ac:dyDescent="0.2">
      <c r="A412" s="859" t="s">
        <v>484</v>
      </c>
      <c r="B412" s="860"/>
      <c r="C412" s="860"/>
      <c r="D412" s="860"/>
      <c r="E412" s="860"/>
      <c r="F412" s="860"/>
      <c r="G412" s="860"/>
      <c r="H412" s="860"/>
      <c r="I412" s="860"/>
      <c r="J412" s="860"/>
      <c r="K412" s="860"/>
      <c r="L412" s="860"/>
      <c r="M412" s="876"/>
      <c r="N412" s="877"/>
      <c r="O412" s="877"/>
      <c r="P412" s="877"/>
      <c r="Q412" s="878"/>
      <c r="R412" s="322"/>
      <c r="S412" s="325" t="str">
        <f>IF(ISBLANK(M412),"",VLOOKUP(M412,VPriorCap,2,FALSE))</f>
        <v/>
      </c>
      <c r="T412" s="327" t="s">
        <v>489</v>
      </c>
      <c r="U412" s="322"/>
      <c r="V412" s="322"/>
      <c r="W412" s="320"/>
      <c r="X412" s="322"/>
      <c r="Y412" s="322"/>
      <c r="Z412" s="322"/>
      <c r="AA412" s="322"/>
      <c r="AB412" s="322"/>
      <c r="AC412" s="322"/>
      <c r="AD412" s="340"/>
    </row>
    <row r="413" spans="1:30" ht="26.25" customHeight="1" x14ac:dyDescent="0.2">
      <c r="A413" s="780" t="s">
        <v>515</v>
      </c>
      <c r="B413" s="781"/>
      <c r="C413" s="781"/>
      <c r="D413" s="781"/>
      <c r="E413" s="781"/>
      <c r="F413" s="781"/>
      <c r="G413" s="781"/>
      <c r="H413" s="781"/>
      <c r="I413" s="781"/>
      <c r="J413" s="781"/>
      <c r="K413" s="781"/>
      <c r="L413" s="781"/>
      <c r="M413" s="781"/>
      <c r="N413" s="781"/>
      <c r="O413" s="781"/>
      <c r="P413" s="781"/>
      <c r="Q413" s="782"/>
      <c r="R413" s="322"/>
      <c r="S413" s="330" t="str">
        <f>IF(ISBLANK(A414),"",A414)</f>
        <v/>
      </c>
      <c r="T413" s="327" t="s">
        <v>490</v>
      </c>
      <c r="U413" s="322"/>
      <c r="V413" s="322"/>
      <c r="W413" s="322"/>
      <c r="X413" s="322"/>
      <c r="Y413" s="322"/>
      <c r="Z413" s="322"/>
      <c r="AA413" s="322"/>
      <c r="AB413" s="322"/>
      <c r="AC413" s="322"/>
      <c r="AD413" s="340"/>
    </row>
    <row r="414" spans="1:30" ht="26.25" customHeight="1" x14ac:dyDescent="0.2">
      <c r="A414" s="862"/>
      <c r="B414" s="845"/>
      <c r="C414" s="845"/>
      <c r="D414" s="845"/>
      <c r="E414" s="845"/>
      <c r="F414" s="845"/>
      <c r="G414" s="845"/>
      <c r="H414" s="845"/>
      <c r="I414" s="845"/>
      <c r="J414" s="845"/>
      <c r="K414" s="845"/>
      <c r="L414" s="845"/>
      <c r="M414" s="845"/>
      <c r="N414" s="845"/>
      <c r="O414" s="845"/>
      <c r="P414" s="845"/>
      <c r="Q414" s="863"/>
      <c r="R414" s="322"/>
      <c r="S414" s="322"/>
      <c r="T414" s="322"/>
      <c r="U414" s="322"/>
      <c r="V414" s="322"/>
      <c r="W414" s="322"/>
      <c r="X414" s="322"/>
      <c r="Y414" s="322"/>
      <c r="Z414" s="322"/>
      <c r="AA414" s="322"/>
      <c r="AB414" s="322"/>
      <c r="AC414" s="322"/>
      <c r="AD414" s="340"/>
    </row>
    <row r="415" spans="1:30" ht="26.25" customHeight="1" x14ac:dyDescent="0.2">
      <c r="A415" s="864"/>
      <c r="B415" s="865"/>
      <c r="C415" s="865"/>
      <c r="D415" s="865"/>
      <c r="E415" s="865"/>
      <c r="F415" s="865"/>
      <c r="G415" s="865"/>
      <c r="H415" s="865"/>
      <c r="I415" s="865"/>
      <c r="J415" s="865"/>
      <c r="K415" s="865"/>
      <c r="L415" s="865"/>
      <c r="M415" s="865"/>
      <c r="N415" s="865"/>
      <c r="O415" s="865"/>
      <c r="P415" s="865"/>
      <c r="Q415" s="866"/>
      <c r="R415" s="322"/>
      <c r="S415" s="322"/>
      <c r="T415" s="322"/>
      <c r="U415" s="322"/>
      <c r="V415" s="322"/>
      <c r="W415" s="322"/>
      <c r="X415" s="322"/>
      <c r="Y415" s="322"/>
      <c r="Z415" s="322"/>
      <c r="AA415" s="322"/>
      <c r="AB415" s="322"/>
      <c r="AC415" s="322"/>
      <c r="AD415" s="340"/>
    </row>
    <row r="416" spans="1:30" ht="26.25" customHeight="1" x14ac:dyDescent="0.2">
      <c r="A416" s="885" t="s">
        <v>514</v>
      </c>
      <c r="B416" s="886"/>
      <c r="C416" s="886"/>
      <c r="D416" s="886"/>
      <c r="E416" s="886"/>
      <c r="F416" s="886"/>
      <c r="G416" s="886"/>
      <c r="H416" s="886"/>
      <c r="I416" s="886"/>
      <c r="J416" s="886"/>
      <c r="K416" s="886"/>
      <c r="L416" s="886"/>
      <c r="M416" s="886"/>
      <c r="N416" s="886"/>
      <c r="O416" s="886"/>
      <c r="P416" s="886"/>
      <c r="Q416" s="887"/>
      <c r="R416" s="324"/>
      <c r="S416" s="324"/>
      <c r="T416" s="324"/>
      <c r="U416" s="324"/>
      <c r="V416" s="324"/>
      <c r="W416" s="322"/>
      <c r="X416" s="322"/>
      <c r="Y416" s="322"/>
      <c r="Z416" s="322"/>
      <c r="AA416" s="322"/>
      <c r="AB416" s="322"/>
      <c r="AC416" s="322"/>
      <c r="AD416" s="340"/>
    </row>
    <row r="417" spans="1:30" ht="26.25" customHeight="1" x14ac:dyDescent="0.2">
      <c r="A417" s="862"/>
      <c r="B417" s="845"/>
      <c r="C417" s="845"/>
      <c r="D417" s="845"/>
      <c r="E417" s="845"/>
      <c r="F417" s="845"/>
      <c r="G417" s="845"/>
      <c r="H417" s="845"/>
      <c r="I417" s="845"/>
      <c r="J417" s="845"/>
      <c r="K417" s="845"/>
      <c r="L417" s="845"/>
      <c r="M417" s="845"/>
      <c r="N417" s="845"/>
      <c r="O417" s="845"/>
      <c r="P417" s="845"/>
      <c r="Q417" s="846"/>
      <c r="R417" s="322"/>
      <c r="S417" s="330" t="str">
        <f>IF(ISBLANK(A417),"",A417)</f>
        <v/>
      </c>
      <c r="T417" s="289" t="s">
        <v>36</v>
      </c>
      <c r="U417" s="322"/>
      <c r="V417" s="322"/>
      <c r="W417" s="322"/>
      <c r="X417" s="322"/>
      <c r="Y417" s="322"/>
      <c r="Z417" s="322"/>
      <c r="AA417" s="340"/>
      <c r="AB417" s="340"/>
      <c r="AC417" s="340"/>
      <c r="AD417" s="340"/>
    </row>
    <row r="418" spans="1:30" ht="26.25" customHeight="1" thickBot="1" x14ac:dyDescent="0.25">
      <c r="A418" s="856"/>
      <c r="B418" s="857"/>
      <c r="C418" s="857"/>
      <c r="D418" s="857"/>
      <c r="E418" s="857"/>
      <c r="F418" s="857"/>
      <c r="G418" s="857"/>
      <c r="H418" s="857"/>
      <c r="I418" s="857"/>
      <c r="J418" s="857"/>
      <c r="K418" s="857"/>
      <c r="L418" s="857"/>
      <c r="M418" s="857"/>
      <c r="N418" s="857"/>
      <c r="O418" s="857"/>
      <c r="P418" s="857"/>
      <c r="Q418" s="858"/>
      <c r="R418" s="322"/>
      <c r="S418" s="322"/>
      <c r="T418" s="289"/>
      <c r="U418" s="322"/>
      <c r="V418" s="322"/>
      <c r="W418" s="322"/>
      <c r="X418" s="332"/>
      <c r="Y418" s="332"/>
      <c r="Z418" s="332"/>
      <c r="AA418" s="324"/>
      <c r="AB418" s="324"/>
      <c r="AC418" s="324"/>
      <c r="AD418" s="340"/>
    </row>
    <row r="419" spans="1:30" ht="26.25" customHeight="1" x14ac:dyDescent="0.2">
      <c r="A419" s="850" t="s">
        <v>504</v>
      </c>
      <c r="B419" s="851"/>
      <c r="C419" s="851"/>
      <c r="D419" s="851"/>
      <c r="E419" s="851"/>
      <c r="F419" s="851"/>
      <c r="G419" s="851"/>
      <c r="H419" s="851"/>
      <c r="I419" s="851"/>
      <c r="J419" s="851"/>
      <c r="K419" s="851"/>
      <c r="L419" s="851"/>
      <c r="M419" s="851"/>
      <c r="N419" s="851"/>
      <c r="O419" s="851"/>
      <c r="P419" s="851"/>
      <c r="Q419" s="852"/>
      <c r="R419" s="320"/>
      <c r="S419" s="324" t="s">
        <v>540</v>
      </c>
      <c r="T419" s="320"/>
      <c r="U419" s="320"/>
      <c r="V419" s="320"/>
      <c r="W419" s="322"/>
      <c r="X419" s="338"/>
      <c r="Y419" s="338"/>
      <c r="Z419" s="338"/>
      <c r="AA419" s="322"/>
      <c r="AB419" s="322"/>
      <c r="AC419" s="322"/>
      <c r="AD419" s="340"/>
    </row>
    <row r="420" spans="1:30" ht="26.25" customHeight="1" x14ac:dyDescent="0.2">
      <c r="A420" s="891" t="s">
        <v>557</v>
      </c>
      <c r="B420" s="892"/>
      <c r="C420" s="892"/>
      <c r="D420" s="892"/>
      <c r="E420" s="892"/>
      <c r="F420" s="892"/>
      <c r="G420" s="892"/>
      <c r="H420" s="892"/>
      <c r="I420" s="892"/>
      <c r="J420" s="892"/>
      <c r="K420" s="892"/>
      <c r="L420" s="893"/>
      <c r="M420" s="876"/>
      <c r="N420" s="877"/>
      <c r="O420" s="877"/>
      <c r="P420" s="877"/>
      <c r="Q420" s="878"/>
      <c r="R420" s="322"/>
      <c r="S420" s="331" t="str">
        <f>IF(ISBLANK(M420),"",VLOOKUP(M420,VImpact,2,FALSE))</f>
        <v/>
      </c>
      <c r="T420" s="327" t="s">
        <v>493</v>
      </c>
      <c r="U420" s="322"/>
      <c r="V420" s="322"/>
      <c r="W420" s="322"/>
      <c r="X420" s="340"/>
      <c r="Y420" s="340"/>
      <c r="Z420" s="340"/>
      <c r="AA420" s="322"/>
      <c r="AB420" s="322"/>
      <c r="AC420" s="322"/>
      <c r="AD420" s="340"/>
    </row>
    <row r="421" spans="1:30" ht="26.25" customHeight="1" x14ac:dyDescent="0.2">
      <c r="A421" s="859" t="s">
        <v>554</v>
      </c>
      <c r="B421" s="860"/>
      <c r="C421" s="860"/>
      <c r="D421" s="860"/>
      <c r="E421" s="860"/>
      <c r="F421" s="860"/>
      <c r="G421" s="860"/>
      <c r="H421" s="860"/>
      <c r="I421" s="860"/>
      <c r="J421" s="860"/>
      <c r="K421" s="860"/>
      <c r="L421" s="861"/>
      <c r="M421" s="876"/>
      <c r="N421" s="877"/>
      <c r="O421" s="877"/>
      <c r="P421" s="877"/>
      <c r="Q421" s="878"/>
      <c r="R421" s="322"/>
      <c r="S421" s="331" t="str">
        <f>IF(ISBLANK(M421),"",VLOOKUP(M421,VEvidence,2,FALSE))</f>
        <v/>
      </c>
      <c r="T421" s="307" t="s">
        <v>494</v>
      </c>
      <c r="U421" s="322"/>
      <c r="V421" s="322"/>
      <c r="W421" s="322"/>
      <c r="X421" s="340"/>
      <c r="Y421" s="340"/>
      <c r="Z421" s="340"/>
      <c r="AA421" s="322"/>
      <c r="AB421" s="322"/>
      <c r="AC421" s="322"/>
      <c r="AD421" s="340"/>
    </row>
    <row r="422" spans="1:30" ht="26.25" customHeight="1" x14ac:dyDescent="0.2">
      <c r="A422" s="888" t="s">
        <v>512</v>
      </c>
      <c r="B422" s="889"/>
      <c r="C422" s="889"/>
      <c r="D422" s="889"/>
      <c r="E422" s="889"/>
      <c r="F422" s="889"/>
      <c r="G422" s="889"/>
      <c r="H422" s="889"/>
      <c r="I422" s="889"/>
      <c r="J422" s="889"/>
      <c r="K422" s="889"/>
      <c r="L422" s="889"/>
      <c r="M422" s="889"/>
      <c r="N422" s="889"/>
      <c r="O422" s="889"/>
      <c r="P422" s="889"/>
      <c r="Q422" s="890"/>
      <c r="R422" s="322"/>
      <c r="S422" s="330" t="str">
        <f>IF(ISBLANK(A423),"",A423)</f>
        <v/>
      </c>
      <c r="T422" s="289" t="s">
        <v>35</v>
      </c>
      <c r="U422" s="322"/>
      <c r="V422" s="322"/>
      <c r="W422" s="332"/>
      <c r="X422" s="340"/>
      <c r="Y422" s="340"/>
      <c r="Z422" s="340"/>
      <c r="AA422" s="322"/>
      <c r="AB422" s="322"/>
      <c r="AC422" s="322"/>
      <c r="AD422" s="340"/>
    </row>
    <row r="423" spans="1:30" ht="26.25" customHeight="1" x14ac:dyDescent="0.2">
      <c r="A423" s="862"/>
      <c r="B423" s="845"/>
      <c r="C423" s="845"/>
      <c r="D423" s="845"/>
      <c r="E423" s="845"/>
      <c r="F423" s="845"/>
      <c r="G423" s="845"/>
      <c r="H423" s="845"/>
      <c r="I423" s="845"/>
      <c r="J423" s="845"/>
      <c r="K423" s="845"/>
      <c r="L423" s="845"/>
      <c r="M423" s="845"/>
      <c r="N423" s="845"/>
      <c r="O423" s="845"/>
      <c r="P423" s="845"/>
      <c r="Q423" s="846"/>
      <c r="R423" s="322"/>
      <c r="S423" s="322"/>
      <c r="T423" s="333"/>
      <c r="U423" s="322"/>
      <c r="V423" s="322"/>
      <c r="W423" s="338"/>
      <c r="X423" s="340"/>
      <c r="Y423" s="340"/>
      <c r="Z423" s="340"/>
      <c r="AA423" s="322"/>
      <c r="AB423" s="322"/>
      <c r="AC423" s="322"/>
      <c r="AD423" s="340"/>
    </row>
    <row r="424" spans="1:30" ht="26.25" customHeight="1" x14ac:dyDescent="0.2">
      <c r="A424" s="882"/>
      <c r="B424" s="883"/>
      <c r="C424" s="883"/>
      <c r="D424" s="883"/>
      <c r="E424" s="883"/>
      <c r="F424" s="883"/>
      <c r="G424" s="883"/>
      <c r="H424" s="883"/>
      <c r="I424" s="883"/>
      <c r="J424" s="883"/>
      <c r="K424" s="883"/>
      <c r="L424" s="883"/>
      <c r="M424" s="883"/>
      <c r="N424" s="883"/>
      <c r="O424" s="883"/>
      <c r="P424" s="883"/>
      <c r="Q424" s="884"/>
      <c r="R424" s="322"/>
      <c r="S424" s="322"/>
      <c r="T424" s="333"/>
      <c r="U424" s="322"/>
      <c r="V424" s="322"/>
      <c r="W424" s="340"/>
      <c r="X424" s="340"/>
      <c r="Y424" s="340"/>
      <c r="Z424" s="340"/>
      <c r="AA424" s="322"/>
      <c r="AB424" s="322"/>
      <c r="AC424" s="322"/>
      <c r="AD424" s="340"/>
    </row>
    <row r="425" spans="1:30" ht="26.25" customHeight="1" x14ac:dyDescent="0.2">
      <c r="A425" s="867" t="s">
        <v>513</v>
      </c>
      <c r="B425" s="868"/>
      <c r="C425" s="868"/>
      <c r="D425" s="868"/>
      <c r="E425" s="868"/>
      <c r="F425" s="868"/>
      <c r="G425" s="868"/>
      <c r="H425" s="868"/>
      <c r="I425" s="868"/>
      <c r="J425" s="868"/>
      <c r="K425" s="868"/>
      <c r="L425" s="868"/>
      <c r="M425" s="868"/>
      <c r="N425" s="868"/>
      <c r="O425" s="868"/>
      <c r="P425" s="868"/>
      <c r="Q425" s="869"/>
      <c r="R425" s="322"/>
      <c r="S425" s="330" t="str">
        <f>IF(ISBLANK(A426),"",A426)</f>
        <v/>
      </c>
      <c r="T425" s="333" t="s">
        <v>542</v>
      </c>
      <c r="U425" s="322"/>
      <c r="V425" s="322"/>
      <c r="W425" s="340"/>
      <c r="X425" s="293"/>
      <c r="Y425" s="293"/>
      <c r="Z425" s="293"/>
      <c r="AA425" s="322"/>
      <c r="AB425" s="322"/>
      <c r="AC425" s="322"/>
      <c r="AD425" s="340"/>
    </row>
    <row r="426" spans="1:30" ht="26.25" customHeight="1" x14ac:dyDescent="0.2">
      <c r="A426" s="862"/>
      <c r="B426" s="845"/>
      <c r="C426" s="845"/>
      <c r="D426" s="845"/>
      <c r="E426" s="845"/>
      <c r="F426" s="845"/>
      <c r="G426" s="845"/>
      <c r="H426" s="845"/>
      <c r="I426" s="845"/>
      <c r="J426" s="845"/>
      <c r="K426" s="845"/>
      <c r="L426" s="845"/>
      <c r="M426" s="845"/>
      <c r="N426" s="845"/>
      <c r="O426" s="845"/>
      <c r="P426" s="845"/>
      <c r="Q426" s="863"/>
      <c r="R426" s="322"/>
      <c r="U426" s="322"/>
      <c r="V426" s="322"/>
      <c r="W426" s="340"/>
      <c r="X426" s="340"/>
      <c r="Y426" s="340"/>
      <c r="Z426" s="340"/>
      <c r="AA426" s="322"/>
      <c r="AB426" s="322"/>
      <c r="AC426" s="322"/>
      <c r="AD426" s="340"/>
    </row>
    <row r="427" spans="1:30" ht="26.25" customHeight="1" thickBot="1" x14ac:dyDescent="0.25">
      <c r="A427" s="847"/>
      <c r="B427" s="848"/>
      <c r="C427" s="848"/>
      <c r="D427" s="848"/>
      <c r="E427" s="848"/>
      <c r="F427" s="848"/>
      <c r="G427" s="848"/>
      <c r="H427" s="848"/>
      <c r="I427" s="848"/>
      <c r="J427" s="848"/>
      <c r="K427" s="848"/>
      <c r="L427" s="848"/>
      <c r="M427" s="848"/>
      <c r="N427" s="848"/>
      <c r="O427" s="848"/>
      <c r="P427" s="848"/>
      <c r="Q427" s="849"/>
      <c r="R427" s="322"/>
      <c r="S427" s="322"/>
      <c r="T427" s="322"/>
      <c r="U427" s="322"/>
      <c r="V427" s="322"/>
      <c r="W427" s="340"/>
      <c r="X427" s="340"/>
      <c r="Y427" s="340"/>
      <c r="Z427" s="340"/>
      <c r="AA427" s="322"/>
      <c r="AB427" s="322"/>
      <c r="AC427" s="322"/>
      <c r="AD427" s="340"/>
    </row>
    <row r="428" spans="1:30" ht="26.25" customHeight="1" x14ac:dyDescent="0.2">
      <c r="A428" s="841" t="s">
        <v>555</v>
      </c>
      <c r="B428" s="842"/>
      <c r="C428" s="842"/>
      <c r="D428" s="842"/>
      <c r="E428" s="842"/>
      <c r="F428" s="842"/>
      <c r="G428" s="842"/>
      <c r="H428" s="842"/>
      <c r="I428" s="842"/>
      <c r="J428" s="842"/>
      <c r="K428" s="842"/>
      <c r="L428" s="842"/>
      <c r="M428" s="842"/>
      <c r="N428" s="842"/>
      <c r="O428" s="842"/>
      <c r="P428" s="842"/>
      <c r="Q428" s="843"/>
      <c r="S428" s="336" t="str">
        <f>IF(ISBLANK(A429),"",A429)</f>
        <v/>
      </c>
      <c r="T428" s="337" t="s">
        <v>556</v>
      </c>
      <c r="W428" s="340"/>
      <c r="X428" s="340"/>
      <c r="Y428" s="340"/>
      <c r="Z428" s="340"/>
      <c r="AA428" s="340"/>
      <c r="AB428" s="340"/>
      <c r="AC428" s="340"/>
      <c r="AD428" s="340"/>
    </row>
    <row r="429" spans="1:30" ht="26.25" customHeight="1" x14ac:dyDescent="0.2">
      <c r="A429" s="844"/>
      <c r="B429" s="845"/>
      <c r="C429" s="845"/>
      <c r="D429" s="845"/>
      <c r="E429" s="845"/>
      <c r="F429" s="845"/>
      <c r="G429" s="845"/>
      <c r="H429" s="845"/>
      <c r="I429" s="845"/>
      <c r="J429" s="845"/>
      <c r="K429" s="845"/>
      <c r="L429" s="845"/>
      <c r="M429" s="845"/>
      <c r="N429" s="845"/>
      <c r="O429" s="845"/>
      <c r="P429" s="845"/>
      <c r="Q429" s="846"/>
      <c r="W429" s="293"/>
      <c r="X429" s="293"/>
      <c r="Y429" s="293"/>
      <c r="Z429" s="293"/>
      <c r="AA429" s="320"/>
      <c r="AB429" s="320"/>
      <c r="AC429" s="320"/>
      <c r="AD429" s="340"/>
    </row>
    <row r="430" spans="1:30" ht="26.25" customHeight="1" thickBot="1" x14ac:dyDescent="0.25">
      <c r="A430" s="847"/>
      <c r="B430" s="848"/>
      <c r="C430" s="848"/>
      <c r="D430" s="848"/>
      <c r="E430" s="848"/>
      <c r="F430" s="848"/>
      <c r="G430" s="848"/>
      <c r="H430" s="848"/>
      <c r="I430" s="848"/>
      <c r="J430" s="848"/>
      <c r="K430" s="848"/>
      <c r="L430" s="848"/>
      <c r="M430" s="848"/>
      <c r="N430" s="848"/>
      <c r="O430" s="848"/>
      <c r="P430" s="848"/>
      <c r="Q430" s="849"/>
      <c r="R430" s="286"/>
      <c r="S430" s="286"/>
      <c r="T430" s="286"/>
      <c r="U430" s="286"/>
      <c r="V430" s="286"/>
      <c r="W430" s="340"/>
      <c r="X430" s="322"/>
      <c r="Y430" s="322"/>
      <c r="Z430" s="322"/>
      <c r="AA430" s="322"/>
      <c r="AB430" s="322"/>
      <c r="AC430" s="322"/>
      <c r="AD430" s="340"/>
    </row>
    <row r="431" spans="1:30" ht="26.25" customHeight="1" x14ac:dyDescent="0.2">
      <c r="A431" s="850" t="s">
        <v>482</v>
      </c>
      <c r="B431" s="851"/>
      <c r="C431" s="851"/>
      <c r="D431" s="851"/>
      <c r="E431" s="851"/>
      <c r="F431" s="851"/>
      <c r="G431" s="851"/>
      <c r="H431" s="851"/>
      <c r="I431" s="851"/>
      <c r="J431" s="851"/>
      <c r="K431" s="851"/>
      <c r="L431" s="851"/>
      <c r="M431" s="851"/>
      <c r="N431" s="851"/>
      <c r="O431" s="851"/>
      <c r="P431" s="851"/>
      <c r="Q431" s="852"/>
      <c r="R431" s="334"/>
      <c r="S431" s="341"/>
      <c r="T431" s="342"/>
      <c r="U431" s="334"/>
      <c r="V431" s="334"/>
      <c r="W431" s="340"/>
      <c r="X431" s="322"/>
      <c r="Y431" s="322"/>
      <c r="Z431" s="322"/>
      <c r="AA431" s="322"/>
      <c r="AB431" s="322"/>
      <c r="AC431" s="322"/>
      <c r="AD431" s="340"/>
    </row>
    <row r="432" spans="1:30" ht="26.25" customHeight="1" x14ac:dyDescent="0.2">
      <c r="A432" s="853"/>
      <c r="B432" s="854"/>
      <c r="C432" s="854"/>
      <c r="D432" s="854"/>
      <c r="E432" s="854"/>
      <c r="F432" s="854"/>
      <c r="G432" s="854"/>
      <c r="H432" s="854"/>
      <c r="I432" s="854"/>
      <c r="J432" s="854"/>
      <c r="K432" s="854"/>
      <c r="L432" s="854"/>
      <c r="M432" s="854"/>
      <c r="N432" s="854"/>
      <c r="O432" s="854"/>
      <c r="P432" s="854"/>
      <c r="Q432" s="855"/>
      <c r="R432" s="186"/>
      <c r="S432" s="343" t="str">
        <f>IF(ISBLANK(A432),"",CONCATENATE(S431,A432))</f>
        <v/>
      </c>
      <c r="T432" s="289" t="s">
        <v>37</v>
      </c>
      <c r="U432" s="186"/>
      <c r="V432" s="186"/>
      <c r="W432" s="340"/>
      <c r="X432" s="322"/>
      <c r="Y432" s="322"/>
      <c r="Z432" s="322"/>
      <c r="AA432" s="322"/>
      <c r="AB432" s="322"/>
      <c r="AC432" s="322"/>
      <c r="AD432" s="340"/>
    </row>
    <row r="433" spans="1:38" ht="26.25" customHeight="1" thickBot="1" x14ac:dyDescent="0.25">
      <c r="A433" s="856"/>
      <c r="B433" s="857"/>
      <c r="C433" s="857"/>
      <c r="D433" s="857"/>
      <c r="E433" s="857"/>
      <c r="F433" s="857"/>
      <c r="G433" s="857"/>
      <c r="H433" s="857"/>
      <c r="I433" s="857"/>
      <c r="J433" s="857"/>
      <c r="K433" s="857"/>
      <c r="L433" s="857"/>
      <c r="M433" s="857"/>
      <c r="N433" s="857"/>
      <c r="O433" s="857"/>
      <c r="P433" s="857"/>
      <c r="Q433" s="858"/>
      <c r="R433" s="186"/>
      <c r="S433" s="340"/>
      <c r="T433" s="340"/>
      <c r="U433" s="340"/>
      <c r="V433" s="340"/>
      <c r="W433" s="293"/>
      <c r="X433" s="322"/>
      <c r="Y433" s="322"/>
      <c r="Z433" s="322"/>
      <c r="AA433" s="322"/>
      <c r="AB433" s="322"/>
      <c r="AC433" s="322"/>
      <c r="AD433" s="340"/>
    </row>
    <row r="434" spans="1:38" ht="26.25" customHeight="1" x14ac:dyDescent="0.2">
      <c r="A434" s="344" t="e">
        <f>$A$1</f>
        <v>#N/A</v>
      </c>
      <c r="B434" s="340"/>
      <c r="C434" s="340"/>
      <c r="D434" s="340"/>
      <c r="E434" s="340"/>
      <c r="F434" s="340"/>
      <c r="G434" s="340"/>
      <c r="H434" s="340"/>
      <c r="I434" s="340"/>
      <c r="J434" s="340"/>
      <c r="K434" s="340"/>
      <c r="L434" s="340"/>
      <c r="M434" s="340"/>
      <c r="N434" s="340"/>
      <c r="O434" s="340"/>
      <c r="P434" s="773"/>
      <c r="Q434" s="773"/>
      <c r="R434" s="332"/>
      <c r="S434" s="332"/>
      <c r="T434" s="332"/>
      <c r="U434" s="332"/>
      <c r="V434" s="332"/>
      <c r="W434" s="322"/>
      <c r="X434" s="322"/>
      <c r="Y434" s="322"/>
      <c r="Z434" s="322"/>
      <c r="AA434" s="322"/>
      <c r="AB434" s="322"/>
      <c r="AC434" s="322"/>
      <c r="AD434" s="340"/>
    </row>
    <row r="435" spans="1:38" ht="26.25" customHeight="1" thickBot="1" x14ac:dyDescent="0.25">
      <c r="A435" s="776" t="s">
        <v>575</v>
      </c>
      <c r="B435" s="777"/>
      <c r="C435" s="777"/>
      <c r="D435" s="777"/>
      <c r="E435" s="777"/>
      <c r="F435" s="777"/>
      <c r="G435" s="777"/>
      <c r="H435" s="777"/>
      <c r="I435" s="777"/>
      <c r="J435" s="777"/>
      <c r="K435" s="777"/>
      <c r="L435" s="777"/>
      <c r="M435" s="777"/>
      <c r="N435" s="774" t="str">
        <f>$N$5</f>
        <v>2022 Report Year</v>
      </c>
      <c r="O435" s="775"/>
      <c r="P435" s="775"/>
      <c r="Q435" s="775"/>
      <c r="R435" s="338"/>
      <c r="S435" s="338"/>
      <c r="T435" s="338"/>
      <c r="U435" s="338"/>
      <c r="V435" s="338"/>
      <c r="W435" s="322"/>
      <c r="X435" s="322"/>
      <c r="Y435" s="322"/>
      <c r="Z435" s="322"/>
      <c r="AA435" s="322"/>
      <c r="AB435" s="322"/>
      <c r="AC435" s="322"/>
      <c r="AD435" s="340"/>
    </row>
    <row r="436" spans="1:38" ht="26.25" customHeight="1" x14ac:dyDescent="0.2">
      <c r="A436" s="821" t="e">
        <f>IF(AND(OR(ISNA(cap_exp_contact),TRIM(cap_exp_contact)=""),NOT(ISBLANK(code_7594))),"The Capital Expenditure Contact information has NOT been provided.  Please complete this information now.","")</f>
        <v>#N/A</v>
      </c>
      <c r="B436" s="822"/>
      <c r="C436" s="822"/>
      <c r="D436" s="822"/>
      <c r="E436" s="822"/>
      <c r="F436" s="822"/>
      <c r="G436" s="822"/>
      <c r="H436" s="822"/>
      <c r="I436" s="822"/>
      <c r="J436" s="822"/>
      <c r="K436" s="822"/>
      <c r="L436" s="822"/>
      <c r="M436" s="822"/>
      <c r="N436" s="271" t="s">
        <v>278</v>
      </c>
      <c r="O436" s="272" t="e">
        <f>'Capital Expend Detail'!$I$7</f>
        <v>#N/A</v>
      </c>
      <c r="P436" s="273" t="s">
        <v>431</v>
      </c>
      <c r="Q436" s="274" t="e">
        <f>IF(ISBLANK(Q393),"",Q393+1)</f>
        <v>#VALUE!</v>
      </c>
      <c r="R436" s="197"/>
      <c r="S436" s="340"/>
      <c r="T436" s="340"/>
      <c r="U436" s="340"/>
      <c r="V436" s="340"/>
      <c r="W436" s="322"/>
      <c r="X436" s="322"/>
      <c r="Y436" s="322"/>
      <c r="Z436" s="322"/>
      <c r="AA436" s="322"/>
      <c r="AB436" s="322"/>
      <c r="AC436" s="322"/>
      <c r="AD436" s="340"/>
    </row>
    <row r="437" spans="1:38" ht="26.25" customHeight="1" thickBot="1" x14ac:dyDescent="0.25">
      <c r="A437" s="778" t="s">
        <v>432</v>
      </c>
      <c r="B437" s="779"/>
      <c r="C437" s="779"/>
      <c r="D437" s="779"/>
      <c r="E437" s="815"/>
      <c r="F437" s="816"/>
      <c r="G437" s="816"/>
      <c r="H437" s="816"/>
      <c r="I437" s="816"/>
      <c r="J437" s="816"/>
      <c r="K437" s="816"/>
      <c r="L437" s="817"/>
      <c r="M437" s="276"/>
      <c r="N437" s="823" t="s">
        <v>443</v>
      </c>
      <c r="O437" s="824"/>
      <c r="P437" s="824"/>
      <c r="Q437" s="825"/>
      <c r="R437" s="197"/>
      <c r="S437" s="277" t="str">
        <f>IF(ISBLANK(E437),"",E437)</f>
        <v/>
      </c>
      <c r="T437" s="278" t="s">
        <v>407</v>
      </c>
      <c r="U437" s="197"/>
      <c r="V437" s="197"/>
      <c r="W437" s="322"/>
      <c r="X437" s="322"/>
      <c r="Y437" s="322"/>
      <c r="Z437" s="322"/>
      <c r="AA437" s="322"/>
      <c r="AB437" s="322"/>
      <c r="AC437" s="322"/>
      <c r="AD437" s="340"/>
    </row>
    <row r="438" spans="1:38" ht="26.25" customHeight="1" x14ac:dyDescent="0.2">
      <c r="A438" s="833" t="s">
        <v>433</v>
      </c>
      <c r="B438" s="834"/>
      <c r="C438" s="834"/>
      <c r="D438" s="835"/>
      <c r="E438" s="788"/>
      <c r="F438" s="789"/>
      <c r="G438" s="789"/>
      <c r="H438" s="789"/>
      <c r="I438" s="789"/>
      <c r="J438" s="789"/>
      <c r="K438" s="789"/>
      <c r="L438" s="790"/>
      <c r="M438" s="793" t="str">
        <f>IF(AND(ISBLANK(E438),OR(NOT(ISBLANK(E439)),NOT(ISBLANK(E440)),NOT(ISBLANK(E441)),NOT(ISBLANK(I442)),NOT(ISBLANK(A444)))),"This information is required.","")</f>
        <v/>
      </c>
      <c r="N438" s="794"/>
      <c r="O438" s="794"/>
      <c r="P438" s="794"/>
      <c r="Q438" s="279"/>
      <c r="R438" s="197"/>
      <c r="S438" s="277" t="str">
        <f>IF(ISBLANK(E438),"",E438)</f>
        <v/>
      </c>
      <c r="T438" s="278" t="s">
        <v>27</v>
      </c>
      <c r="U438" s="197"/>
      <c r="V438" s="197"/>
      <c r="W438" s="322"/>
      <c r="X438" s="322"/>
      <c r="Y438" s="322"/>
      <c r="Z438" s="322"/>
      <c r="AA438" s="322"/>
      <c r="AB438" s="322"/>
      <c r="AC438" s="322"/>
      <c r="AD438" s="340"/>
    </row>
    <row r="439" spans="1:38" ht="26.25" customHeight="1" x14ac:dyDescent="0.2">
      <c r="A439" s="783" t="s">
        <v>434</v>
      </c>
      <c r="B439" s="784"/>
      <c r="C439" s="784"/>
      <c r="D439" s="785"/>
      <c r="E439" s="788"/>
      <c r="F439" s="789"/>
      <c r="G439" s="789"/>
      <c r="H439" s="789"/>
      <c r="I439" s="789"/>
      <c r="J439" s="789"/>
      <c r="K439" s="789"/>
      <c r="L439" s="790"/>
      <c r="M439" s="793" t="str">
        <f>IF(AND(ISBLANK(E439),OR(NOT(ISBLANK(E438)),NOT(ISBLANK(E440)),NOT(ISBLANK(E441)),NOT(ISBLANK(I442)),NOT(ISBLANK(A444)))),"This information is required.","")</f>
        <v/>
      </c>
      <c r="N439" s="794"/>
      <c r="O439" s="794"/>
      <c r="P439" s="794"/>
      <c r="Q439" s="279"/>
      <c r="R439" s="197"/>
      <c r="S439" s="277" t="str">
        <f>IF(ISBLANK(E439),"",E439)</f>
        <v/>
      </c>
      <c r="T439" s="278" t="s">
        <v>28</v>
      </c>
      <c r="U439" s="197"/>
      <c r="V439" s="197"/>
      <c r="W439" s="322"/>
      <c r="X439" s="340"/>
      <c r="Y439" s="340"/>
      <c r="Z439" s="340"/>
      <c r="AA439" s="332"/>
      <c r="AB439" s="332"/>
      <c r="AC439" s="332"/>
      <c r="AD439" s="286"/>
    </row>
    <row r="440" spans="1:38" ht="26.25" customHeight="1" x14ac:dyDescent="0.2">
      <c r="A440" s="873" t="s">
        <v>436</v>
      </c>
      <c r="B440" s="874"/>
      <c r="C440" s="874"/>
      <c r="D440" s="875"/>
      <c r="E440" s="813"/>
      <c r="F440" s="814"/>
      <c r="G440" s="786" t="s">
        <v>437</v>
      </c>
      <c r="H440" s="786"/>
      <c r="I440" s="786"/>
      <c r="J440" s="786"/>
      <c r="K440" s="786"/>
      <c r="L440" s="786"/>
      <c r="M440" s="787" t="str">
        <f>IF(AND(ISBLANK(E440),OR(NOT(ISBLANK(E438)),NOT(ISBLANK(E439)),NOT(ISBLANK(E441)),NOT(ISBLANK(I442)),NOT(ISBLANK(A444)))),"This information is required.","")</f>
        <v/>
      </c>
      <c r="N440" s="711"/>
      <c r="O440" s="711"/>
      <c r="P440" s="711"/>
      <c r="Q440" s="280"/>
      <c r="R440" s="281"/>
      <c r="S440" s="282" t="str">
        <f>IF(ISBLANK(E440),"",E440)</f>
        <v/>
      </c>
      <c r="T440" s="283" t="s">
        <v>30</v>
      </c>
      <c r="U440" s="281"/>
      <c r="V440" s="281"/>
      <c r="W440" s="322"/>
      <c r="X440" s="320"/>
      <c r="Y440" s="320"/>
      <c r="Z440" s="320"/>
      <c r="AA440" s="338"/>
      <c r="AB440" s="338"/>
      <c r="AC440" s="338"/>
      <c r="AD440" s="286"/>
    </row>
    <row r="441" spans="1:38" ht="26.25" customHeight="1" x14ac:dyDescent="0.2">
      <c r="A441" s="783" t="s">
        <v>435</v>
      </c>
      <c r="B441" s="784"/>
      <c r="C441" s="784"/>
      <c r="D441" s="785"/>
      <c r="E441" s="828"/>
      <c r="F441" s="829"/>
      <c r="G441" s="284"/>
      <c r="H441" s="285"/>
      <c r="I441" s="286"/>
      <c r="J441" s="281"/>
      <c r="K441" s="281"/>
      <c r="L441" s="281"/>
      <c r="M441" s="711" t="str">
        <f>IF(AND(ISBLANK(E441),OR(NOT(ISBLANK(E438)),NOT(ISBLANK(E439)),NOT(ISBLANK(E440)),NOT(ISBLANK(I442)),NOT(ISBLANK(A444)))),"This information is required.","")</f>
        <v/>
      </c>
      <c r="N441" s="711"/>
      <c r="O441" s="711"/>
      <c r="P441" s="711"/>
      <c r="Q441" s="280"/>
      <c r="R441" s="287"/>
      <c r="S441" s="288" t="str">
        <f>IF(ISBLANK(E441),"",E441)</f>
        <v/>
      </c>
      <c r="T441" s="289" t="s">
        <v>31</v>
      </c>
      <c r="U441" s="287"/>
      <c r="V441" s="287"/>
      <c r="W441" s="322"/>
      <c r="X441" s="322"/>
      <c r="Y441" s="322"/>
      <c r="Z441" s="322"/>
      <c r="AA441" s="340"/>
      <c r="AB441" s="340"/>
      <c r="AC441" s="340"/>
      <c r="AD441" s="286"/>
      <c r="AL441" s="266"/>
    </row>
    <row r="442" spans="1:38" ht="26.25" customHeight="1" thickBot="1" x14ac:dyDescent="0.25">
      <c r="A442" s="797" t="s">
        <v>426</v>
      </c>
      <c r="B442" s="798"/>
      <c r="C442" s="798"/>
      <c r="D442" s="798"/>
      <c r="E442" s="799"/>
      <c r="F442" s="799"/>
      <c r="G442" s="799"/>
      <c r="H442" s="799"/>
      <c r="I442" s="832"/>
      <c r="J442" s="832"/>
      <c r="K442" s="795" t="s">
        <v>481</v>
      </c>
      <c r="L442" s="796"/>
      <c r="M442" s="827" t="str">
        <f>IF(AND(ISBLANK(I442),OR(NOT(ISBLANK(E438)),NOT(ISBLANK(E439)),NOT(ISBLANK(E440)),NOT(ISBLANK(E441)),NOT(ISBLANK(A444)))),"This information is required!","")</f>
        <v/>
      </c>
      <c r="N442" s="827"/>
      <c r="O442" s="827"/>
      <c r="P442" s="827"/>
      <c r="Q442" s="290"/>
      <c r="R442" s="287"/>
      <c r="S442" s="288" t="str">
        <f>IF(ISBLANK(I442),"",I442)</f>
        <v/>
      </c>
      <c r="T442" s="289" t="s">
        <v>32</v>
      </c>
      <c r="U442" s="291"/>
      <c r="V442" s="291"/>
      <c r="W442" s="322"/>
      <c r="X442" s="322"/>
      <c r="Y442" s="322"/>
      <c r="Z442" s="322"/>
      <c r="AA442" s="340"/>
      <c r="AB442" s="340"/>
      <c r="AC442" s="340"/>
      <c r="AD442" s="286"/>
      <c r="AL442" s="266"/>
    </row>
    <row r="443" spans="1:38" ht="26.25" customHeight="1" x14ac:dyDescent="0.2">
      <c r="A443" s="841" t="s">
        <v>553</v>
      </c>
      <c r="B443" s="842"/>
      <c r="C443" s="842"/>
      <c r="D443" s="842"/>
      <c r="E443" s="842"/>
      <c r="F443" s="842"/>
      <c r="G443" s="842"/>
      <c r="H443" s="842"/>
      <c r="I443" s="842"/>
      <c r="J443" s="909"/>
      <c r="K443" s="907" t="s">
        <v>646</v>
      </c>
      <c r="L443" s="907"/>
      <c r="M443" s="907"/>
      <c r="N443" s="907"/>
      <c r="O443" s="830" t="s">
        <v>535</v>
      </c>
      <c r="P443" s="830"/>
      <c r="Q443" s="831"/>
      <c r="R443" s="293"/>
      <c r="S443" s="288" t="str">
        <f>IF(ISBLANK(A444),"",A444)</f>
        <v/>
      </c>
      <c r="T443" s="289" t="s">
        <v>33</v>
      </c>
      <c r="U443" s="294"/>
      <c r="V443" s="294"/>
      <c r="W443" s="340"/>
      <c r="X443" s="322"/>
      <c r="Y443" s="322"/>
      <c r="Z443" s="322"/>
      <c r="AA443" s="340"/>
      <c r="AB443" s="340"/>
      <c r="AC443" s="340"/>
      <c r="AD443" s="340"/>
      <c r="AL443" s="308"/>
    </row>
    <row r="444" spans="1:38" ht="26.25" customHeight="1" x14ac:dyDescent="0.2">
      <c r="A444" s="853"/>
      <c r="B444" s="854"/>
      <c r="C444" s="854"/>
      <c r="D444" s="854"/>
      <c r="E444" s="854"/>
      <c r="F444" s="854"/>
      <c r="G444" s="854"/>
      <c r="H444" s="854"/>
      <c r="I444" s="854"/>
      <c r="J444" s="902"/>
      <c r="K444" s="908"/>
      <c r="L444" s="908"/>
      <c r="M444" s="908"/>
      <c r="N444" s="908"/>
      <c r="O444" s="295"/>
      <c r="P444" s="296" t="s">
        <v>43</v>
      </c>
      <c r="Q444" s="297" t="s">
        <v>44</v>
      </c>
      <c r="R444" s="293"/>
      <c r="S444" s="288" t="str">
        <f>IF(ISBLANK(A447),"",A447)</f>
        <v/>
      </c>
      <c r="T444" s="298" t="s">
        <v>34</v>
      </c>
      <c r="U444" s="294"/>
      <c r="V444" s="294"/>
      <c r="W444" s="320"/>
      <c r="X444" s="322"/>
      <c r="Y444" s="322"/>
      <c r="Z444" s="322"/>
      <c r="AA444" s="340"/>
      <c r="AB444" s="340"/>
      <c r="AC444" s="340"/>
      <c r="AD444" s="340"/>
      <c r="AL444" s="308"/>
    </row>
    <row r="445" spans="1:38" ht="26.25" customHeight="1" x14ac:dyDescent="0.2">
      <c r="A445" s="882"/>
      <c r="B445" s="883"/>
      <c r="C445" s="883"/>
      <c r="D445" s="883"/>
      <c r="E445" s="883"/>
      <c r="F445" s="883"/>
      <c r="G445" s="883"/>
      <c r="H445" s="883"/>
      <c r="I445" s="883"/>
      <c r="J445" s="903"/>
      <c r="K445" s="899" t="s">
        <v>516</v>
      </c>
      <c r="L445" s="900"/>
      <c r="M445" s="900"/>
      <c r="N445" s="900"/>
      <c r="O445" s="901"/>
      <c r="P445" s="304"/>
      <c r="Q445" s="305"/>
      <c r="R445" s="291" t="str">
        <f>IF(COUNTBLANK(P445:Q445)=2,"Please enter response.",IF(COUNTBLANK(P445:Q445)&lt;&gt;1,"Please VERIFY response.",""))</f>
        <v>Please enter response.</v>
      </c>
      <c r="S445" s="306" t="str">
        <f>IF(AND(ISBLANK(P445),ISBLANK(Q445)),"",IF(ISBLANK(P445),0,1))</f>
        <v/>
      </c>
      <c r="T445" s="307" t="s">
        <v>563</v>
      </c>
      <c r="U445" s="266"/>
      <c r="V445" s="266"/>
      <c r="W445" s="322"/>
      <c r="X445" s="322"/>
      <c r="Y445" s="322"/>
      <c r="Z445" s="322"/>
      <c r="AA445" s="340"/>
      <c r="AB445" s="340"/>
      <c r="AC445" s="340"/>
      <c r="AD445" s="340"/>
      <c r="AL445" s="308"/>
    </row>
    <row r="446" spans="1:38" ht="26.25" customHeight="1" x14ac:dyDescent="0.2">
      <c r="A446" s="904" t="s">
        <v>558</v>
      </c>
      <c r="B446" s="905"/>
      <c r="C446" s="905"/>
      <c r="D446" s="905"/>
      <c r="E446" s="905"/>
      <c r="F446" s="905"/>
      <c r="G446" s="905"/>
      <c r="H446" s="905"/>
      <c r="I446" s="905"/>
      <c r="J446" s="906"/>
      <c r="K446" s="899" t="s">
        <v>517</v>
      </c>
      <c r="L446" s="900"/>
      <c r="M446" s="900"/>
      <c r="N446" s="900"/>
      <c r="O446" s="901"/>
      <c r="P446" s="304"/>
      <c r="Q446" s="305"/>
      <c r="R446" s="291" t="str">
        <f>IF(COUNTBLANK(P446:Q446)=2,"Please enter response.",IF(COUNTBLANK(P446:Q446)&lt;&gt;1,"Please VERIFY response.",""))</f>
        <v>Please enter response.</v>
      </c>
      <c r="S446" s="306" t="str">
        <f>IF(AND(ISBLANK(P446),ISBLANK(Q446)),"",IF(ISBLANK(P446),0,1))</f>
        <v/>
      </c>
      <c r="T446" s="307" t="s">
        <v>564</v>
      </c>
      <c r="U446" s="266"/>
      <c r="V446" s="266"/>
      <c r="W446" s="322"/>
      <c r="X446" s="322"/>
      <c r="Y446" s="322"/>
      <c r="Z446" s="322"/>
      <c r="AA446" s="293"/>
      <c r="AB446" s="293"/>
      <c r="AC446" s="293"/>
      <c r="AD446" s="346"/>
      <c r="AL446" s="308"/>
    </row>
    <row r="447" spans="1:38" ht="26.25" customHeight="1" x14ac:dyDescent="0.2">
      <c r="A447" s="853"/>
      <c r="B447" s="854"/>
      <c r="C447" s="854"/>
      <c r="D447" s="854"/>
      <c r="E447" s="854"/>
      <c r="F447" s="854"/>
      <c r="G447" s="854"/>
      <c r="H447" s="854"/>
      <c r="I447" s="854"/>
      <c r="J447" s="902"/>
      <c r="K447" s="899" t="s">
        <v>518</v>
      </c>
      <c r="L447" s="900"/>
      <c r="M447" s="900"/>
      <c r="N447" s="900"/>
      <c r="O447" s="901"/>
      <c r="P447" s="304"/>
      <c r="Q447" s="305"/>
      <c r="R447" s="291" t="str">
        <f>IF(COUNTBLANK(P447:Q447)=2,"Please enter response.",IF(COUNTBLANK(P447:Q447)&lt;&gt;1,"Please VERIFY response.",""))</f>
        <v>Please enter response.</v>
      </c>
      <c r="S447" s="306" t="str">
        <f>IF(AND(ISBLANK(P447),ISBLANK(Q447)),"",IF(ISBLANK(P447),0,1))</f>
        <v/>
      </c>
      <c r="T447" s="307" t="s">
        <v>565</v>
      </c>
      <c r="U447" s="266"/>
      <c r="V447" s="266"/>
      <c r="W447" s="322"/>
      <c r="X447" s="322"/>
      <c r="Y447" s="322"/>
      <c r="Z447" s="322"/>
      <c r="AA447" s="340"/>
      <c r="AB447" s="340"/>
      <c r="AC447" s="340"/>
      <c r="AD447" s="340"/>
      <c r="AL447" s="308"/>
    </row>
    <row r="448" spans="1:38" ht="26.25" customHeight="1" x14ac:dyDescent="0.2">
      <c r="A448" s="882"/>
      <c r="B448" s="883"/>
      <c r="C448" s="883"/>
      <c r="D448" s="883"/>
      <c r="E448" s="883"/>
      <c r="F448" s="883"/>
      <c r="G448" s="883"/>
      <c r="H448" s="883"/>
      <c r="I448" s="883"/>
      <c r="J448" s="903"/>
      <c r="K448" s="899" t="s">
        <v>520</v>
      </c>
      <c r="L448" s="900"/>
      <c r="M448" s="900"/>
      <c r="N448" s="900"/>
      <c r="O448" s="901"/>
      <c r="P448" s="304"/>
      <c r="Q448" s="305"/>
      <c r="R448" s="291" t="str">
        <f>IF(COUNTBLANK(P448:Q448)=2,"Please enter response.",IF(COUNTBLANK(P448:Q448)&lt;&gt;1,"Please VERIFY response.",""))</f>
        <v>Please enter response.</v>
      </c>
      <c r="S448" s="306" t="str">
        <f>IF(AND(ISBLANK(P448),ISBLANK(Q448)),"",IF(ISBLANK(P448),0,1))</f>
        <v/>
      </c>
      <c r="T448" s="307" t="s">
        <v>566</v>
      </c>
      <c r="U448" s="266"/>
      <c r="V448" s="266"/>
      <c r="W448" s="322"/>
      <c r="X448" s="322"/>
      <c r="Y448" s="322"/>
      <c r="Z448" s="322"/>
      <c r="AA448" s="340"/>
      <c r="AB448" s="340"/>
      <c r="AC448" s="340"/>
      <c r="AD448" s="340"/>
      <c r="AL448" s="308"/>
    </row>
    <row r="449" spans="1:38" ht="26.25" customHeight="1" x14ac:dyDescent="0.2">
      <c r="A449" s="879" t="s">
        <v>546</v>
      </c>
      <c r="B449" s="880"/>
      <c r="C449" s="880"/>
      <c r="D449" s="880"/>
      <c r="E449" s="880"/>
      <c r="F449" s="880"/>
      <c r="G449" s="880"/>
      <c r="H449" s="880"/>
      <c r="I449" s="880"/>
      <c r="J449" s="880"/>
      <c r="K449" s="880"/>
      <c r="L449" s="880"/>
      <c r="M449" s="880"/>
      <c r="N449" s="880"/>
      <c r="O449" s="880"/>
      <c r="P449" s="880"/>
      <c r="Q449" s="881"/>
      <c r="R449" s="310"/>
      <c r="S449" s="319"/>
      <c r="T449" s="310"/>
      <c r="U449" s="310"/>
      <c r="V449" s="310"/>
      <c r="W449" s="322"/>
      <c r="X449" s="322"/>
      <c r="Y449" s="322"/>
      <c r="Z449" s="322"/>
      <c r="AA449" s="340"/>
      <c r="AB449" s="340"/>
      <c r="AC449" s="340"/>
      <c r="AD449" s="286"/>
      <c r="AL449" s="308"/>
    </row>
    <row r="450" spans="1:38" ht="26.25" customHeight="1" x14ac:dyDescent="0.25">
      <c r="A450" s="870" t="s">
        <v>450</v>
      </c>
      <c r="B450" s="826"/>
      <c r="C450" s="826"/>
      <c r="D450" s="826"/>
      <c r="E450" s="826" t="s">
        <v>478</v>
      </c>
      <c r="F450" s="826"/>
      <c r="G450" s="826"/>
      <c r="H450" s="826"/>
      <c r="I450" s="826" t="s">
        <v>479</v>
      </c>
      <c r="J450" s="826"/>
      <c r="K450" s="826"/>
      <c r="L450" s="826"/>
      <c r="M450" s="871" t="s">
        <v>465</v>
      </c>
      <c r="N450" s="826"/>
      <c r="O450" s="826"/>
      <c r="P450" s="826"/>
      <c r="Q450" s="872"/>
      <c r="R450" s="315"/>
      <c r="S450" s="836" t="s">
        <v>491</v>
      </c>
      <c r="T450" s="836"/>
      <c r="U450" s="836"/>
      <c r="V450" s="836"/>
      <c r="W450" s="322"/>
      <c r="X450" s="332"/>
      <c r="Y450" s="332"/>
      <c r="Z450" s="332"/>
      <c r="AA450" s="293"/>
      <c r="AB450" s="293"/>
      <c r="AC450" s="293"/>
      <c r="AD450" s="328"/>
      <c r="AL450" s="308"/>
    </row>
    <row r="451" spans="1:38" ht="26.25" customHeight="1" thickBot="1" x14ac:dyDescent="0.25">
      <c r="A451" s="791"/>
      <c r="B451" s="792"/>
      <c r="C451" s="792"/>
      <c r="D451" s="792"/>
      <c r="E451" s="792"/>
      <c r="F451" s="792"/>
      <c r="G451" s="792"/>
      <c r="H451" s="792"/>
      <c r="I451" s="792"/>
      <c r="J451" s="792"/>
      <c r="K451" s="792"/>
      <c r="L451" s="792"/>
      <c r="M451" s="894"/>
      <c r="N451" s="894"/>
      <c r="O451" s="894"/>
      <c r="P451" s="894"/>
      <c r="Q451" s="895"/>
      <c r="R451" s="310"/>
      <c r="S451" s="323" t="str">
        <f>IF(ISBLANK(A451),"",VLOOKUP(A451,VProjType,2,FALSE))</f>
        <v/>
      </c>
      <c r="T451" s="323" t="str">
        <f>IF(ISBLANK(E451),"",VLOOKUP(E451,VSubtype1,2,FALSE))</f>
        <v/>
      </c>
      <c r="U451" s="323" t="str">
        <f>IF(ISBLANK(I451),"",VLOOKUP(I451,VSubtype2,2,FALSE))</f>
        <v/>
      </c>
      <c r="V451" s="323" t="str">
        <f>IF(ISBLANK(M451),"",VLOOKUP(M451,VSubtype3,2,FALSE))</f>
        <v/>
      </c>
      <c r="W451" s="322"/>
      <c r="X451" s="320"/>
      <c r="Y451" s="320"/>
      <c r="Z451" s="320"/>
      <c r="AA451" s="322"/>
      <c r="AB451" s="322"/>
      <c r="AC451" s="322"/>
      <c r="AD451" s="340"/>
      <c r="AL451" s="308"/>
    </row>
    <row r="452" spans="1:38" ht="26.25" customHeight="1" x14ac:dyDescent="0.25">
      <c r="A452" s="896" t="s">
        <v>483</v>
      </c>
      <c r="B452" s="897"/>
      <c r="C452" s="897"/>
      <c r="D452" s="897"/>
      <c r="E452" s="897"/>
      <c r="F452" s="897"/>
      <c r="G452" s="897"/>
      <c r="H452" s="897"/>
      <c r="I452" s="897"/>
      <c r="J452" s="897"/>
      <c r="K452" s="897"/>
      <c r="L452" s="897"/>
      <c r="M452" s="897"/>
      <c r="N452" s="897"/>
      <c r="O452" s="897"/>
      <c r="P452" s="897"/>
      <c r="Q452" s="898"/>
      <c r="R452" s="320"/>
      <c r="S452" s="324" t="s">
        <v>537</v>
      </c>
      <c r="T452" s="320"/>
      <c r="U452" s="320"/>
      <c r="V452" s="320"/>
      <c r="W452" s="322"/>
      <c r="X452" s="322"/>
      <c r="Y452" s="322"/>
      <c r="Z452" s="322"/>
      <c r="AA452" s="322"/>
      <c r="AB452" s="322"/>
      <c r="AC452" s="322"/>
      <c r="AD452" s="328"/>
      <c r="AL452" s="266"/>
    </row>
    <row r="453" spans="1:38" ht="26.25" customHeight="1" x14ac:dyDescent="0.25">
      <c r="A453" s="859" t="s">
        <v>544</v>
      </c>
      <c r="B453" s="860"/>
      <c r="C453" s="860"/>
      <c r="D453" s="860"/>
      <c r="E453" s="860"/>
      <c r="F453" s="860"/>
      <c r="G453" s="860"/>
      <c r="H453" s="860"/>
      <c r="I453" s="860"/>
      <c r="J453" s="860"/>
      <c r="K453" s="860"/>
      <c r="L453" s="861"/>
      <c r="M453" s="876"/>
      <c r="N453" s="877"/>
      <c r="O453" s="877"/>
      <c r="P453" s="877"/>
      <c r="Q453" s="878"/>
      <c r="R453" s="320"/>
      <c r="S453" s="325" t="str">
        <f>IF(ISBLANK(M453),"",VLOOKUP(M453,VRemote,2,FALSE))</f>
        <v/>
      </c>
      <c r="T453" s="326" t="s">
        <v>545</v>
      </c>
      <c r="U453" s="320"/>
      <c r="V453" s="320"/>
      <c r="W453" s="322"/>
      <c r="X453" s="322"/>
      <c r="Y453" s="322"/>
      <c r="Z453" s="322"/>
      <c r="AA453" s="322"/>
      <c r="AB453" s="322"/>
      <c r="AC453" s="322"/>
      <c r="AD453" s="328"/>
    </row>
    <row r="454" spans="1:38" ht="26.25" customHeight="1" x14ac:dyDescent="0.25">
      <c r="A454" s="859" t="s">
        <v>529</v>
      </c>
      <c r="B454" s="860"/>
      <c r="C454" s="860"/>
      <c r="D454" s="860"/>
      <c r="E454" s="860"/>
      <c r="F454" s="860"/>
      <c r="G454" s="860"/>
      <c r="H454" s="860"/>
      <c r="I454" s="860"/>
      <c r="J454" s="860"/>
      <c r="K454" s="860"/>
      <c r="L454" s="860"/>
      <c r="M454" s="876"/>
      <c r="N454" s="877"/>
      <c r="O454" s="877"/>
      <c r="P454" s="877"/>
      <c r="Q454" s="878"/>
      <c r="R454" s="322"/>
      <c r="S454" s="325" t="str">
        <f>IF(ISBLANK(M454),"",VLOOKUP(M454,VCapacity,2,FALSE))</f>
        <v/>
      </c>
      <c r="T454" s="327" t="s">
        <v>539</v>
      </c>
      <c r="U454" s="322"/>
      <c r="V454" s="322"/>
      <c r="W454" s="332"/>
      <c r="X454" s="322"/>
      <c r="Y454" s="322"/>
      <c r="Z454" s="322"/>
      <c r="AA454" s="322"/>
      <c r="AB454" s="322"/>
      <c r="AC454" s="322"/>
      <c r="AD454" s="328"/>
    </row>
    <row r="455" spans="1:38" ht="26.25" customHeight="1" x14ac:dyDescent="0.25">
      <c r="A455" s="859" t="s">
        <v>484</v>
      </c>
      <c r="B455" s="860"/>
      <c r="C455" s="860"/>
      <c r="D455" s="860"/>
      <c r="E455" s="860"/>
      <c r="F455" s="860"/>
      <c r="G455" s="860"/>
      <c r="H455" s="860"/>
      <c r="I455" s="860"/>
      <c r="J455" s="860"/>
      <c r="K455" s="860"/>
      <c r="L455" s="860"/>
      <c r="M455" s="876"/>
      <c r="N455" s="877"/>
      <c r="O455" s="877"/>
      <c r="P455" s="877"/>
      <c r="Q455" s="878"/>
      <c r="R455" s="322"/>
      <c r="S455" s="325" t="str">
        <f>IF(ISBLANK(M455),"",VLOOKUP(M455,VPriorCap,2,FALSE))</f>
        <v/>
      </c>
      <c r="T455" s="327" t="s">
        <v>489</v>
      </c>
      <c r="U455" s="322"/>
      <c r="V455" s="322"/>
      <c r="W455" s="320"/>
      <c r="X455" s="322"/>
      <c r="Y455" s="322"/>
      <c r="Z455" s="322"/>
      <c r="AA455" s="322"/>
      <c r="AB455" s="322"/>
      <c r="AC455" s="322"/>
      <c r="AD455" s="328"/>
    </row>
    <row r="456" spans="1:38" ht="26.25" customHeight="1" x14ac:dyDescent="0.25">
      <c r="A456" s="780" t="s">
        <v>515</v>
      </c>
      <c r="B456" s="781"/>
      <c r="C456" s="781"/>
      <c r="D456" s="781"/>
      <c r="E456" s="781"/>
      <c r="F456" s="781"/>
      <c r="G456" s="781"/>
      <c r="H456" s="781"/>
      <c r="I456" s="781"/>
      <c r="J456" s="781"/>
      <c r="K456" s="781"/>
      <c r="L456" s="781"/>
      <c r="M456" s="781"/>
      <c r="N456" s="781"/>
      <c r="O456" s="781"/>
      <c r="P456" s="781"/>
      <c r="Q456" s="782"/>
      <c r="R456" s="322"/>
      <c r="S456" s="330" t="str">
        <f>IF(ISBLANK(A457),"",A457)</f>
        <v/>
      </c>
      <c r="T456" s="327" t="s">
        <v>490</v>
      </c>
      <c r="U456" s="322"/>
      <c r="V456" s="322"/>
      <c r="W456" s="322"/>
      <c r="X456" s="322"/>
      <c r="Y456" s="322"/>
      <c r="Z456" s="322"/>
      <c r="AA456" s="322"/>
      <c r="AB456" s="322"/>
      <c r="AC456" s="322"/>
      <c r="AD456" s="328"/>
    </row>
    <row r="457" spans="1:38" ht="26.25" customHeight="1" x14ac:dyDescent="0.25">
      <c r="A457" s="862"/>
      <c r="B457" s="845"/>
      <c r="C457" s="845"/>
      <c r="D457" s="845"/>
      <c r="E457" s="845"/>
      <c r="F457" s="845"/>
      <c r="G457" s="845"/>
      <c r="H457" s="845"/>
      <c r="I457" s="845"/>
      <c r="J457" s="845"/>
      <c r="K457" s="845"/>
      <c r="L457" s="845"/>
      <c r="M457" s="845"/>
      <c r="N457" s="845"/>
      <c r="O457" s="845"/>
      <c r="P457" s="845"/>
      <c r="Q457" s="863"/>
      <c r="R457" s="322"/>
      <c r="S457" s="322"/>
      <c r="T457" s="322"/>
      <c r="U457" s="322"/>
      <c r="V457" s="322"/>
      <c r="W457" s="322"/>
      <c r="X457" s="322"/>
      <c r="Y457" s="322"/>
      <c r="Z457" s="322"/>
      <c r="AA457" s="322"/>
      <c r="AB457" s="322"/>
      <c r="AC457" s="322"/>
      <c r="AD457" s="328"/>
    </row>
    <row r="458" spans="1:38" ht="25.9" customHeight="1" x14ac:dyDescent="0.25">
      <c r="A458" s="864"/>
      <c r="B458" s="865"/>
      <c r="C458" s="865"/>
      <c r="D458" s="865"/>
      <c r="E458" s="865"/>
      <c r="F458" s="865"/>
      <c r="G458" s="865"/>
      <c r="H458" s="865"/>
      <c r="I458" s="865"/>
      <c r="J458" s="865"/>
      <c r="K458" s="865"/>
      <c r="L458" s="865"/>
      <c r="M458" s="865"/>
      <c r="N458" s="865"/>
      <c r="O458" s="865"/>
      <c r="P458" s="865"/>
      <c r="Q458" s="866"/>
      <c r="R458" s="322"/>
      <c r="S458" s="322"/>
      <c r="T458" s="322"/>
      <c r="U458" s="322"/>
      <c r="V458" s="322"/>
      <c r="W458" s="322"/>
      <c r="X458" s="322"/>
      <c r="Y458" s="322"/>
      <c r="Z458" s="322"/>
      <c r="AA458" s="322"/>
      <c r="AB458" s="322"/>
      <c r="AC458" s="322"/>
      <c r="AD458" s="328"/>
    </row>
    <row r="459" spans="1:38" ht="26.25" customHeight="1" x14ac:dyDescent="0.25">
      <c r="A459" s="885" t="s">
        <v>514</v>
      </c>
      <c r="B459" s="886"/>
      <c r="C459" s="886"/>
      <c r="D459" s="886"/>
      <c r="E459" s="886"/>
      <c r="F459" s="886"/>
      <c r="G459" s="886"/>
      <c r="H459" s="886"/>
      <c r="I459" s="886"/>
      <c r="J459" s="886"/>
      <c r="K459" s="886"/>
      <c r="L459" s="886"/>
      <c r="M459" s="886"/>
      <c r="N459" s="886"/>
      <c r="O459" s="886"/>
      <c r="P459" s="886"/>
      <c r="Q459" s="887"/>
      <c r="R459" s="324"/>
      <c r="S459" s="324"/>
      <c r="T459" s="324"/>
      <c r="U459" s="324"/>
      <c r="V459" s="324"/>
      <c r="W459" s="322"/>
      <c r="X459" s="322"/>
      <c r="Y459" s="322"/>
      <c r="Z459" s="322"/>
      <c r="AA459" s="322"/>
      <c r="AB459" s="322"/>
      <c r="AC459" s="322"/>
      <c r="AD459" s="328"/>
    </row>
    <row r="460" spans="1:38" ht="26.25" customHeight="1" x14ac:dyDescent="0.25">
      <c r="A460" s="862"/>
      <c r="B460" s="845"/>
      <c r="C460" s="845"/>
      <c r="D460" s="845"/>
      <c r="E460" s="845"/>
      <c r="F460" s="845"/>
      <c r="G460" s="845"/>
      <c r="H460" s="845"/>
      <c r="I460" s="845"/>
      <c r="J460" s="845"/>
      <c r="K460" s="845"/>
      <c r="L460" s="845"/>
      <c r="M460" s="845"/>
      <c r="N460" s="845"/>
      <c r="O460" s="845"/>
      <c r="P460" s="845"/>
      <c r="Q460" s="846"/>
      <c r="R460" s="322"/>
      <c r="S460" s="330" t="str">
        <f>IF(ISBLANK(A460),"",A460)</f>
        <v/>
      </c>
      <c r="T460" s="289" t="s">
        <v>36</v>
      </c>
      <c r="U460" s="322"/>
      <c r="V460" s="322"/>
      <c r="W460" s="322"/>
      <c r="X460" s="322"/>
      <c r="Y460" s="322"/>
      <c r="Z460" s="322"/>
      <c r="AA460" s="340"/>
      <c r="AB460" s="340"/>
      <c r="AC460" s="340"/>
      <c r="AD460" s="328"/>
    </row>
    <row r="461" spans="1:38" ht="26.25" customHeight="1" thickBot="1" x14ac:dyDescent="0.3">
      <c r="A461" s="856"/>
      <c r="B461" s="857"/>
      <c r="C461" s="857"/>
      <c r="D461" s="857"/>
      <c r="E461" s="857"/>
      <c r="F461" s="857"/>
      <c r="G461" s="857"/>
      <c r="H461" s="857"/>
      <c r="I461" s="857"/>
      <c r="J461" s="857"/>
      <c r="K461" s="857"/>
      <c r="L461" s="857"/>
      <c r="M461" s="857"/>
      <c r="N461" s="857"/>
      <c r="O461" s="857"/>
      <c r="P461" s="857"/>
      <c r="Q461" s="858"/>
      <c r="R461" s="322"/>
      <c r="S461" s="322"/>
      <c r="T461" s="289"/>
      <c r="U461" s="322"/>
      <c r="V461" s="322"/>
      <c r="W461" s="322"/>
      <c r="X461" s="340"/>
      <c r="Y461" s="340"/>
      <c r="Z461" s="340"/>
      <c r="AA461" s="320"/>
      <c r="AB461" s="320"/>
      <c r="AC461" s="320"/>
      <c r="AD461" s="328"/>
    </row>
    <row r="462" spans="1:38" ht="26.25" customHeight="1" x14ac:dyDescent="0.2">
      <c r="A462" s="850" t="s">
        <v>504</v>
      </c>
      <c r="B462" s="851"/>
      <c r="C462" s="851"/>
      <c r="D462" s="851"/>
      <c r="E462" s="851"/>
      <c r="F462" s="851"/>
      <c r="G462" s="851"/>
      <c r="H462" s="851"/>
      <c r="I462" s="851"/>
      <c r="J462" s="851"/>
      <c r="K462" s="851"/>
      <c r="L462" s="851"/>
      <c r="M462" s="851"/>
      <c r="N462" s="851"/>
      <c r="O462" s="851"/>
      <c r="P462" s="851"/>
      <c r="Q462" s="852"/>
      <c r="R462" s="320"/>
      <c r="S462" s="324" t="s">
        <v>540</v>
      </c>
      <c r="T462" s="320"/>
      <c r="U462" s="320"/>
      <c r="V462" s="320"/>
      <c r="W462" s="322"/>
      <c r="X462" s="324"/>
      <c r="Y462" s="324"/>
      <c r="Z462" s="324"/>
      <c r="AA462" s="322"/>
      <c r="AB462" s="322"/>
      <c r="AC462" s="322"/>
      <c r="AD462" s="340"/>
    </row>
    <row r="463" spans="1:38" ht="26.25" customHeight="1" x14ac:dyDescent="0.25">
      <c r="A463" s="891" t="s">
        <v>557</v>
      </c>
      <c r="B463" s="892"/>
      <c r="C463" s="892"/>
      <c r="D463" s="892"/>
      <c r="E463" s="892"/>
      <c r="F463" s="892"/>
      <c r="G463" s="892"/>
      <c r="H463" s="892"/>
      <c r="I463" s="892"/>
      <c r="J463" s="892"/>
      <c r="K463" s="892"/>
      <c r="L463" s="893"/>
      <c r="M463" s="876"/>
      <c r="N463" s="877"/>
      <c r="O463" s="877"/>
      <c r="P463" s="877"/>
      <c r="Q463" s="878"/>
      <c r="R463" s="322"/>
      <c r="S463" s="331" t="str">
        <f>IF(ISBLANK(M463),"",VLOOKUP(M463,VImpact,2,FALSE))</f>
        <v/>
      </c>
      <c r="T463" s="327" t="s">
        <v>493</v>
      </c>
      <c r="U463" s="322"/>
      <c r="V463" s="322"/>
      <c r="W463" s="322"/>
      <c r="X463" s="322"/>
      <c r="Y463" s="322"/>
      <c r="Z463" s="322"/>
      <c r="AA463" s="322"/>
      <c r="AB463" s="322"/>
      <c r="AC463" s="322"/>
      <c r="AD463" s="328"/>
    </row>
    <row r="464" spans="1:38" ht="26.25" customHeight="1" x14ac:dyDescent="0.25">
      <c r="A464" s="859" t="s">
        <v>554</v>
      </c>
      <c r="B464" s="860"/>
      <c r="C464" s="860"/>
      <c r="D464" s="860"/>
      <c r="E464" s="860"/>
      <c r="F464" s="860"/>
      <c r="G464" s="860"/>
      <c r="H464" s="860"/>
      <c r="I464" s="860"/>
      <c r="J464" s="860"/>
      <c r="K464" s="860"/>
      <c r="L464" s="861"/>
      <c r="M464" s="876"/>
      <c r="N464" s="877"/>
      <c r="O464" s="877"/>
      <c r="P464" s="877"/>
      <c r="Q464" s="878"/>
      <c r="R464" s="322"/>
      <c r="S464" s="331" t="str">
        <f>IF(ISBLANK(M464),"",VLOOKUP(M464,VEvidence,2,FALSE))</f>
        <v/>
      </c>
      <c r="T464" s="307" t="s">
        <v>494</v>
      </c>
      <c r="U464" s="322"/>
      <c r="V464" s="322"/>
      <c r="W464" s="322"/>
      <c r="X464" s="322"/>
      <c r="Y464" s="322"/>
      <c r="Z464" s="322"/>
      <c r="AA464" s="322"/>
      <c r="AB464" s="322"/>
      <c r="AC464" s="322"/>
      <c r="AD464" s="328"/>
    </row>
    <row r="465" spans="1:30" ht="26.25" customHeight="1" x14ac:dyDescent="0.25">
      <c r="A465" s="888" t="s">
        <v>512</v>
      </c>
      <c r="B465" s="889"/>
      <c r="C465" s="889"/>
      <c r="D465" s="889"/>
      <c r="E465" s="889"/>
      <c r="F465" s="889"/>
      <c r="G465" s="889"/>
      <c r="H465" s="889"/>
      <c r="I465" s="889"/>
      <c r="J465" s="889"/>
      <c r="K465" s="889"/>
      <c r="L465" s="889"/>
      <c r="M465" s="889"/>
      <c r="N465" s="889"/>
      <c r="O465" s="889"/>
      <c r="P465" s="889"/>
      <c r="Q465" s="890"/>
      <c r="R465" s="322"/>
      <c r="S465" s="330" t="str">
        <f>IF(ISBLANK(A466),"",A466)</f>
        <v/>
      </c>
      <c r="T465" s="289" t="s">
        <v>35</v>
      </c>
      <c r="U465" s="322"/>
      <c r="V465" s="322"/>
      <c r="W465" s="340"/>
      <c r="X465" s="322"/>
      <c r="Y465" s="322"/>
      <c r="Z465" s="322"/>
      <c r="AA465" s="322"/>
      <c r="AB465" s="322"/>
      <c r="AC465" s="322"/>
      <c r="AD465" s="328"/>
    </row>
    <row r="466" spans="1:30" ht="26.25" customHeight="1" x14ac:dyDescent="0.25">
      <c r="A466" s="862"/>
      <c r="B466" s="845"/>
      <c r="C466" s="845"/>
      <c r="D466" s="845"/>
      <c r="E466" s="845"/>
      <c r="F466" s="845"/>
      <c r="G466" s="845"/>
      <c r="H466" s="845"/>
      <c r="I466" s="845"/>
      <c r="J466" s="845"/>
      <c r="K466" s="845"/>
      <c r="L466" s="845"/>
      <c r="M466" s="845"/>
      <c r="N466" s="845"/>
      <c r="O466" s="845"/>
      <c r="P466" s="845"/>
      <c r="Q466" s="846"/>
      <c r="R466" s="322"/>
      <c r="S466" s="322"/>
      <c r="T466" s="333"/>
      <c r="U466" s="322"/>
      <c r="V466" s="322"/>
      <c r="W466" s="324"/>
      <c r="X466" s="322"/>
      <c r="Y466" s="322"/>
      <c r="Z466" s="322"/>
      <c r="AA466" s="322"/>
      <c r="AB466" s="322"/>
      <c r="AC466" s="322"/>
      <c r="AD466" s="328"/>
    </row>
    <row r="467" spans="1:30" ht="26.25" customHeight="1" x14ac:dyDescent="0.25">
      <c r="A467" s="882"/>
      <c r="B467" s="883"/>
      <c r="C467" s="883"/>
      <c r="D467" s="883"/>
      <c r="E467" s="883"/>
      <c r="F467" s="883"/>
      <c r="G467" s="883"/>
      <c r="H467" s="883"/>
      <c r="I467" s="883"/>
      <c r="J467" s="883"/>
      <c r="K467" s="883"/>
      <c r="L467" s="883"/>
      <c r="M467" s="883"/>
      <c r="N467" s="883"/>
      <c r="O467" s="883"/>
      <c r="P467" s="883"/>
      <c r="Q467" s="884"/>
      <c r="R467" s="322"/>
      <c r="S467" s="322"/>
      <c r="T467" s="333"/>
      <c r="U467" s="322"/>
      <c r="V467" s="322"/>
      <c r="W467" s="322"/>
      <c r="X467" s="322"/>
      <c r="Y467" s="322"/>
      <c r="Z467" s="322"/>
      <c r="AA467" s="322"/>
      <c r="AB467" s="322"/>
      <c r="AC467" s="322"/>
      <c r="AD467" s="328"/>
    </row>
    <row r="468" spans="1:30" ht="26.25" customHeight="1" x14ac:dyDescent="0.25">
      <c r="A468" s="867" t="s">
        <v>513</v>
      </c>
      <c r="B468" s="868"/>
      <c r="C468" s="868"/>
      <c r="D468" s="868"/>
      <c r="E468" s="868"/>
      <c r="F468" s="868"/>
      <c r="G468" s="868"/>
      <c r="H468" s="868"/>
      <c r="I468" s="868"/>
      <c r="J468" s="868"/>
      <c r="K468" s="868"/>
      <c r="L468" s="868"/>
      <c r="M468" s="868"/>
      <c r="N468" s="868"/>
      <c r="O468" s="868"/>
      <c r="P468" s="868"/>
      <c r="Q468" s="869"/>
      <c r="R468" s="322"/>
      <c r="S468" s="330" t="str">
        <f>IF(ISBLANK(A469),"",A469)</f>
        <v/>
      </c>
      <c r="T468" s="333" t="s">
        <v>542</v>
      </c>
      <c r="U468" s="322"/>
      <c r="V468" s="322"/>
      <c r="W468" s="322"/>
      <c r="X468" s="322"/>
      <c r="Y468" s="322"/>
      <c r="Z468" s="322"/>
      <c r="AA468" s="322"/>
      <c r="AB468" s="322"/>
      <c r="AC468" s="322"/>
      <c r="AD468" s="328"/>
    </row>
    <row r="469" spans="1:30" ht="26.25" customHeight="1" x14ac:dyDescent="0.25">
      <c r="A469" s="862"/>
      <c r="B469" s="845"/>
      <c r="C469" s="845"/>
      <c r="D469" s="845"/>
      <c r="E469" s="845"/>
      <c r="F469" s="845"/>
      <c r="G469" s="845"/>
      <c r="H469" s="845"/>
      <c r="I469" s="845"/>
      <c r="J469" s="845"/>
      <c r="K469" s="845"/>
      <c r="L469" s="845"/>
      <c r="M469" s="845"/>
      <c r="N469" s="845"/>
      <c r="O469" s="845"/>
      <c r="P469" s="845"/>
      <c r="Q469" s="863"/>
      <c r="R469" s="322"/>
      <c r="U469" s="322"/>
      <c r="V469" s="322"/>
      <c r="W469" s="322"/>
      <c r="X469" s="322"/>
      <c r="Y469" s="322"/>
      <c r="Z469" s="322"/>
      <c r="AA469" s="322"/>
      <c r="AB469" s="322"/>
      <c r="AC469" s="322"/>
      <c r="AD469" s="328"/>
    </row>
    <row r="470" spans="1:30" ht="26.25" customHeight="1" thickBot="1" x14ac:dyDescent="0.3">
      <c r="A470" s="847"/>
      <c r="B470" s="848"/>
      <c r="C470" s="848"/>
      <c r="D470" s="848"/>
      <c r="E470" s="848"/>
      <c r="F470" s="848"/>
      <c r="G470" s="848"/>
      <c r="H470" s="848"/>
      <c r="I470" s="848"/>
      <c r="J470" s="848"/>
      <c r="K470" s="848"/>
      <c r="L470" s="848"/>
      <c r="M470" s="848"/>
      <c r="N470" s="848"/>
      <c r="O470" s="848"/>
      <c r="P470" s="848"/>
      <c r="Q470" s="849"/>
      <c r="R470" s="322"/>
      <c r="S470" s="322"/>
      <c r="T470" s="322"/>
      <c r="U470" s="322"/>
      <c r="V470" s="322"/>
      <c r="W470" s="322"/>
      <c r="X470" s="322"/>
      <c r="Y470" s="322"/>
      <c r="Z470" s="322"/>
      <c r="AA470" s="322"/>
      <c r="AB470" s="322"/>
      <c r="AC470" s="322"/>
      <c r="AD470" s="328"/>
    </row>
    <row r="471" spans="1:30" ht="26.25" customHeight="1" x14ac:dyDescent="0.25">
      <c r="A471" s="841" t="s">
        <v>555</v>
      </c>
      <c r="B471" s="842"/>
      <c r="C471" s="842"/>
      <c r="D471" s="842"/>
      <c r="E471" s="842"/>
      <c r="F471" s="842"/>
      <c r="G471" s="842"/>
      <c r="H471" s="842"/>
      <c r="I471" s="842"/>
      <c r="J471" s="842"/>
      <c r="K471" s="842"/>
      <c r="L471" s="842"/>
      <c r="M471" s="842"/>
      <c r="N471" s="842"/>
      <c r="O471" s="842"/>
      <c r="P471" s="842"/>
      <c r="Q471" s="843"/>
      <c r="S471" s="336" t="str">
        <f>IF(ISBLANK(A472),"",A472)</f>
        <v/>
      </c>
      <c r="T471" s="337" t="s">
        <v>556</v>
      </c>
      <c r="W471" s="322"/>
      <c r="X471" s="322"/>
      <c r="Y471" s="322"/>
      <c r="Z471" s="322"/>
      <c r="AA471" s="332"/>
      <c r="AB471" s="332"/>
      <c r="AC471" s="332"/>
      <c r="AD471" s="328"/>
    </row>
    <row r="472" spans="1:30" ht="26.25" customHeight="1" x14ac:dyDescent="0.25">
      <c r="A472" s="844"/>
      <c r="B472" s="845"/>
      <c r="C472" s="845"/>
      <c r="D472" s="845"/>
      <c r="E472" s="845"/>
      <c r="F472" s="845"/>
      <c r="G472" s="845"/>
      <c r="H472" s="845"/>
      <c r="I472" s="845"/>
      <c r="J472" s="845"/>
      <c r="K472" s="845"/>
      <c r="L472" s="845"/>
      <c r="M472" s="845"/>
      <c r="N472" s="845"/>
      <c r="O472" s="845"/>
      <c r="P472" s="845"/>
      <c r="Q472" s="846"/>
      <c r="W472" s="322"/>
      <c r="X472" s="340"/>
      <c r="Y472" s="340"/>
      <c r="Z472" s="340"/>
      <c r="AA472" s="320"/>
      <c r="AB472" s="320"/>
      <c r="AC472" s="320"/>
      <c r="AD472" s="328"/>
    </row>
    <row r="473" spans="1:30" ht="26.25" customHeight="1" thickBot="1" x14ac:dyDescent="0.25">
      <c r="A473" s="847"/>
      <c r="B473" s="848"/>
      <c r="C473" s="848"/>
      <c r="D473" s="848"/>
      <c r="E473" s="848"/>
      <c r="F473" s="848"/>
      <c r="G473" s="848"/>
      <c r="H473" s="848"/>
      <c r="I473" s="848"/>
      <c r="J473" s="848"/>
      <c r="K473" s="848"/>
      <c r="L473" s="848"/>
      <c r="M473" s="848"/>
      <c r="N473" s="848"/>
      <c r="O473" s="848"/>
      <c r="P473" s="848"/>
      <c r="Q473" s="849"/>
      <c r="R473" s="286"/>
      <c r="S473" s="286"/>
      <c r="T473" s="286"/>
      <c r="U473" s="286"/>
      <c r="V473" s="286"/>
      <c r="W473" s="322"/>
      <c r="X473" s="320"/>
      <c r="Y473" s="320"/>
      <c r="Z473" s="320"/>
      <c r="AA473" s="322"/>
      <c r="AB473" s="322"/>
      <c r="AC473" s="322"/>
      <c r="AD473" s="340"/>
    </row>
    <row r="474" spans="1:30" ht="26.25" customHeight="1" x14ac:dyDescent="0.25">
      <c r="A474" s="850" t="s">
        <v>482</v>
      </c>
      <c r="B474" s="851"/>
      <c r="C474" s="851"/>
      <c r="D474" s="851"/>
      <c r="E474" s="851"/>
      <c r="F474" s="851"/>
      <c r="G474" s="851"/>
      <c r="H474" s="851"/>
      <c r="I474" s="851"/>
      <c r="J474" s="851"/>
      <c r="K474" s="851"/>
      <c r="L474" s="851"/>
      <c r="M474" s="851"/>
      <c r="N474" s="851"/>
      <c r="O474" s="851"/>
      <c r="P474" s="851"/>
      <c r="Q474" s="852"/>
      <c r="R474" s="334"/>
      <c r="S474" s="341"/>
      <c r="T474" s="342"/>
      <c r="U474" s="334"/>
      <c r="V474" s="334"/>
      <c r="W474" s="322"/>
      <c r="X474" s="322"/>
      <c r="Y474" s="322"/>
      <c r="Z474" s="322"/>
      <c r="AA474" s="322"/>
      <c r="AB474" s="322"/>
      <c r="AC474" s="322"/>
      <c r="AD474" s="328"/>
    </row>
    <row r="475" spans="1:30" ht="26.25" customHeight="1" x14ac:dyDescent="0.25">
      <c r="A475" s="853"/>
      <c r="B475" s="854"/>
      <c r="C475" s="854"/>
      <c r="D475" s="854"/>
      <c r="E475" s="854"/>
      <c r="F475" s="854"/>
      <c r="G475" s="854"/>
      <c r="H475" s="854"/>
      <c r="I475" s="854"/>
      <c r="J475" s="854"/>
      <c r="K475" s="854"/>
      <c r="L475" s="854"/>
      <c r="M475" s="854"/>
      <c r="N475" s="854"/>
      <c r="O475" s="854"/>
      <c r="P475" s="854"/>
      <c r="Q475" s="855"/>
      <c r="R475" s="186"/>
      <c r="S475" s="343" t="str">
        <f>IF(ISBLANK(A475),"",CONCATENATE(S474,A475))</f>
        <v/>
      </c>
      <c r="T475" s="289" t="s">
        <v>37</v>
      </c>
      <c r="U475" s="186"/>
      <c r="V475" s="186"/>
      <c r="W475" s="322"/>
      <c r="X475" s="322"/>
      <c r="Y475" s="322"/>
      <c r="Z475" s="322"/>
      <c r="AA475" s="322"/>
      <c r="AB475" s="322"/>
      <c r="AC475" s="322"/>
      <c r="AD475" s="328"/>
    </row>
    <row r="476" spans="1:30" ht="26.25" customHeight="1" thickBot="1" x14ac:dyDescent="0.25">
      <c r="A476" s="856"/>
      <c r="B476" s="857"/>
      <c r="C476" s="857"/>
      <c r="D476" s="857"/>
      <c r="E476" s="857"/>
      <c r="F476" s="857"/>
      <c r="G476" s="857"/>
      <c r="H476" s="857"/>
      <c r="I476" s="857"/>
      <c r="J476" s="857"/>
      <c r="K476" s="857"/>
      <c r="L476" s="857"/>
      <c r="M476" s="857"/>
      <c r="N476" s="857"/>
      <c r="O476" s="857"/>
      <c r="P476" s="857"/>
      <c r="Q476" s="858"/>
      <c r="R476" s="186"/>
      <c r="S476" s="340"/>
      <c r="T476" s="340"/>
      <c r="U476" s="340"/>
      <c r="V476" s="340"/>
      <c r="W476" s="340"/>
      <c r="X476" s="322"/>
      <c r="Y476" s="322"/>
      <c r="Z476" s="322"/>
      <c r="AA476" s="322"/>
      <c r="AB476" s="322"/>
      <c r="AC476" s="322"/>
      <c r="AD476" s="340"/>
    </row>
    <row r="477" spans="1:30" ht="26.25" customHeight="1" x14ac:dyDescent="0.2">
      <c r="A477" s="344" t="e">
        <f>$A$1</f>
        <v>#N/A</v>
      </c>
      <c r="B477" s="340"/>
      <c r="C477" s="340"/>
      <c r="D477" s="340"/>
      <c r="E477" s="340"/>
      <c r="F477" s="340"/>
      <c r="G477" s="340"/>
      <c r="H477" s="340"/>
      <c r="I477" s="340"/>
      <c r="J477" s="340"/>
      <c r="K477" s="340"/>
      <c r="L477" s="340"/>
      <c r="M477" s="340"/>
      <c r="N477" s="340"/>
      <c r="O477" s="340"/>
      <c r="P477" s="773"/>
      <c r="Q477" s="773"/>
      <c r="R477" s="332"/>
      <c r="S477" s="332"/>
      <c r="T477" s="332"/>
      <c r="U477" s="332"/>
      <c r="V477" s="332"/>
      <c r="W477" s="320"/>
      <c r="X477" s="322"/>
      <c r="Y477" s="322"/>
      <c r="Z477" s="322"/>
      <c r="AA477" s="322"/>
      <c r="AB477" s="322"/>
      <c r="AC477" s="322"/>
      <c r="AD477" s="340"/>
    </row>
    <row r="478" spans="1:30" ht="26.25" customHeight="1" thickBot="1" x14ac:dyDescent="0.25">
      <c r="A478" s="776" t="s">
        <v>576</v>
      </c>
      <c r="B478" s="777"/>
      <c r="C478" s="777"/>
      <c r="D478" s="777"/>
      <c r="E478" s="777"/>
      <c r="F478" s="777"/>
      <c r="G478" s="777"/>
      <c r="H478" s="777"/>
      <c r="I478" s="777"/>
      <c r="J478" s="777"/>
      <c r="K478" s="777"/>
      <c r="L478" s="777"/>
      <c r="M478" s="777"/>
      <c r="N478" s="774" t="str">
        <f>$N$5</f>
        <v>2022 Report Year</v>
      </c>
      <c r="O478" s="775"/>
      <c r="P478" s="775"/>
      <c r="Q478" s="775"/>
      <c r="R478" s="338"/>
      <c r="S478" s="338"/>
      <c r="T478" s="338"/>
      <c r="U478" s="338"/>
      <c r="V478" s="338"/>
      <c r="W478" s="322"/>
      <c r="X478" s="322"/>
      <c r="Y478" s="322"/>
      <c r="Z478" s="322"/>
      <c r="AA478" s="322"/>
      <c r="AB478" s="322"/>
      <c r="AC478" s="322"/>
      <c r="AD478" s="340"/>
    </row>
    <row r="479" spans="1:30" ht="26.25" customHeight="1" x14ac:dyDescent="0.2">
      <c r="A479" s="821" t="e">
        <f>IF(AND(OR(ISNA(cap_exp_contact),TRIM(cap_exp_contact)=""),NOT(ISBLANK(code_7594))),"The Capital Expenditure Contact information has NOT been provided.  Please complete this information now.","")</f>
        <v>#N/A</v>
      </c>
      <c r="B479" s="822"/>
      <c r="C479" s="822"/>
      <c r="D479" s="822"/>
      <c r="E479" s="822"/>
      <c r="F479" s="822"/>
      <c r="G479" s="822"/>
      <c r="H479" s="822"/>
      <c r="I479" s="822"/>
      <c r="J479" s="822"/>
      <c r="K479" s="822"/>
      <c r="L479" s="822"/>
      <c r="M479" s="822"/>
      <c r="N479" s="271" t="s">
        <v>278</v>
      </c>
      <c r="O479" s="272" t="e">
        <f>'Capital Expend Detail'!$I$7</f>
        <v>#N/A</v>
      </c>
      <c r="P479" s="273" t="s">
        <v>431</v>
      </c>
      <c r="Q479" s="274" t="e">
        <f>IF(ISBLANK(Q436),"",Q436+1)</f>
        <v>#VALUE!</v>
      </c>
      <c r="R479" s="197"/>
      <c r="S479" s="340"/>
      <c r="T479" s="340"/>
      <c r="U479" s="340"/>
      <c r="V479" s="340"/>
      <c r="W479" s="322"/>
      <c r="X479" s="322"/>
      <c r="Y479" s="322"/>
      <c r="Z479" s="322"/>
      <c r="AA479" s="322"/>
      <c r="AB479" s="322"/>
      <c r="AC479" s="322"/>
      <c r="AD479" s="340"/>
    </row>
    <row r="480" spans="1:30" ht="26.25" customHeight="1" thickBot="1" x14ac:dyDescent="0.25">
      <c r="A480" s="778" t="s">
        <v>432</v>
      </c>
      <c r="B480" s="779"/>
      <c r="C480" s="779"/>
      <c r="D480" s="779"/>
      <c r="E480" s="815"/>
      <c r="F480" s="816"/>
      <c r="G480" s="816"/>
      <c r="H480" s="816"/>
      <c r="I480" s="816"/>
      <c r="J480" s="816"/>
      <c r="K480" s="816"/>
      <c r="L480" s="817"/>
      <c r="M480" s="276"/>
      <c r="N480" s="823" t="s">
        <v>443</v>
      </c>
      <c r="O480" s="824"/>
      <c r="P480" s="824"/>
      <c r="Q480" s="825"/>
      <c r="R480" s="197"/>
      <c r="S480" s="277" t="str">
        <f>IF(ISBLANK(E480),"",E480)</f>
        <v/>
      </c>
      <c r="T480" s="278" t="s">
        <v>407</v>
      </c>
      <c r="U480" s="197"/>
      <c r="V480" s="197"/>
      <c r="W480" s="322"/>
      <c r="X480" s="322"/>
      <c r="Y480" s="322"/>
      <c r="Z480" s="322"/>
      <c r="AA480" s="322"/>
      <c r="AB480" s="322"/>
      <c r="AC480" s="322"/>
      <c r="AD480" s="340"/>
    </row>
    <row r="481" spans="1:30" ht="26.25" customHeight="1" x14ac:dyDescent="0.2">
      <c r="A481" s="833" t="s">
        <v>433</v>
      </c>
      <c r="B481" s="834"/>
      <c r="C481" s="834"/>
      <c r="D481" s="835"/>
      <c r="E481" s="788"/>
      <c r="F481" s="789"/>
      <c r="G481" s="789"/>
      <c r="H481" s="789"/>
      <c r="I481" s="789"/>
      <c r="J481" s="789"/>
      <c r="K481" s="789"/>
      <c r="L481" s="790"/>
      <c r="M481" s="793" t="str">
        <f>IF(AND(ISBLANK(E481),OR(NOT(ISBLANK(E482)),NOT(ISBLANK(E483)),NOT(ISBLANK(E484)),NOT(ISBLANK(I485)),NOT(ISBLANK(A487)))),"This information is required.","")</f>
        <v/>
      </c>
      <c r="N481" s="794"/>
      <c r="O481" s="794"/>
      <c r="P481" s="794"/>
      <c r="Q481" s="279"/>
      <c r="R481" s="197"/>
      <c r="S481" s="277" t="str">
        <f>IF(ISBLANK(E481),"",E481)</f>
        <v/>
      </c>
      <c r="T481" s="278" t="s">
        <v>27</v>
      </c>
      <c r="U481" s="197"/>
      <c r="V481" s="197"/>
      <c r="W481" s="322"/>
      <c r="X481" s="322"/>
      <c r="Y481" s="322"/>
      <c r="Z481" s="322"/>
      <c r="AA481" s="322"/>
      <c r="AB481" s="322"/>
      <c r="AC481" s="322"/>
      <c r="AD481" s="340"/>
    </row>
    <row r="482" spans="1:30" ht="26.25" customHeight="1" x14ac:dyDescent="0.2">
      <c r="A482" s="783" t="s">
        <v>434</v>
      </c>
      <c r="B482" s="784"/>
      <c r="C482" s="784"/>
      <c r="D482" s="785"/>
      <c r="E482" s="788"/>
      <c r="F482" s="789"/>
      <c r="G482" s="789"/>
      <c r="H482" s="789"/>
      <c r="I482" s="789"/>
      <c r="J482" s="789"/>
      <c r="K482" s="789"/>
      <c r="L482" s="790"/>
      <c r="M482" s="793" t="str">
        <f>IF(AND(ISBLANK(E482),OR(NOT(ISBLANK(E481)),NOT(ISBLANK(E483)),NOT(ISBLANK(E484)),NOT(ISBLANK(I485)),NOT(ISBLANK(A487)))),"This information is required.","")</f>
        <v/>
      </c>
      <c r="N482" s="794"/>
      <c r="O482" s="794"/>
      <c r="P482" s="794"/>
      <c r="Q482" s="279"/>
      <c r="R482" s="197"/>
      <c r="S482" s="277" t="str">
        <f>IF(ISBLANK(E482),"",E482)</f>
        <v/>
      </c>
      <c r="T482" s="278" t="s">
        <v>28</v>
      </c>
      <c r="U482" s="197"/>
      <c r="V482" s="197"/>
      <c r="W482" s="322"/>
      <c r="X482" s="322"/>
      <c r="Y482" s="322"/>
      <c r="Z482" s="322"/>
      <c r="AA482" s="340"/>
      <c r="AB482" s="340"/>
      <c r="AC482" s="340"/>
      <c r="AD482" s="340"/>
    </row>
    <row r="483" spans="1:30" ht="26.25" customHeight="1" x14ac:dyDescent="0.2">
      <c r="A483" s="873" t="s">
        <v>436</v>
      </c>
      <c r="B483" s="874"/>
      <c r="C483" s="874"/>
      <c r="D483" s="875"/>
      <c r="E483" s="813"/>
      <c r="F483" s="814"/>
      <c r="G483" s="786" t="s">
        <v>437</v>
      </c>
      <c r="H483" s="786"/>
      <c r="I483" s="786"/>
      <c r="J483" s="786"/>
      <c r="K483" s="786"/>
      <c r="L483" s="786"/>
      <c r="M483" s="787" t="str">
        <f>IF(AND(ISBLANK(E483),OR(NOT(ISBLANK(E481)),NOT(ISBLANK(E482)),NOT(ISBLANK(E484)),NOT(ISBLANK(I485)),NOT(ISBLANK(A487)))),"This information is required.","")</f>
        <v/>
      </c>
      <c r="N483" s="711"/>
      <c r="O483" s="711"/>
      <c r="P483" s="711"/>
      <c r="Q483" s="280"/>
      <c r="R483" s="281"/>
      <c r="S483" s="282" t="str">
        <f>IF(ISBLANK(E483),"",E483)</f>
        <v/>
      </c>
      <c r="T483" s="283" t="s">
        <v>30</v>
      </c>
      <c r="U483" s="281"/>
      <c r="V483" s="281"/>
      <c r="W483" s="322"/>
      <c r="X483" s="332"/>
      <c r="Y483" s="332"/>
      <c r="Z483" s="332"/>
      <c r="AA483" s="324"/>
      <c r="AB483" s="324"/>
      <c r="AC483" s="324"/>
      <c r="AD483" s="340"/>
    </row>
    <row r="484" spans="1:30" ht="26.25" customHeight="1" x14ac:dyDescent="0.2">
      <c r="A484" s="783" t="s">
        <v>435</v>
      </c>
      <c r="B484" s="784"/>
      <c r="C484" s="784"/>
      <c r="D484" s="785"/>
      <c r="E484" s="828"/>
      <c r="F484" s="829"/>
      <c r="G484" s="284"/>
      <c r="H484" s="285"/>
      <c r="I484" s="286"/>
      <c r="J484" s="281"/>
      <c r="K484" s="281"/>
      <c r="L484" s="281"/>
      <c r="M484" s="711" t="str">
        <f>IF(AND(ISBLANK(E484),OR(NOT(ISBLANK(E481)),NOT(ISBLANK(E482)),NOT(ISBLANK(E483)),NOT(ISBLANK(I485)),NOT(ISBLANK(A487)))),"This information is required.","")</f>
        <v/>
      </c>
      <c r="N484" s="711"/>
      <c r="O484" s="711"/>
      <c r="P484" s="711"/>
      <c r="Q484" s="280"/>
      <c r="R484" s="287"/>
      <c r="S484" s="288" t="str">
        <f>IF(ISBLANK(E484),"",E484)</f>
        <v/>
      </c>
      <c r="T484" s="289" t="s">
        <v>31</v>
      </c>
      <c r="U484" s="287"/>
      <c r="V484" s="287"/>
      <c r="W484" s="322"/>
      <c r="X484" s="338"/>
      <c r="Y484" s="338"/>
      <c r="Z484" s="338"/>
      <c r="AA484" s="322"/>
      <c r="AB484" s="322"/>
      <c r="AC484" s="322"/>
      <c r="AD484" s="340"/>
    </row>
    <row r="485" spans="1:30" ht="26.25" customHeight="1" thickBot="1" x14ac:dyDescent="0.25">
      <c r="A485" s="797" t="s">
        <v>426</v>
      </c>
      <c r="B485" s="798"/>
      <c r="C485" s="798"/>
      <c r="D485" s="798"/>
      <c r="E485" s="799"/>
      <c r="F485" s="799"/>
      <c r="G485" s="799"/>
      <c r="H485" s="799"/>
      <c r="I485" s="832"/>
      <c r="J485" s="832"/>
      <c r="K485" s="795" t="s">
        <v>481</v>
      </c>
      <c r="L485" s="796"/>
      <c r="M485" s="827" t="str">
        <f>IF(AND(ISBLANK(I485),OR(NOT(ISBLANK(E481)),NOT(ISBLANK(E482)),NOT(ISBLANK(E483)),NOT(ISBLANK(E484)),NOT(ISBLANK(A487)))),"This information is required!","")</f>
        <v/>
      </c>
      <c r="N485" s="827"/>
      <c r="O485" s="827"/>
      <c r="P485" s="827"/>
      <c r="Q485" s="290"/>
      <c r="R485" s="287"/>
      <c r="S485" s="288" t="str">
        <f>IF(ISBLANK(I485),"",I485)</f>
        <v/>
      </c>
      <c r="T485" s="289" t="s">
        <v>32</v>
      </c>
      <c r="U485" s="291"/>
      <c r="V485" s="291"/>
      <c r="W485" s="322"/>
      <c r="X485" s="340"/>
      <c r="Y485" s="340"/>
      <c r="Z485" s="340"/>
      <c r="AA485" s="322"/>
      <c r="AB485" s="322"/>
      <c r="AC485" s="322"/>
      <c r="AD485" s="340"/>
    </row>
    <row r="486" spans="1:30" ht="26.25" customHeight="1" x14ac:dyDescent="0.2">
      <c r="A486" s="841" t="s">
        <v>553</v>
      </c>
      <c r="B486" s="842"/>
      <c r="C486" s="842"/>
      <c r="D486" s="842"/>
      <c r="E486" s="842"/>
      <c r="F486" s="842"/>
      <c r="G486" s="842"/>
      <c r="H486" s="842"/>
      <c r="I486" s="842"/>
      <c r="J486" s="909"/>
      <c r="K486" s="907" t="s">
        <v>646</v>
      </c>
      <c r="L486" s="907"/>
      <c r="M486" s="907"/>
      <c r="N486" s="907"/>
      <c r="O486" s="830" t="s">
        <v>535</v>
      </c>
      <c r="P486" s="830"/>
      <c r="Q486" s="831"/>
      <c r="R486" s="293"/>
      <c r="S486" s="288" t="str">
        <f>IF(ISBLANK(A487),"",A487)</f>
        <v/>
      </c>
      <c r="T486" s="289" t="s">
        <v>33</v>
      </c>
      <c r="U486" s="294"/>
      <c r="V486" s="294"/>
      <c r="W486" s="322"/>
      <c r="X486" s="340"/>
      <c r="Y486" s="340"/>
      <c r="Z486" s="340"/>
      <c r="AA486" s="322"/>
      <c r="AB486" s="322"/>
      <c r="AC486" s="322"/>
      <c r="AD486" s="340"/>
    </row>
    <row r="487" spans="1:30" ht="26.25" customHeight="1" x14ac:dyDescent="0.2">
      <c r="A487" s="853"/>
      <c r="B487" s="854"/>
      <c r="C487" s="854"/>
      <c r="D487" s="854"/>
      <c r="E487" s="854"/>
      <c r="F487" s="854"/>
      <c r="G487" s="854"/>
      <c r="H487" s="854"/>
      <c r="I487" s="854"/>
      <c r="J487" s="902"/>
      <c r="K487" s="908"/>
      <c r="L487" s="908"/>
      <c r="M487" s="908"/>
      <c r="N487" s="908"/>
      <c r="O487" s="295"/>
      <c r="P487" s="296" t="s">
        <v>43</v>
      </c>
      <c r="Q487" s="297" t="s">
        <v>44</v>
      </c>
      <c r="R487" s="293"/>
      <c r="S487" s="288" t="str">
        <f>IF(ISBLANK(A490),"",A490)</f>
        <v/>
      </c>
      <c r="T487" s="298" t="s">
        <v>34</v>
      </c>
      <c r="U487" s="294"/>
      <c r="V487" s="294"/>
      <c r="W487" s="332"/>
      <c r="X487" s="340"/>
      <c r="Y487" s="340"/>
      <c r="Z487" s="340"/>
      <c r="AA487" s="322"/>
      <c r="AB487" s="322"/>
      <c r="AC487" s="322"/>
      <c r="AD487" s="340"/>
    </row>
    <row r="488" spans="1:30" ht="26.25" customHeight="1" x14ac:dyDescent="0.2">
      <c r="A488" s="882"/>
      <c r="B488" s="883"/>
      <c r="C488" s="883"/>
      <c r="D488" s="883"/>
      <c r="E488" s="883"/>
      <c r="F488" s="883"/>
      <c r="G488" s="883"/>
      <c r="H488" s="883"/>
      <c r="I488" s="883"/>
      <c r="J488" s="903"/>
      <c r="K488" s="899" t="s">
        <v>516</v>
      </c>
      <c r="L488" s="900"/>
      <c r="M488" s="900"/>
      <c r="N488" s="900"/>
      <c r="O488" s="901"/>
      <c r="P488" s="304"/>
      <c r="Q488" s="305"/>
      <c r="R488" s="291" t="str">
        <f>IF(COUNTBLANK(P488:Q488)=2,"Please enter response.",IF(COUNTBLANK(P488:Q488)&lt;&gt;1,"Please VERIFY response.",""))</f>
        <v>Please enter response.</v>
      </c>
      <c r="S488" s="306" t="str">
        <f>IF(AND(ISBLANK(P488),ISBLANK(Q488)),"",IF(ISBLANK(P488),0,1))</f>
        <v/>
      </c>
      <c r="T488" s="307" t="s">
        <v>563</v>
      </c>
      <c r="U488" s="266"/>
      <c r="V488" s="266"/>
      <c r="W488" s="338"/>
      <c r="X488" s="340"/>
      <c r="Y488" s="340"/>
      <c r="Z488" s="340"/>
      <c r="AA488" s="322"/>
      <c r="AB488" s="322"/>
      <c r="AC488" s="322"/>
      <c r="AD488" s="340"/>
    </row>
    <row r="489" spans="1:30" ht="26.25" customHeight="1" x14ac:dyDescent="0.2">
      <c r="A489" s="904" t="s">
        <v>558</v>
      </c>
      <c r="B489" s="905"/>
      <c r="C489" s="905"/>
      <c r="D489" s="905"/>
      <c r="E489" s="905"/>
      <c r="F489" s="905"/>
      <c r="G489" s="905"/>
      <c r="H489" s="905"/>
      <c r="I489" s="905"/>
      <c r="J489" s="906"/>
      <c r="K489" s="899" t="s">
        <v>517</v>
      </c>
      <c r="L489" s="900"/>
      <c r="M489" s="900"/>
      <c r="N489" s="900"/>
      <c r="O489" s="901"/>
      <c r="P489" s="304"/>
      <c r="Q489" s="305"/>
      <c r="R489" s="291" t="str">
        <f>IF(COUNTBLANK(P489:Q489)=2,"Please enter response.",IF(COUNTBLANK(P489:Q489)&lt;&gt;1,"Please VERIFY response.",""))</f>
        <v>Please enter response.</v>
      </c>
      <c r="S489" s="306" t="str">
        <f>IF(AND(ISBLANK(P489),ISBLANK(Q489)),"",IF(ISBLANK(P489),0,1))</f>
        <v/>
      </c>
      <c r="T489" s="307" t="s">
        <v>564</v>
      </c>
      <c r="U489" s="266"/>
      <c r="V489" s="266"/>
      <c r="W489" s="340"/>
      <c r="X489" s="340"/>
      <c r="Y489" s="340"/>
      <c r="Z489" s="340"/>
      <c r="AA489" s="322"/>
      <c r="AB489" s="322"/>
      <c r="AC489" s="322"/>
      <c r="AD489" s="340"/>
    </row>
    <row r="490" spans="1:30" ht="26.25" customHeight="1" x14ac:dyDescent="0.2">
      <c r="A490" s="853"/>
      <c r="B490" s="854"/>
      <c r="C490" s="854"/>
      <c r="D490" s="854"/>
      <c r="E490" s="854"/>
      <c r="F490" s="854"/>
      <c r="G490" s="854"/>
      <c r="H490" s="854"/>
      <c r="I490" s="854"/>
      <c r="J490" s="902"/>
      <c r="K490" s="899" t="s">
        <v>518</v>
      </c>
      <c r="L490" s="900"/>
      <c r="M490" s="900"/>
      <c r="N490" s="900"/>
      <c r="O490" s="901"/>
      <c r="P490" s="304"/>
      <c r="Q490" s="305"/>
      <c r="R490" s="291" t="str">
        <f>IF(COUNTBLANK(P490:Q490)=2,"Please enter response.",IF(COUNTBLANK(P490:Q490)&lt;&gt;1,"Please VERIFY response.",""))</f>
        <v>Please enter response.</v>
      </c>
      <c r="S490" s="306" t="str">
        <f>IF(AND(ISBLANK(P490),ISBLANK(Q490)),"",IF(ISBLANK(P490),0,1))</f>
        <v/>
      </c>
      <c r="T490" s="307" t="s">
        <v>565</v>
      </c>
      <c r="U490" s="266"/>
      <c r="V490" s="266"/>
      <c r="W490" s="340"/>
      <c r="X490" s="293"/>
      <c r="Y490" s="293"/>
      <c r="Z490" s="293"/>
      <c r="AA490" s="322"/>
      <c r="AB490" s="322"/>
      <c r="AC490" s="322"/>
      <c r="AD490" s="340"/>
    </row>
    <row r="491" spans="1:30" ht="26.25" customHeight="1" x14ac:dyDescent="0.2">
      <c r="A491" s="882"/>
      <c r="B491" s="883"/>
      <c r="C491" s="883"/>
      <c r="D491" s="883"/>
      <c r="E491" s="883"/>
      <c r="F491" s="883"/>
      <c r="G491" s="883"/>
      <c r="H491" s="883"/>
      <c r="I491" s="883"/>
      <c r="J491" s="903"/>
      <c r="K491" s="899" t="s">
        <v>520</v>
      </c>
      <c r="L491" s="900"/>
      <c r="M491" s="900"/>
      <c r="N491" s="900"/>
      <c r="O491" s="901"/>
      <c r="P491" s="304"/>
      <c r="Q491" s="305"/>
      <c r="R491" s="291" t="str">
        <f>IF(COUNTBLANK(P491:Q491)=2,"Please enter response.",IF(COUNTBLANK(P491:Q491)&lt;&gt;1,"Please VERIFY response.",""))</f>
        <v>Please enter response.</v>
      </c>
      <c r="S491" s="306" t="str">
        <f>IF(AND(ISBLANK(P491),ISBLANK(Q491)),"",IF(ISBLANK(P491),0,1))</f>
        <v/>
      </c>
      <c r="T491" s="307" t="s">
        <v>566</v>
      </c>
      <c r="U491" s="266"/>
      <c r="V491" s="266"/>
      <c r="W491" s="340"/>
      <c r="X491" s="340"/>
      <c r="Y491" s="340"/>
      <c r="Z491" s="340"/>
      <c r="AA491" s="322"/>
      <c r="AB491" s="322"/>
      <c r="AC491" s="322"/>
      <c r="AD491" s="340"/>
    </row>
    <row r="492" spans="1:30" ht="26.25" customHeight="1" x14ac:dyDescent="0.2">
      <c r="A492" s="879" t="s">
        <v>546</v>
      </c>
      <c r="B492" s="880"/>
      <c r="C492" s="880"/>
      <c r="D492" s="880"/>
      <c r="E492" s="880"/>
      <c r="F492" s="880"/>
      <c r="G492" s="880"/>
      <c r="H492" s="880"/>
      <c r="I492" s="880"/>
      <c r="J492" s="880"/>
      <c r="K492" s="880"/>
      <c r="L492" s="880"/>
      <c r="M492" s="880"/>
      <c r="N492" s="880"/>
      <c r="O492" s="880"/>
      <c r="P492" s="880"/>
      <c r="Q492" s="881"/>
      <c r="R492" s="310"/>
      <c r="S492" s="319"/>
      <c r="T492" s="310"/>
      <c r="U492" s="310"/>
      <c r="V492" s="310"/>
      <c r="W492" s="340"/>
      <c r="X492" s="340"/>
      <c r="Y492" s="340"/>
      <c r="Z492" s="340"/>
      <c r="AA492" s="322"/>
      <c r="AB492" s="322"/>
      <c r="AC492" s="322"/>
      <c r="AD492" s="340"/>
    </row>
    <row r="493" spans="1:30" ht="26.25" customHeight="1" x14ac:dyDescent="0.2">
      <c r="A493" s="870" t="s">
        <v>450</v>
      </c>
      <c r="B493" s="826"/>
      <c r="C493" s="826"/>
      <c r="D493" s="826"/>
      <c r="E493" s="826" t="s">
        <v>478</v>
      </c>
      <c r="F493" s="826"/>
      <c r="G493" s="826"/>
      <c r="H493" s="826"/>
      <c r="I493" s="826" t="s">
        <v>479</v>
      </c>
      <c r="J493" s="826"/>
      <c r="K493" s="826"/>
      <c r="L493" s="826"/>
      <c r="M493" s="871" t="s">
        <v>465</v>
      </c>
      <c r="N493" s="826"/>
      <c r="O493" s="826"/>
      <c r="P493" s="826"/>
      <c r="Q493" s="872"/>
      <c r="R493" s="315"/>
      <c r="S493" s="836" t="s">
        <v>491</v>
      </c>
      <c r="T493" s="836"/>
      <c r="U493" s="836"/>
      <c r="V493" s="836"/>
      <c r="W493" s="340"/>
      <c r="X493" s="340"/>
      <c r="Y493" s="340"/>
      <c r="Z493" s="340"/>
      <c r="AA493" s="340"/>
      <c r="AB493" s="340"/>
      <c r="AC493" s="340"/>
      <c r="AD493" s="340"/>
    </row>
    <row r="494" spans="1:30" ht="26.25" customHeight="1" thickBot="1" x14ac:dyDescent="0.25">
      <c r="A494" s="791"/>
      <c r="B494" s="792"/>
      <c r="C494" s="792"/>
      <c r="D494" s="792"/>
      <c r="E494" s="792"/>
      <c r="F494" s="792"/>
      <c r="G494" s="792"/>
      <c r="H494" s="792"/>
      <c r="I494" s="792"/>
      <c r="J494" s="792"/>
      <c r="K494" s="792"/>
      <c r="L494" s="792"/>
      <c r="M494" s="894"/>
      <c r="N494" s="894"/>
      <c r="O494" s="894"/>
      <c r="P494" s="894"/>
      <c r="Q494" s="895"/>
      <c r="R494" s="310"/>
      <c r="S494" s="323" t="str">
        <f>IF(ISBLANK(A494),"",VLOOKUP(A494,VProjType,2,FALSE))</f>
        <v/>
      </c>
      <c r="T494" s="323" t="str">
        <f>IF(ISBLANK(E494),"",VLOOKUP(E494,VSubtype1,2,FALSE))</f>
        <v/>
      </c>
      <c r="U494" s="323" t="str">
        <f>IF(ISBLANK(I494),"",VLOOKUP(I494,VSubtype2,2,FALSE))</f>
        <v/>
      </c>
      <c r="V494" s="323" t="str">
        <f>IF(ISBLANK(M494),"",VLOOKUP(M494,VSubtype3,2,FALSE))</f>
        <v/>
      </c>
      <c r="W494" s="293"/>
      <c r="X494" s="293"/>
      <c r="Y494" s="293"/>
      <c r="Z494" s="293"/>
      <c r="AA494" s="320"/>
      <c r="AB494" s="320"/>
      <c r="AC494" s="320"/>
      <c r="AD494" s="340"/>
    </row>
    <row r="495" spans="1:30" ht="26.25" customHeight="1" x14ac:dyDescent="0.2">
      <c r="A495" s="896" t="s">
        <v>483</v>
      </c>
      <c r="B495" s="897"/>
      <c r="C495" s="897"/>
      <c r="D495" s="897"/>
      <c r="E495" s="897"/>
      <c r="F495" s="897"/>
      <c r="G495" s="897"/>
      <c r="H495" s="897"/>
      <c r="I495" s="897"/>
      <c r="J495" s="897"/>
      <c r="K495" s="897"/>
      <c r="L495" s="897"/>
      <c r="M495" s="897"/>
      <c r="N495" s="897"/>
      <c r="O495" s="897"/>
      <c r="P495" s="897"/>
      <c r="Q495" s="898"/>
      <c r="R495" s="320"/>
      <c r="S495" s="324" t="s">
        <v>537</v>
      </c>
      <c r="T495" s="320"/>
      <c r="U495" s="320"/>
      <c r="V495" s="320"/>
      <c r="W495" s="340"/>
      <c r="X495" s="322"/>
      <c r="Y495" s="322"/>
      <c r="Z495" s="322"/>
      <c r="AA495" s="322"/>
      <c r="AB495" s="322"/>
      <c r="AC495" s="322"/>
      <c r="AD495" s="340"/>
    </row>
    <row r="496" spans="1:30" ht="26.25" customHeight="1" x14ac:dyDescent="0.2">
      <c r="A496" s="859" t="s">
        <v>544</v>
      </c>
      <c r="B496" s="860"/>
      <c r="C496" s="860"/>
      <c r="D496" s="860"/>
      <c r="E496" s="860"/>
      <c r="F496" s="860"/>
      <c r="G496" s="860"/>
      <c r="H496" s="860"/>
      <c r="I496" s="860"/>
      <c r="J496" s="860"/>
      <c r="K496" s="860"/>
      <c r="L496" s="861"/>
      <c r="M496" s="876"/>
      <c r="N496" s="877"/>
      <c r="O496" s="877"/>
      <c r="P496" s="877"/>
      <c r="Q496" s="878"/>
      <c r="R496" s="320"/>
      <c r="S496" s="325" t="str">
        <f>IF(ISBLANK(M496),"",VLOOKUP(M496,VRemote,2,FALSE))</f>
        <v/>
      </c>
      <c r="T496" s="326" t="s">
        <v>545</v>
      </c>
      <c r="U496" s="320"/>
      <c r="V496" s="320"/>
      <c r="W496" s="340"/>
      <c r="X496" s="322"/>
      <c r="Y496" s="322"/>
      <c r="Z496" s="322"/>
      <c r="AA496" s="322"/>
      <c r="AB496" s="322"/>
      <c r="AC496" s="322"/>
      <c r="AD496" s="340"/>
    </row>
    <row r="497" spans="1:38" ht="26.25" customHeight="1" x14ac:dyDescent="0.2">
      <c r="A497" s="859" t="s">
        <v>529</v>
      </c>
      <c r="B497" s="860"/>
      <c r="C497" s="860"/>
      <c r="D497" s="860"/>
      <c r="E497" s="860"/>
      <c r="F497" s="860"/>
      <c r="G497" s="860"/>
      <c r="H497" s="860"/>
      <c r="I497" s="860"/>
      <c r="J497" s="860"/>
      <c r="K497" s="860"/>
      <c r="L497" s="860"/>
      <c r="M497" s="876"/>
      <c r="N497" s="877"/>
      <c r="O497" s="877"/>
      <c r="P497" s="877"/>
      <c r="Q497" s="878"/>
      <c r="R497" s="322"/>
      <c r="S497" s="325" t="str">
        <f>IF(ISBLANK(M497),"",VLOOKUP(M497,VCapacity,2,FALSE))</f>
        <v/>
      </c>
      <c r="T497" s="327" t="s">
        <v>539</v>
      </c>
      <c r="U497" s="322"/>
      <c r="V497" s="322"/>
      <c r="W497" s="340"/>
      <c r="X497" s="322"/>
      <c r="Y497" s="322"/>
      <c r="Z497" s="322"/>
      <c r="AA497" s="322"/>
      <c r="AB497" s="322"/>
      <c r="AC497" s="322"/>
      <c r="AD497" s="340"/>
    </row>
    <row r="498" spans="1:38" ht="26.25" customHeight="1" x14ac:dyDescent="0.2">
      <c r="A498" s="859" t="s">
        <v>484</v>
      </c>
      <c r="B498" s="860"/>
      <c r="C498" s="860"/>
      <c r="D498" s="860"/>
      <c r="E498" s="860"/>
      <c r="F498" s="860"/>
      <c r="G498" s="860"/>
      <c r="H498" s="860"/>
      <c r="I498" s="860"/>
      <c r="J498" s="860"/>
      <c r="K498" s="860"/>
      <c r="L498" s="860"/>
      <c r="M498" s="876"/>
      <c r="N498" s="877"/>
      <c r="O498" s="877"/>
      <c r="P498" s="877"/>
      <c r="Q498" s="878"/>
      <c r="R498" s="322"/>
      <c r="S498" s="325" t="str">
        <f>IF(ISBLANK(M498),"",VLOOKUP(M498,VPriorCap,2,FALSE))</f>
        <v/>
      </c>
      <c r="T498" s="327" t="s">
        <v>489</v>
      </c>
      <c r="U498" s="322"/>
      <c r="V498" s="322"/>
      <c r="W498" s="293"/>
      <c r="X498" s="322"/>
      <c r="Y498" s="322"/>
      <c r="Z498" s="322"/>
      <c r="AA498" s="322"/>
      <c r="AB498" s="322"/>
      <c r="AC498" s="322"/>
      <c r="AD498" s="340"/>
    </row>
    <row r="499" spans="1:38" ht="26.25" customHeight="1" x14ac:dyDescent="0.2">
      <c r="A499" s="780" t="s">
        <v>515</v>
      </c>
      <c r="B499" s="781"/>
      <c r="C499" s="781"/>
      <c r="D499" s="781"/>
      <c r="E499" s="781"/>
      <c r="F499" s="781"/>
      <c r="G499" s="781"/>
      <c r="H499" s="781"/>
      <c r="I499" s="781"/>
      <c r="J499" s="781"/>
      <c r="K499" s="781"/>
      <c r="L499" s="781"/>
      <c r="M499" s="781"/>
      <c r="N499" s="781"/>
      <c r="O499" s="781"/>
      <c r="P499" s="781"/>
      <c r="Q499" s="782"/>
      <c r="R499" s="322"/>
      <c r="S499" s="330" t="str">
        <f>IF(ISBLANK(A500),"",A500)</f>
        <v/>
      </c>
      <c r="T499" s="327" t="s">
        <v>490</v>
      </c>
      <c r="U499" s="322"/>
      <c r="V499" s="322"/>
      <c r="W499" s="322"/>
      <c r="X499" s="322"/>
      <c r="Y499" s="322"/>
      <c r="Z499" s="322"/>
      <c r="AA499" s="322"/>
      <c r="AB499" s="322"/>
      <c r="AC499" s="322"/>
      <c r="AD499" s="340"/>
    </row>
    <row r="500" spans="1:38" ht="26.25" customHeight="1" x14ac:dyDescent="0.2">
      <c r="A500" s="862"/>
      <c r="B500" s="845"/>
      <c r="C500" s="845"/>
      <c r="D500" s="845"/>
      <c r="E500" s="845"/>
      <c r="F500" s="845"/>
      <c r="G500" s="845"/>
      <c r="H500" s="845"/>
      <c r="I500" s="845"/>
      <c r="J500" s="845"/>
      <c r="K500" s="845"/>
      <c r="L500" s="845"/>
      <c r="M500" s="845"/>
      <c r="N500" s="845"/>
      <c r="O500" s="845"/>
      <c r="P500" s="845"/>
      <c r="Q500" s="863"/>
      <c r="R500" s="322"/>
      <c r="S500" s="322"/>
      <c r="T500" s="322"/>
      <c r="U500" s="322"/>
      <c r="V500" s="322"/>
      <c r="W500" s="322"/>
      <c r="X500" s="322"/>
      <c r="Y500" s="322"/>
      <c r="Z500" s="322"/>
      <c r="AA500" s="322"/>
      <c r="AB500" s="322"/>
      <c r="AC500" s="322"/>
      <c r="AD500" s="340"/>
    </row>
    <row r="501" spans="1:38" ht="26.25" customHeight="1" x14ac:dyDescent="0.2">
      <c r="A501" s="864"/>
      <c r="B501" s="865"/>
      <c r="C501" s="865"/>
      <c r="D501" s="865"/>
      <c r="E501" s="865"/>
      <c r="F501" s="865"/>
      <c r="G501" s="865"/>
      <c r="H501" s="865"/>
      <c r="I501" s="865"/>
      <c r="J501" s="865"/>
      <c r="K501" s="865"/>
      <c r="L501" s="865"/>
      <c r="M501" s="865"/>
      <c r="N501" s="865"/>
      <c r="O501" s="865"/>
      <c r="P501" s="865"/>
      <c r="Q501" s="866"/>
      <c r="R501" s="322"/>
      <c r="S501" s="322"/>
      <c r="T501" s="322"/>
      <c r="U501" s="322"/>
      <c r="V501" s="322"/>
      <c r="W501" s="322"/>
      <c r="X501" s="322"/>
      <c r="Y501" s="322"/>
      <c r="Z501" s="322"/>
      <c r="AA501" s="322"/>
      <c r="AB501" s="322"/>
      <c r="AC501" s="322"/>
      <c r="AD501" s="340"/>
    </row>
    <row r="502" spans="1:38" ht="26.25" customHeight="1" x14ac:dyDescent="0.2">
      <c r="A502" s="885" t="s">
        <v>514</v>
      </c>
      <c r="B502" s="886"/>
      <c r="C502" s="886"/>
      <c r="D502" s="886"/>
      <c r="E502" s="886"/>
      <c r="F502" s="886"/>
      <c r="G502" s="886"/>
      <c r="H502" s="886"/>
      <c r="I502" s="886"/>
      <c r="J502" s="886"/>
      <c r="K502" s="886"/>
      <c r="L502" s="886"/>
      <c r="M502" s="886"/>
      <c r="N502" s="886"/>
      <c r="O502" s="886"/>
      <c r="P502" s="886"/>
      <c r="Q502" s="887"/>
      <c r="R502" s="324"/>
      <c r="S502" s="324"/>
      <c r="T502" s="324"/>
      <c r="U502" s="324"/>
      <c r="V502" s="324"/>
      <c r="W502" s="322"/>
      <c r="X502" s="322"/>
      <c r="Y502" s="322"/>
      <c r="Z502" s="322"/>
      <c r="AA502" s="322"/>
      <c r="AB502" s="322"/>
      <c r="AC502" s="322"/>
      <c r="AD502" s="340"/>
    </row>
    <row r="503" spans="1:38" ht="26.25" customHeight="1" x14ac:dyDescent="0.2">
      <c r="A503" s="862"/>
      <c r="B503" s="845"/>
      <c r="C503" s="845"/>
      <c r="D503" s="845"/>
      <c r="E503" s="845"/>
      <c r="F503" s="845"/>
      <c r="G503" s="845"/>
      <c r="H503" s="845"/>
      <c r="I503" s="845"/>
      <c r="J503" s="845"/>
      <c r="K503" s="845"/>
      <c r="L503" s="845"/>
      <c r="M503" s="845"/>
      <c r="N503" s="845"/>
      <c r="O503" s="845"/>
      <c r="P503" s="845"/>
      <c r="Q503" s="846"/>
      <c r="R503" s="322"/>
      <c r="S503" s="330" t="str">
        <f>IF(ISBLANK(A503),"",A503)</f>
        <v/>
      </c>
      <c r="T503" s="289" t="s">
        <v>36</v>
      </c>
      <c r="U503" s="322"/>
      <c r="V503" s="322"/>
      <c r="W503" s="322"/>
      <c r="X503" s="322"/>
      <c r="Y503" s="322"/>
      <c r="Z503" s="322"/>
      <c r="AA503" s="322"/>
      <c r="AB503" s="322"/>
      <c r="AC503" s="322"/>
      <c r="AD503" s="340"/>
    </row>
    <row r="504" spans="1:38" ht="26.25" customHeight="1" thickBot="1" x14ac:dyDescent="0.25">
      <c r="A504" s="856"/>
      <c r="B504" s="857"/>
      <c r="C504" s="857"/>
      <c r="D504" s="857"/>
      <c r="E504" s="857"/>
      <c r="F504" s="857"/>
      <c r="G504" s="857"/>
      <c r="H504" s="857"/>
      <c r="I504" s="857"/>
      <c r="J504" s="857"/>
      <c r="K504" s="857"/>
      <c r="L504" s="857"/>
      <c r="M504" s="857"/>
      <c r="N504" s="857"/>
      <c r="O504" s="857"/>
      <c r="P504" s="857"/>
      <c r="Q504" s="858"/>
      <c r="R504" s="322"/>
      <c r="S504" s="322"/>
      <c r="T504" s="289"/>
      <c r="U504" s="322"/>
      <c r="V504" s="322"/>
      <c r="W504" s="322"/>
      <c r="X504" s="340"/>
      <c r="Y504" s="340"/>
      <c r="Z504" s="340"/>
      <c r="AA504" s="332"/>
      <c r="AB504" s="332"/>
      <c r="AC504" s="332"/>
      <c r="AD504" s="286"/>
    </row>
    <row r="505" spans="1:38" ht="26.25" customHeight="1" x14ac:dyDescent="0.2">
      <c r="A505" s="850" t="s">
        <v>504</v>
      </c>
      <c r="B505" s="851"/>
      <c r="C505" s="851"/>
      <c r="D505" s="851"/>
      <c r="E505" s="851"/>
      <c r="F505" s="851"/>
      <c r="G505" s="851"/>
      <c r="H505" s="851"/>
      <c r="I505" s="851"/>
      <c r="J505" s="851"/>
      <c r="K505" s="851"/>
      <c r="L505" s="851"/>
      <c r="M505" s="851"/>
      <c r="N505" s="851"/>
      <c r="O505" s="851"/>
      <c r="P505" s="851"/>
      <c r="Q505" s="852"/>
      <c r="R505" s="320"/>
      <c r="S505" s="324" t="s">
        <v>540</v>
      </c>
      <c r="T505" s="320"/>
      <c r="U505" s="320"/>
      <c r="V505" s="320"/>
      <c r="W505" s="322"/>
      <c r="X505" s="320"/>
      <c r="Y505" s="320"/>
      <c r="Z505" s="320"/>
      <c r="AA505" s="338"/>
      <c r="AB505" s="338"/>
      <c r="AC505" s="338"/>
      <c r="AD505" s="286"/>
    </row>
    <row r="506" spans="1:38" ht="26.25" customHeight="1" x14ac:dyDescent="0.2">
      <c r="A506" s="891" t="s">
        <v>557</v>
      </c>
      <c r="B506" s="892"/>
      <c r="C506" s="892"/>
      <c r="D506" s="892"/>
      <c r="E506" s="892"/>
      <c r="F506" s="892"/>
      <c r="G506" s="892"/>
      <c r="H506" s="892"/>
      <c r="I506" s="892"/>
      <c r="J506" s="892"/>
      <c r="K506" s="892"/>
      <c r="L506" s="893"/>
      <c r="M506" s="876"/>
      <c r="N506" s="877"/>
      <c r="O506" s="877"/>
      <c r="P506" s="877"/>
      <c r="Q506" s="878"/>
      <c r="R506" s="322"/>
      <c r="S506" s="331" t="str">
        <f>IF(ISBLANK(M506),"",VLOOKUP(M506,VImpact,2,FALSE))</f>
        <v/>
      </c>
      <c r="T506" s="327" t="s">
        <v>493</v>
      </c>
      <c r="U506" s="322"/>
      <c r="V506" s="322"/>
      <c r="W506" s="322"/>
      <c r="X506" s="322"/>
      <c r="Y506" s="322"/>
      <c r="Z506" s="322"/>
      <c r="AA506" s="340"/>
      <c r="AB506" s="340"/>
      <c r="AC506" s="340"/>
      <c r="AD506" s="286"/>
    </row>
    <row r="507" spans="1:38" ht="26.25" customHeight="1" x14ac:dyDescent="0.2">
      <c r="A507" s="859" t="s">
        <v>554</v>
      </c>
      <c r="B507" s="860"/>
      <c r="C507" s="860"/>
      <c r="D507" s="860"/>
      <c r="E507" s="860"/>
      <c r="F507" s="860"/>
      <c r="G507" s="860"/>
      <c r="H507" s="860"/>
      <c r="I507" s="860"/>
      <c r="J507" s="860"/>
      <c r="K507" s="860"/>
      <c r="L507" s="861"/>
      <c r="M507" s="876"/>
      <c r="N507" s="877"/>
      <c r="O507" s="877"/>
      <c r="P507" s="877"/>
      <c r="Q507" s="878"/>
      <c r="R507" s="322"/>
      <c r="S507" s="331" t="str">
        <f>IF(ISBLANK(M507),"",VLOOKUP(M507,VEvidence,2,FALSE))</f>
        <v/>
      </c>
      <c r="T507" s="307" t="s">
        <v>494</v>
      </c>
      <c r="U507" s="322"/>
      <c r="V507" s="322"/>
      <c r="W507" s="322"/>
      <c r="X507" s="322"/>
      <c r="Y507" s="322"/>
      <c r="Z507" s="322"/>
      <c r="AA507" s="340"/>
      <c r="AB507" s="340"/>
      <c r="AC507" s="340"/>
      <c r="AD507" s="286"/>
      <c r="AL507" s="266"/>
    </row>
    <row r="508" spans="1:38" ht="26.25" customHeight="1" x14ac:dyDescent="0.2">
      <c r="A508" s="888" t="s">
        <v>512</v>
      </c>
      <c r="B508" s="889"/>
      <c r="C508" s="889"/>
      <c r="D508" s="889"/>
      <c r="E508" s="889"/>
      <c r="F508" s="889"/>
      <c r="G508" s="889"/>
      <c r="H508" s="889"/>
      <c r="I508" s="889"/>
      <c r="J508" s="889"/>
      <c r="K508" s="889"/>
      <c r="L508" s="889"/>
      <c r="M508" s="889"/>
      <c r="N508" s="889"/>
      <c r="O508" s="889"/>
      <c r="P508" s="889"/>
      <c r="Q508" s="890"/>
      <c r="R508" s="322"/>
      <c r="S508" s="330" t="str">
        <f>IF(ISBLANK(A509),"",A509)</f>
        <v/>
      </c>
      <c r="T508" s="289" t="s">
        <v>35</v>
      </c>
      <c r="U508" s="322"/>
      <c r="V508" s="322"/>
      <c r="W508" s="340"/>
      <c r="X508" s="322"/>
      <c r="Y508" s="322"/>
      <c r="Z508" s="322"/>
      <c r="AA508" s="340"/>
      <c r="AB508" s="340"/>
      <c r="AC508" s="340"/>
      <c r="AD508" s="340"/>
      <c r="AL508" s="308"/>
    </row>
    <row r="509" spans="1:38" ht="26.25" customHeight="1" x14ac:dyDescent="0.2">
      <c r="A509" s="862"/>
      <c r="B509" s="845"/>
      <c r="C509" s="845"/>
      <c r="D509" s="845"/>
      <c r="E509" s="845"/>
      <c r="F509" s="845"/>
      <c r="G509" s="845"/>
      <c r="H509" s="845"/>
      <c r="I509" s="845"/>
      <c r="J509" s="845"/>
      <c r="K509" s="845"/>
      <c r="L509" s="845"/>
      <c r="M509" s="845"/>
      <c r="N509" s="845"/>
      <c r="O509" s="845"/>
      <c r="P509" s="845"/>
      <c r="Q509" s="846"/>
      <c r="R509" s="322"/>
      <c r="S509" s="322"/>
      <c r="T509" s="333"/>
      <c r="U509" s="322"/>
      <c r="V509" s="322"/>
      <c r="W509" s="320"/>
      <c r="X509" s="322"/>
      <c r="Y509" s="322"/>
      <c r="Z509" s="322"/>
      <c r="AA509" s="340"/>
      <c r="AB509" s="340"/>
      <c r="AC509" s="340"/>
      <c r="AD509" s="340"/>
      <c r="AL509" s="308"/>
    </row>
    <row r="510" spans="1:38" ht="26.25" customHeight="1" x14ac:dyDescent="0.2">
      <c r="A510" s="882"/>
      <c r="B510" s="883"/>
      <c r="C510" s="883"/>
      <c r="D510" s="883"/>
      <c r="E510" s="883"/>
      <c r="F510" s="883"/>
      <c r="G510" s="883"/>
      <c r="H510" s="883"/>
      <c r="I510" s="883"/>
      <c r="J510" s="883"/>
      <c r="K510" s="883"/>
      <c r="L510" s="883"/>
      <c r="M510" s="883"/>
      <c r="N510" s="883"/>
      <c r="O510" s="883"/>
      <c r="P510" s="883"/>
      <c r="Q510" s="884"/>
      <c r="R510" s="322"/>
      <c r="S510" s="322"/>
      <c r="T510" s="333"/>
      <c r="U510" s="322"/>
      <c r="V510" s="322"/>
      <c r="W510" s="322"/>
      <c r="X510" s="322"/>
      <c r="Y510" s="322"/>
      <c r="Z510" s="322"/>
      <c r="AA510" s="340"/>
      <c r="AB510" s="340"/>
      <c r="AC510" s="340"/>
      <c r="AD510" s="340"/>
      <c r="AL510" s="308"/>
    </row>
    <row r="511" spans="1:38" ht="26.25" customHeight="1" x14ac:dyDescent="0.2">
      <c r="A511" s="867" t="s">
        <v>513</v>
      </c>
      <c r="B511" s="868"/>
      <c r="C511" s="868"/>
      <c r="D511" s="868"/>
      <c r="E511" s="868"/>
      <c r="F511" s="868"/>
      <c r="G511" s="868"/>
      <c r="H511" s="868"/>
      <c r="I511" s="868"/>
      <c r="J511" s="868"/>
      <c r="K511" s="868"/>
      <c r="L511" s="868"/>
      <c r="M511" s="868"/>
      <c r="N511" s="868"/>
      <c r="O511" s="868"/>
      <c r="P511" s="868"/>
      <c r="Q511" s="869"/>
      <c r="R511" s="322"/>
      <c r="S511" s="330" t="str">
        <f>IF(ISBLANK(A512),"",A512)</f>
        <v/>
      </c>
      <c r="T511" s="333" t="s">
        <v>542</v>
      </c>
      <c r="U511" s="322"/>
      <c r="V511" s="322"/>
      <c r="W511" s="322"/>
      <c r="X511" s="322"/>
      <c r="Y511" s="322"/>
      <c r="Z511" s="322"/>
      <c r="AA511" s="293"/>
      <c r="AB511" s="293"/>
      <c r="AC511" s="293"/>
      <c r="AD511" s="346"/>
      <c r="AL511" s="308"/>
    </row>
    <row r="512" spans="1:38" ht="26.25" customHeight="1" x14ac:dyDescent="0.2">
      <c r="A512" s="862"/>
      <c r="B512" s="845"/>
      <c r="C512" s="845"/>
      <c r="D512" s="845"/>
      <c r="E512" s="845"/>
      <c r="F512" s="845"/>
      <c r="G512" s="845"/>
      <c r="H512" s="845"/>
      <c r="I512" s="845"/>
      <c r="J512" s="845"/>
      <c r="K512" s="845"/>
      <c r="L512" s="845"/>
      <c r="M512" s="845"/>
      <c r="N512" s="845"/>
      <c r="O512" s="845"/>
      <c r="P512" s="845"/>
      <c r="Q512" s="863"/>
      <c r="R512" s="322"/>
      <c r="U512" s="322"/>
      <c r="V512" s="322"/>
      <c r="W512" s="322"/>
      <c r="X512" s="322"/>
      <c r="Y512" s="322"/>
      <c r="Z512" s="322"/>
      <c r="AA512" s="340"/>
      <c r="AB512" s="340"/>
      <c r="AC512" s="340"/>
      <c r="AD512" s="340"/>
      <c r="AL512" s="308"/>
    </row>
    <row r="513" spans="1:38" ht="26.25" customHeight="1" thickBot="1" x14ac:dyDescent="0.25">
      <c r="A513" s="847"/>
      <c r="B513" s="848"/>
      <c r="C513" s="848"/>
      <c r="D513" s="848"/>
      <c r="E513" s="848"/>
      <c r="F513" s="848"/>
      <c r="G513" s="848"/>
      <c r="H513" s="848"/>
      <c r="I513" s="848"/>
      <c r="J513" s="848"/>
      <c r="K513" s="848"/>
      <c r="L513" s="848"/>
      <c r="M513" s="848"/>
      <c r="N513" s="848"/>
      <c r="O513" s="848"/>
      <c r="P513" s="848"/>
      <c r="Q513" s="849"/>
      <c r="R513" s="322"/>
      <c r="S513" s="322"/>
      <c r="T513" s="322"/>
      <c r="U513" s="322"/>
      <c r="V513" s="322"/>
      <c r="W513" s="322"/>
      <c r="X513" s="322"/>
      <c r="Y513" s="322"/>
      <c r="Z513" s="322"/>
      <c r="AA513" s="340"/>
      <c r="AB513" s="340"/>
      <c r="AC513" s="340"/>
      <c r="AD513" s="340"/>
      <c r="AL513" s="308"/>
    </row>
    <row r="514" spans="1:38" ht="26.25" customHeight="1" x14ac:dyDescent="0.2">
      <c r="A514" s="841" t="s">
        <v>555</v>
      </c>
      <c r="B514" s="842"/>
      <c r="C514" s="842"/>
      <c r="D514" s="842"/>
      <c r="E514" s="842"/>
      <c r="F514" s="842"/>
      <c r="G514" s="842"/>
      <c r="H514" s="842"/>
      <c r="I514" s="842"/>
      <c r="J514" s="842"/>
      <c r="K514" s="842"/>
      <c r="L514" s="842"/>
      <c r="M514" s="842"/>
      <c r="N514" s="842"/>
      <c r="O514" s="842"/>
      <c r="P514" s="842"/>
      <c r="Q514" s="843"/>
      <c r="S514" s="336" t="str">
        <f>IF(ISBLANK(A515),"",A515)</f>
        <v/>
      </c>
      <c r="T514" s="337" t="s">
        <v>556</v>
      </c>
      <c r="W514" s="322"/>
      <c r="X514" s="322"/>
      <c r="Y514" s="322"/>
      <c r="Z514" s="322"/>
      <c r="AA514" s="340"/>
      <c r="AB514" s="340"/>
      <c r="AC514" s="340"/>
      <c r="AD514" s="286"/>
      <c r="AL514" s="308"/>
    </row>
    <row r="515" spans="1:38" ht="26.25" customHeight="1" x14ac:dyDescent="0.25">
      <c r="A515" s="844"/>
      <c r="B515" s="845"/>
      <c r="C515" s="845"/>
      <c r="D515" s="845"/>
      <c r="E515" s="845"/>
      <c r="F515" s="845"/>
      <c r="G515" s="845"/>
      <c r="H515" s="845"/>
      <c r="I515" s="845"/>
      <c r="J515" s="845"/>
      <c r="K515" s="845"/>
      <c r="L515" s="845"/>
      <c r="M515" s="845"/>
      <c r="N515" s="845"/>
      <c r="O515" s="845"/>
      <c r="P515" s="845"/>
      <c r="Q515" s="846"/>
      <c r="W515" s="322"/>
      <c r="X515" s="332"/>
      <c r="Y515" s="332"/>
      <c r="Z515" s="332"/>
      <c r="AA515" s="293"/>
      <c r="AB515" s="293"/>
      <c r="AC515" s="293"/>
      <c r="AD515" s="328"/>
      <c r="AL515" s="308"/>
    </row>
    <row r="516" spans="1:38" ht="26.25" customHeight="1" thickBot="1" x14ac:dyDescent="0.25">
      <c r="A516" s="847"/>
      <c r="B516" s="848"/>
      <c r="C516" s="848"/>
      <c r="D516" s="848"/>
      <c r="E516" s="848"/>
      <c r="F516" s="848"/>
      <c r="G516" s="848"/>
      <c r="H516" s="848"/>
      <c r="I516" s="848"/>
      <c r="J516" s="848"/>
      <c r="K516" s="848"/>
      <c r="L516" s="848"/>
      <c r="M516" s="848"/>
      <c r="N516" s="848"/>
      <c r="O516" s="848"/>
      <c r="P516" s="848"/>
      <c r="Q516" s="849"/>
      <c r="R516" s="286"/>
      <c r="S516" s="286"/>
      <c r="T516" s="286"/>
      <c r="U516" s="286"/>
      <c r="V516" s="286"/>
      <c r="W516" s="322"/>
      <c r="X516" s="320"/>
      <c r="Y516" s="320"/>
      <c r="Z516" s="320"/>
      <c r="AA516" s="322"/>
      <c r="AB516" s="322"/>
      <c r="AC516" s="322"/>
      <c r="AD516" s="340"/>
      <c r="AL516" s="308"/>
    </row>
    <row r="517" spans="1:38" ht="26.25" customHeight="1" x14ac:dyDescent="0.25">
      <c r="A517" s="850" t="s">
        <v>482</v>
      </c>
      <c r="B517" s="851"/>
      <c r="C517" s="851"/>
      <c r="D517" s="851"/>
      <c r="E517" s="851"/>
      <c r="F517" s="851"/>
      <c r="G517" s="851"/>
      <c r="H517" s="851"/>
      <c r="I517" s="851"/>
      <c r="J517" s="851"/>
      <c r="K517" s="851"/>
      <c r="L517" s="851"/>
      <c r="M517" s="851"/>
      <c r="N517" s="851"/>
      <c r="O517" s="851"/>
      <c r="P517" s="851"/>
      <c r="Q517" s="852"/>
      <c r="R517" s="334"/>
      <c r="S517" s="341"/>
      <c r="T517" s="342"/>
      <c r="U517" s="334"/>
      <c r="V517" s="334"/>
      <c r="W517" s="322"/>
      <c r="X517" s="322"/>
      <c r="Y517" s="322"/>
      <c r="Z517" s="322"/>
      <c r="AA517" s="322"/>
      <c r="AB517" s="322"/>
      <c r="AC517" s="322"/>
      <c r="AD517" s="328"/>
      <c r="AL517" s="266"/>
    </row>
    <row r="518" spans="1:38" ht="26.25" customHeight="1" x14ac:dyDescent="0.25">
      <c r="A518" s="853"/>
      <c r="B518" s="854"/>
      <c r="C518" s="854"/>
      <c r="D518" s="854"/>
      <c r="E518" s="854"/>
      <c r="F518" s="854"/>
      <c r="G518" s="854"/>
      <c r="H518" s="854"/>
      <c r="I518" s="854"/>
      <c r="J518" s="854"/>
      <c r="K518" s="854"/>
      <c r="L518" s="854"/>
      <c r="M518" s="854"/>
      <c r="N518" s="854"/>
      <c r="O518" s="854"/>
      <c r="P518" s="854"/>
      <c r="Q518" s="855"/>
      <c r="R518" s="186"/>
      <c r="S518" s="343" t="str">
        <f>IF(ISBLANK(A518),"",CONCATENATE(S517,A518))</f>
        <v/>
      </c>
      <c r="T518" s="289" t="s">
        <v>37</v>
      </c>
      <c r="U518" s="186"/>
      <c r="V518" s="186"/>
      <c r="W518" s="322"/>
      <c r="X518" s="322"/>
      <c r="Y518" s="322"/>
      <c r="Z518" s="322"/>
      <c r="AA518" s="322"/>
      <c r="AB518" s="322"/>
      <c r="AC518" s="322"/>
      <c r="AD518" s="328"/>
    </row>
    <row r="519" spans="1:38" ht="26.25" customHeight="1" thickBot="1" x14ac:dyDescent="0.3">
      <c r="A519" s="856"/>
      <c r="B519" s="857"/>
      <c r="C519" s="857"/>
      <c r="D519" s="857"/>
      <c r="E519" s="857"/>
      <c r="F519" s="857"/>
      <c r="G519" s="857"/>
      <c r="H519" s="857"/>
      <c r="I519" s="857"/>
      <c r="J519" s="857"/>
      <c r="K519" s="857"/>
      <c r="L519" s="857"/>
      <c r="M519" s="857"/>
      <c r="N519" s="857"/>
      <c r="O519" s="857"/>
      <c r="P519" s="857"/>
      <c r="Q519" s="858"/>
      <c r="R519" s="186"/>
      <c r="S519" s="340"/>
      <c r="T519" s="340"/>
      <c r="U519" s="340"/>
      <c r="V519" s="340"/>
      <c r="W519" s="332"/>
      <c r="X519" s="322"/>
      <c r="Y519" s="322"/>
      <c r="Z519" s="322"/>
      <c r="AA519" s="322"/>
      <c r="AB519" s="322"/>
      <c r="AC519" s="322"/>
      <c r="AD519" s="328"/>
    </row>
    <row r="520" spans="1:38" ht="26.25" customHeight="1" x14ac:dyDescent="0.25">
      <c r="A520" s="286"/>
      <c r="B520" s="286"/>
      <c r="C520" s="286"/>
      <c r="D520" s="286"/>
      <c r="E520" s="286"/>
      <c r="F520" s="286"/>
      <c r="G520" s="286"/>
      <c r="H520" s="286"/>
      <c r="I520" s="286"/>
      <c r="J520" s="286"/>
      <c r="K520" s="286"/>
      <c r="L520" s="286"/>
      <c r="M520" s="286"/>
      <c r="N520" s="286"/>
      <c r="O520" s="286"/>
      <c r="P520" s="286"/>
      <c r="Q520" s="286"/>
      <c r="R520" s="286"/>
      <c r="S520" s="286"/>
      <c r="T520" s="286"/>
      <c r="U520" s="286"/>
      <c r="V520" s="286"/>
      <c r="W520" s="320"/>
      <c r="X520" s="322"/>
      <c r="Y520" s="322"/>
      <c r="Z520" s="322"/>
      <c r="AA520" s="322"/>
      <c r="AB520" s="322"/>
      <c r="AC520" s="322"/>
      <c r="AD520" s="328"/>
    </row>
    <row r="521" spans="1:38" ht="26.25" customHeight="1" x14ac:dyDescent="0.25">
      <c r="A521" s="286"/>
      <c r="B521" s="286"/>
      <c r="C521" s="286"/>
      <c r="D521" s="286"/>
      <c r="E521" s="286"/>
      <c r="F521" s="286"/>
      <c r="G521" s="286"/>
      <c r="H521" s="286"/>
      <c r="I521" s="286"/>
      <c r="J521" s="286"/>
      <c r="K521" s="286"/>
      <c r="L521" s="286"/>
      <c r="M521" s="286"/>
      <c r="N521" s="286"/>
      <c r="O521" s="286"/>
      <c r="P521" s="286"/>
      <c r="Q521" s="286"/>
      <c r="R521" s="286"/>
      <c r="S521" s="286"/>
      <c r="T521" s="286"/>
      <c r="U521" s="286"/>
      <c r="V521" s="286"/>
      <c r="W521" s="322"/>
      <c r="X521" s="322"/>
      <c r="Y521" s="322"/>
      <c r="Z521" s="322"/>
      <c r="AA521" s="322"/>
      <c r="AB521" s="322"/>
      <c r="AC521" s="322"/>
      <c r="AD521" s="328"/>
    </row>
    <row r="522" spans="1:38" ht="26.25" customHeight="1" x14ac:dyDescent="0.25">
      <c r="A522" s="286"/>
      <c r="B522" s="286"/>
      <c r="C522" s="286"/>
      <c r="D522" s="286"/>
      <c r="E522" s="286"/>
      <c r="F522" s="286"/>
      <c r="G522" s="286"/>
      <c r="H522" s="286"/>
      <c r="I522" s="286"/>
      <c r="J522" s="286"/>
      <c r="K522" s="286"/>
      <c r="L522" s="286"/>
      <c r="M522" s="286"/>
      <c r="N522" s="286"/>
      <c r="O522" s="286"/>
      <c r="P522" s="286"/>
      <c r="Q522" s="286"/>
      <c r="R522" s="286"/>
      <c r="S522" s="286"/>
      <c r="T522" s="286"/>
      <c r="U522" s="286"/>
      <c r="V522" s="286"/>
      <c r="W522" s="322"/>
      <c r="X522" s="322"/>
      <c r="Y522" s="322"/>
      <c r="Z522" s="322"/>
      <c r="AA522" s="322"/>
      <c r="AB522" s="322"/>
      <c r="AC522" s="322"/>
      <c r="AD522" s="328"/>
    </row>
    <row r="523" spans="1:38" ht="51.75" customHeight="1" x14ac:dyDescent="0.25">
      <c r="A523" s="286"/>
      <c r="B523" s="286"/>
      <c r="C523" s="286"/>
      <c r="D523" s="286"/>
      <c r="E523" s="286"/>
      <c r="F523" s="286"/>
      <c r="G523" s="286"/>
      <c r="H523" s="286"/>
      <c r="I523" s="286"/>
      <c r="J523" s="286"/>
      <c r="K523" s="286"/>
      <c r="L523" s="286"/>
      <c r="M523" s="286"/>
      <c r="N523" s="286"/>
      <c r="O523" s="286"/>
      <c r="P523" s="286"/>
      <c r="Q523" s="286"/>
      <c r="R523" s="286"/>
      <c r="S523" s="286"/>
      <c r="T523" s="286"/>
      <c r="U523" s="286"/>
      <c r="V523" s="286"/>
      <c r="W523" s="322"/>
      <c r="X523" s="322"/>
      <c r="Y523" s="322"/>
      <c r="Z523" s="322"/>
      <c r="AA523" s="322"/>
      <c r="AB523" s="322"/>
      <c r="AC523" s="322"/>
      <c r="AD523" s="328"/>
    </row>
    <row r="524" spans="1:38" ht="26.25" customHeight="1" x14ac:dyDescent="0.25">
      <c r="A524" s="286"/>
      <c r="B524" s="286"/>
      <c r="C524" s="286"/>
      <c r="D524" s="286"/>
      <c r="E524" s="286"/>
      <c r="F524" s="286"/>
      <c r="G524" s="286"/>
      <c r="H524" s="286"/>
      <c r="I524" s="286"/>
      <c r="J524" s="286"/>
      <c r="K524" s="286"/>
      <c r="L524" s="286"/>
      <c r="M524" s="286"/>
      <c r="N524" s="286"/>
      <c r="O524" s="286"/>
      <c r="P524" s="286"/>
      <c r="Q524" s="286"/>
      <c r="R524" s="286"/>
      <c r="S524" s="286"/>
      <c r="T524" s="286"/>
      <c r="U524" s="286"/>
      <c r="V524" s="286"/>
      <c r="W524" s="322"/>
      <c r="X524" s="322"/>
      <c r="Y524" s="322"/>
      <c r="Z524" s="322"/>
      <c r="AA524" s="322"/>
      <c r="AB524" s="322"/>
      <c r="AC524" s="322"/>
      <c r="AD524" s="328"/>
    </row>
    <row r="525" spans="1:38" ht="26.25" customHeight="1" x14ac:dyDescent="0.25">
      <c r="A525" s="286"/>
      <c r="B525" s="286"/>
      <c r="C525" s="286"/>
      <c r="D525" s="286"/>
      <c r="E525" s="286"/>
      <c r="F525" s="286"/>
      <c r="G525" s="286"/>
      <c r="H525" s="286"/>
      <c r="I525" s="286"/>
      <c r="J525" s="286"/>
      <c r="K525" s="286"/>
      <c r="L525" s="286"/>
      <c r="M525" s="286"/>
      <c r="N525" s="286"/>
      <c r="O525" s="286"/>
      <c r="P525" s="286"/>
      <c r="Q525" s="286"/>
      <c r="R525" s="286"/>
      <c r="S525" s="286"/>
      <c r="T525" s="286"/>
      <c r="U525" s="286"/>
      <c r="V525" s="286"/>
      <c r="W525" s="322"/>
      <c r="X525" s="322"/>
      <c r="Y525" s="322"/>
      <c r="Z525" s="322"/>
      <c r="AA525" s="340"/>
      <c r="AB525" s="340"/>
      <c r="AC525" s="340"/>
      <c r="AD525" s="328"/>
    </row>
    <row r="526" spans="1:38" ht="26.25" customHeight="1" x14ac:dyDescent="0.25">
      <c r="A526" s="286"/>
      <c r="B526" s="286"/>
      <c r="C526" s="286"/>
      <c r="D526" s="286"/>
      <c r="E526" s="286"/>
      <c r="F526" s="286"/>
      <c r="G526" s="286"/>
      <c r="H526" s="286"/>
      <c r="I526" s="286"/>
      <c r="J526" s="286"/>
      <c r="K526" s="286"/>
      <c r="L526" s="286"/>
      <c r="M526" s="286"/>
      <c r="N526" s="286"/>
      <c r="O526" s="286"/>
      <c r="P526" s="286"/>
      <c r="Q526" s="286"/>
      <c r="R526" s="286"/>
      <c r="S526" s="286"/>
      <c r="T526" s="286"/>
      <c r="U526" s="286"/>
      <c r="V526" s="286"/>
      <c r="W526" s="322"/>
      <c r="X526" s="340"/>
      <c r="Y526" s="340"/>
      <c r="Z526" s="340"/>
      <c r="AA526" s="320"/>
      <c r="AB526" s="320"/>
      <c r="AC526" s="320"/>
      <c r="AD526" s="328"/>
    </row>
    <row r="527" spans="1:38" ht="26.25" customHeight="1" x14ac:dyDescent="0.2">
      <c r="A527" s="286"/>
      <c r="B527" s="286"/>
      <c r="C527" s="286"/>
      <c r="D527" s="286"/>
      <c r="E527" s="286"/>
      <c r="F527" s="286"/>
      <c r="G527" s="286"/>
      <c r="H527" s="286"/>
      <c r="I527" s="286"/>
      <c r="J527" s="286"/>
      <c r="K527" s="286"/>
      <c r="L527" s="286"/>
      <c r="M527" s="286"/>
      <c r="N527" s="286"/>
      <c r="O527" s="286"/>
      <c r="P527" s="286"/>
      <c r="Q527" s="286"/>
      <c r="R527" s="286"/>
      <c r="S527" s="286"/>
      <c r="T527" s="286"/>
      <c r="U527" s="286"/>
      <c r="V527" s="286"/>
      <c r="W527" s="322"/>
      <c r="X527" s="324"/>
      <c r="Y527" s="324"/>
      <c r="Z527" s="324"/>
      <c r="AA527" s="322"/>
      <c r="AB527" s="322"/>
      <c r="AC527" s="322"/>
      <c r="AD527" s="340"/>
    </row>
    <row r="528" spans="1:38" ht="26.25" customHeight="1" x14ac:dyDescent="0.25">
      <c r="A528" s="286"/>
      <c r="B528" s="286"/>
      <c r="C528" s="286"/>
      <c r="D528" s="286"/>
      <c r="E528" s="286"/>
      <c r="F528" s="286"/>
      <c r="G528" s="286"/>
      <c r="H528" s="286"/>
      <c r="I528" s="286"/>
      <c r="J528" s="286"/>
      <c r="K528" s="286"/>
      <c r="L528" s="286"/>
      <c r="M528" s="286"/>
      <c r="N528" s="286"/>
      <c r="O528" s="286"/>
      <c r="P528" s="286"/>
      <c r="Q528" s="286"/>
      <c r="R528" s="286"/>
      <c r="S528" s="286"/>
      <c r="T528" s="286"/>
      <c r="U528" s="286"/>
      <c r="V528" s="286"/>
      <c r="W528" s="322"/>
      <c r="X528" s="322"/>
      <c r="Y528" s="322"/>
      <c r="Z528" s="322"/>
      <c r="AA528" s="322"/>
      <c r="AB528" s="322"/>
      <c r="AC528" s="322"/>
      <c r="AD528" s="328"/>
    </row>
    <row r="529" spans="1:30" ht="26.25" customHeight="1" x14ac:dyDescent="0.25">
      <c r="A529" s="286"/>
      <c r="B529" s="286"/>
      <c r="C529" s="286"/>
      <c r="D529" s="286"/>
      <c r="E529" s="286"/>
      <c r="F529" s="286"/>
      <c r="G529" s="286"/>
      <c r="H529" s="286"/>
      <c r="I529" s="286"/>
      <c r="J529" s="286"/>
      <c r="K529" s="286"/>
      <c r="L529" s="286"/>
      <c r="M529" s="286"/>
      <c r="N529" s="286"/>
      <c r="O529" s="286"/>
      <c r="P529" s="286"/>
      <c r="Q529" s="286"/>
      <c r="R529" s="286"/>
      <c r="S529" s="286"/>
      <c r="T529" s="286"/>
      <c r="U529" s="286"/>
      <c r="V529" s="286"/>
      <c r="W529" s="322"/>
      <c r="X529" s="322"/>
      <c r="Y529" s="322"/>
      <c r="Z529" s="322"/>
      <c r="AA529" s="322"/>
      <c r="AB529" s="322"/>
      <c r="AC529" s="322"/>
      <c r="AD529" s="328"/>
    </row>
    <row r="530" spans="1:30" ht="26.25" customHeight="1" x14ac:dyDescent="0.25">
      <c r="A530" s="286"/>
      <c r="B530" s="286"/>
      <c r="C530" s="286"/>
      <c r="D530" s="286"/>
      <c r="E530" s="286"/>
      <c r="F530" s="286"/>
      <c r="G530" s="286"/>
      <c r="H530" s="286"/>
      <c r="I530" s="286"/>
      <c r="J530" s="286"/>
      <c r="K530" s="286"/>
      <c r="L530" s="286"/>
      <c r="M530" s="286"/>
      <c r="N530" s="286"/>
      <c r="O530" s="286"/>
      <c r="P530" s="286"/>
      <c r="Q530" s="286"/>
      <c r="R530" s="286"/>
      <c r="S530" s="286"/>
      <c r="T530" s="286"/>
      <c r="U530" s="286"/>
      <c r="V530" s="286"/>
      <c r="W530" s="340"/>
      <c r="X530" s="322"/>
      <c r="Y530" s="322"/>
      <c r="Z530" s="322"/>
      <c r="AA530" s="322"/>
      <c r="AB530" s="322"/>
      <c r="AC530" s="322"/>
      <c r="AD530" s="328"/>
    </row>
    <row r="531" spans="1:30" ht="26.25" customHeight="1" x14ac:dyDescent="0.25">
      <c r="A531" s="286"/>
      <c r="B531" s="286"/>
      <c r="C531" s="286"/>
      <c r="D531" s="286"/>
      <c r="E531" s="286"/>
      <c r="F531" s="286"/>
      <c r="G531" s="286"/>
      <c r="H531" s="286"/>
      <c r="I531" s="286"/>
      <c r="J531" s="286"/>
      <c r="K531" s="286"/>
      <c r="L531" s="286"/>
      <c r="M531" s="286"/>
      <c r="N531" s="286"/>
      <c r="O531" s="286"/>
      <c r="P531" s="286"/>
      <c r="Q531" s="286"/>
      <c r="R531" s="286"/>
      <c r="S531" s="286"/>
      <c r="T531" s="286"/>
      <c r="U531" s="286"/>
      <c r="V531" s="286"/>
      <c r="W531" s="324"/>
      <c r="X531" s="322"/>
      <c r="Y531" s="322"/>
      <c r="Z531" s="322"/>
      <c r="AA531" s="322"/>
      <c r="AB531" s="322"/>
      <c r="AC531" s="322"/>
      <c r="AD531" s="328"/>
    </row>
    <row r="532" spans="1:30" ht="26.25" customHeight="1" x14ac:dyDescent="0.25">
      <c r="A532" s="286"/>
      <c r="B532" s="286"/>
      <c r="C532" s="286"/>
      <c r="D532" s="286"/>
      <c r="E532" s="286"/>
      <c r="F532" s="286"/>
      <c r="G532" s="286"/>
      <c r="H532" s="286"/>
      <c r="I532" s="286"/>
      <c r="J532" s="286"/>
      <c r="K532" s="286"/>
      <c r="L532" s="286"/>
      <c r="M532" s="286"/>
      <c r="N532" s="286"/>
      <c r="O532" s="286"/>
      <c r="P532" s="286"/>
      <c r="Q532" s="286"/>
      <c r="R532" s="286"/>
      <c r="S532" s="286"/>
      <c r="T532" s="286"/>
      <c r="U532" s="286"/>
      <c r="V532" s="286"/>
      <c r="W532" s="322"/>
      <c r="X532" s="322"/>
      <c r="Y532" s="322"/>
      <c r="Z532" s="322"/>
      <c r="AA532" s="322"/>
      <c r="AB532" s="322"/>
      <c r="AC532" s="322"/>
      <c r="AD532" s="328"/>
    </row>
    <row r="533" spans="1:30" ht="26.25" customHeight="1" x14ac:dyDescent="0.25">
      <c r="A533" s="286"/>
      <c r="B533" s="286"/>
      <c r="C533" s="286"/>
      <c r="D533" s="286"/>
      <c r="E533" s="286"/>
      <c r="F533" s="286"/>
      <c r="G533" s="286"/>
      <c r="H533" s="286"/>
      <c r="I533" s="286"/>
      <c r="J533" s="286"/>
      <c r="K533" s="286"/>
      <c r="L533" s="286"/>
      <c r="M533" s="286"/>
      <c r="N533" s="286"/>
      <c r="O533" s="286"/>
      <c r="P533" s="286"/>
      <c r="Q533" s="286"/>
      <c r="R533" s="286"/>
      <c r="S533" s="286"/>
      <c r="T533" s="286"/>
      <c r="U533" s="286"/>
      <c r="V533" s="286"/>
      <c r="W533" s="322"/>
      <c r="X533" s="322"/>
      <c r="Y533" s="322"/>
      <c r="Z533" s="322"/>
      <c r="AA533" s="322"/>
      <c r="AB533" s="322"/>
      <c r="AC533" s="322"/>
      <c r="AD533" s="328"/>
    </row>
    <row r="534" spans="1:30" ht="26.25" customHeight="1" x14ac:dyDescent="0.25">
      <c r="A534" s="286"/>
      <c r="B534" s="286"/>
      <c r="C534" s="286"/>
      <c r="D534" s="286"/>
      <c r="E534" s="286"/>
      <c r="F534" s="286"/>
      <c r="G534" s="286"/>
      <c r="H534" s="286"/>
      <c r="I534" s="286"/>
      <c r="J534" s="286"/>
      <c r="K534" s="286"/>
      <c r="L534" s="286"/>
      <c r="M534" s="286"/>
      <c r="N534" s="286"/>
      <c r="O534" s="286"/>
      <c r="P534" s="286"/>
      <c r="Q534" s="286"/>
      <c r="R534" s="286"/>
      <c r="S534" s="286"/>
      <c r="T534" s="286"/>
      <c r="U534" s="286"/>
      <c r="V534" s="286"/>
      <c r="W534" s="322"/>
      <c r="X534" s="322"/>
      <c r="Y534" s="322"/>
      <c r="Z534" s="322"/>
      <c r="AA534" s="322"/>
      <c r="AB534" s="322"/>
      <c r="AC534" s="322"/>
      <c r="AD534" s="328"/>
    </row>
    <row r="535" spans="1:30" ht="26.25" customHeight="1" x14ac:dyDescent="0.25">
      <c r="A535" s="286"/>
      <c r="B535" s="286"/>
      <c r="C535" s="286"/>
      <c r="D535" s="286"/>
      <c r="E535" s="286"/>
      <c r="F535" s="286"/>
      <c r="G535" s="286"/>
      <c r="H535" s="286"/>
      <c r="I535" s="286"/>
      <c r="J535" s="286"/>
      <c r="K535" s="286"/>
      <c r="L535" s="286"/>
      <c r="M535" s="286"/>
      <c r="N535" s="286"/>
      <c r="O535" s="286"/>
      <c r="P535" s="286"/>
      <c r="Q535" s="286"/>
      <c r="R535" s="286"/>
      <c r="S535" s="286"/>
      <c r="T535" s="286"/>
      <c r="U535" s="286"/>
      <c r="V535" s="286"/>
      <c r="W535" s="322"/>
      <c r="X535" s="322"/>
      <c r="Y535" s="322"/>
      <c r="Z535" s="322"/>
      <c r="AA535" s="322"/>
      <c r="AB535" s="322"/>
      <c r="AC535" s="322"/>
      <c r="AD535" s="328"/>
    </row>
    <row r="536" spans="1:30" ht="26.25" customHeight="1" x14ac:dyDescent="0.25">
      <c r="A536" s="286"/>
      <c r="B536" s="286"/>
      <c r="C536" s="286"/>
      <c r="D536" s="286"/>
      <c r="E536" s="286"/>
      <c r="F536" s="286"/>
      <c r="G536" s="286"/>
      <c r="H536" s="286"/>
      <c r="I536" s="286"/>
      <c r="J536" s="286"/>
      <c r="K536" s="286"/>
      <c r="L536" s="286"/>
      <c r="M536" s="286"/>
      <c r="N536" s="286"/>
      <c r="O536" s="286"/>
      <c r="P536" s="286"/>
      <c r="Q536" s="286"/>
      <c r="R536" s="286"/>
      <c r="S536" s="286"/>
      <c r="T536" s="286"/>
      <c r="U536" s="286"/>
      <c r="V536" s="286"/>
      <c r="W536" s="322"/>
      <c r="X536" s="322"/>
      <c r="Y536" s="322"/>
      <c r="Z536" s="322"/>
      <c r="AA536" s="332"/>
      <c r="AB536" s="332"/>
      <c r="AC536" s="332"/>
      <c r="AD536" s="328"/>
    </row>
    <row r="537" spans="1:30" ht="26.25" customHeight="1" x14ac:dyDescent="0.25">
      <c r="A537" s="286"/>
      <c r="B537" s="286"/>
      <c r="C537" s="286"/>
      <c r="D537" s="286"/>
      <c r="E537" s="286"/>
      <c r="F537" s="286"/>
      <c r="G537" s="286"/>
      <c r="H537" s="286"/>
      <c r="I537" s="286"/>
      <c r="J537" s="286"/>
      <c r="K537" s="286"/>
      <c r="L537" s="286"/>
      <c r="M537" s="286"/>
      <c r="N537" s="286"/>
      <c r="O537" s="286"/>
      <c r="P537" s="286"/>
      <c r="Q537" s="286"/>
      <c r="R537" s="286"/>
      <c r="S537" s="286"/>
      <c r="T537" s="286"/>
      <c r="U537" s="286"/>
      <c r="V537" s="286"/>
      <c r="W537" s="322"/>
      <c r="X537" s="340"/>
      <c r="Y537" s="340"/>
      <c r="Z537" s="340"/>
      <c r="AA537" s="320"/>
      <c r="AB537" s="320"/>
      <c r="AC537" s="320"/>
      <c r="AD537" s="328"/>
    </row>
    <row r="538" spans="1:30" ht="26.25" customHeight="1" x14ac:dyDescent="0.2">
      <c r="A538" s="286"/>
      <c r="B538" s="286"/>
      <c r="C538" s="286"/>
      <c r="D538" s="286"/>
      <c r="E538" s="286"/>
      <c r="F538" s="286"/>
      <c r="G538" s="286"/>
      <c r="H538" s="286"/>
      <c r="I538" s="286"/>
      <c r="J538" s="286"/>
      <c r="K538" s="286"/>
      <c r="L538" s="286"/>
      <c r="M538" s="286"/>
      <c r="N538" s="286"/>
      <c r="O538" s="286"/>
      <c r="P538" s="286"/>
      <c r="Q538" s="286"/>
      <c r="R538" s="286"/>
      <c r="S538" s="286"/>
      <c r="T538" s="286"/>
      <c r="U538" s="286"/>
      <c r="V538" s="286"/>
      <c r="W538" s="322"/>
      <c r="X538" s="320"/>
      <c r="Y538" s="320"/>
      <c r="Z538" s="320"/>
      <c r="AA538" s="322"/>
      <c r="AB538" s="322"/>
      <c r="AC538" s="322"/>
      <c r="AD538" s="340"/>
    </row>
    <row r="539" spans="1:30" ht="26.25" customHeight="1" x14ac:dyDescent="0.25">
      <c r="A539" s="286"/>
      <c r="B539" s="286"/>
      <c r="C539" s="286"/>
      <c r="D539" s="286"/>
      <c r="E539" s="286"/>
      <c r="F539" s="286"/>
      <c r="G539" s="286"/>
      <c r="H539" s="286"/>
      <c r="I539" s="286"/>
      <c r="J539" s="286"/>
      <c r="K539" s="286"/>
      <c r="L539" s="286"/>
      <c r="M539" s="286"/>
      <c r="N539" s="286"/>
      <c r="O539" s="286"/>
      <c r="P539" s="286"/>
      <c r="Q539" s="286"/>
      <c r="R539" s="286"/>
      <c r="S539" s="286"/>
      <c r="T539" s="286"/>
      <c r="U539" s="286"/>
      <c r="V539" s="286"/>
      <c r="W539" s="322"/>
      <c r="X539" s="322"/>
      <c r="Y539" s="322"/>
      <c r="Z539" s="322"/>
      <c r="AA539" s="322"/>
      <c r="AB539" s="322"/>
      <c r="AC539" s="322"/>
      <c r="AD539" s="328"/>
    </row>
    <row r="540" spans="1:30" ht="26.25" customHeight="1" x14ac:dyDescent="0.25">
      <c r="A540" s="286"/>
      <c r="B540" s="286"/>
      <c r="C540" s="286"/>
      <c r="D540" s="286"/>
      <c r="E540" s="286"/>
      <c r="F540" s="286"/>
      <c r="G540" s="286"/>
      <c r="H540" s="286"/>
      <c r="I540" s="286"/>
      <c r="J540" s="286"/>
      <c r="K540" s="286"/>
      <c r="L540" s="286"/>
      <c r="M540" s="286"/>
      <c r="N540" s="286"/>
      <c r="O540" s="286"/>
      <c r="P540" s="286"/>
      <c r="Q540" s="286"/>
      <c r="R540" s="286"/>
      <c r="S540" s="286"/>
      <c r="T540" s="286"/>
      <c r="U540" s="286"/>
      <c r="V540" s="286"/>
      <c r="W540" s="322"/>
      <c r="X540" s="322"/>
      <c r="Y540" s="322"/>
      <c r="Z540" s="322"/>
      <c r="AA540" s="322"/>
      <c r="AB540" s="322"/>
      <c r="AC540" s="322"/>
      <c r="AD540" s="328"/>
    </row>
    <row r="541" spans="1:30" ht="26.25" customHeight="1" x14ac:dyDescent="0.2">
      <c r="A541" s="286"/>
      <c r="B541" s="286"/>
      <c r="C541" s="286"/>
      <c r="D541" s="286"/>
      <c r="E541" s="286"/>
      <c r="F541" s="286"/>
      <c r="G541" s="286"/>
      <c r="H541" s="286"/>
      <c r="I541" s="286"/>
      <c r="J541" s="286"/>
      <c r="K541" s="286"/>
      <c r="L541" s="286"/>
      <c r="M541" s="286"/>
      <c r="N541" s="286"/>
      <c r="O541" s="286"/>
      <c r="P541" s="286"/>
      <c r="Q541" s="286"/>
      <c r="R541" s="286"/>
      <c r="S541" s="286"/>
      <c r="T541" s="286"/>
      <c r="U541" s="286"/>
      <c r="V541" s="286"/>
      <c r="W541" s="340"/>
      <c r="X541" s="322"/>
      <c r="Y541" s="322"/>
      <c r="Z541" s="322"/>
      <c r="AA541" s="322"/>
      <c r="AB541" s="322"/>
      <c r="AC541" s="322"/>
      <c r="AD541" s="340"/>
    </row>
    <row r="542" spans="1:30" ht="26.25" customHeight="1" x14ac:dyDescent="0.2">
      <c r="A542" s="286"/>
      <c r="B542" s="286"/>
      <c r="C542" s="286"/>
      <c r="D542" s="286"/>
      <c r="E542" s="286"/>
      <c r="F542" s="286"/>
      <c r="G542" s="286"/>
      <c r="H542" s="286"/>
      <c r="I542" s="286"/>
      <c r="J542" s="286"/>
      <c r="K542" s="286"/>
      <c r="L542" s="286"/>
      <c r="M542" s="286"/>
      <c r="N542" s="286"/>
      <c r="O542" s="286"/>
      <c r="P542" s="286"/>
      <c r="Q542" s="286"/>
      <c r="R542" s="286"/>
      <c r="S542" s="286"/>
      <c r="T542" s="286"/>
      <c r="U542" s="286"/>
      <c r="V542" s="286"/>
      <c r="W542" s="320"/>
      <c r="X542" s="322"/>
      <c r="Y542" s="322"/>
      <c r="Z542" s="322"/>
      <c r="AA542" s="322"/>
      <c r="AB542" s="322"/>
      <c r="AC542" s="322"/>
      <c r="AD542" s="340"/>
    </row>
    <row r="543" spans="1:30" ht="26.25" customHeight="1" x14ac:dyDescent="0.2">
      <c r="A543" s="286"/>
      <c r="B543" s="286"/>
      <c r="C543" s="286"/>
      <c r="D543" s="286"/>
      <c r="E543" s="286"/>
      <c r="F543" s="286"/>
      <c r="G543" s="286"/>
      <c r="H543" s="286"/>
      <c r="I543" s="286"/>
      <c r="J543" s="286"/>
      <c r="K543" s="286"/>
      <c r="L543" s="286"/>
      <c r="M543" s="286"/>
      <c r="N543" s="286"/>
      <c r="O543" s="286"/>
      <c r="P543" s="286"/>
      <c r="Q543" s="286"/>
      <c r="R543" s="286"/>
      <c r="S543" s="286"/>
      <c r="T543" s="286"/>
      <c r="U543" s="286"/>
      <c r="V543" s="286"/>
      <c r="W543" s="322"/>
      <c r="X543" s="322"/>
      <c r="Y543" s="322"/>
      <c r="Z543" s="322"/>
      <c r="AA543" s="322"/>
      <c r="AB543" s="322"/>
      <c r="AC543" s="322"/>
      <c r="AD543" s="340"/>
    </row>
    <row r="544" spans="1:30" ht="26.25" customHeight="1" x14ac:dyDescent="0.2">
      <c r="A544" s="286"/>
      <c r="B544" s="286"/>
      <c r="C544" s="286"/>
      <c r="D544" s="286"/>
      <c r="E544" s="286"/>
      <c r="F544" s="286"/>
      <c r="G544" s="286"/>
      <c r="H544" s="286"/>
      <c r="I544" s="286"/>
      <c r="J544" s="286"/>
      <c r="K544" s="286"/>
      <c r="L544" s="286"/>
      <c r="M544" s="286"/>
      <c r="N544" s="286"/>
      <c r="O544" s="286"/>
      <c r="P544" s="286"/>
      <c r="Q544" s="286"/>
      <c r="R544" s="286"/>
      <c r="S544" s="286"/>
      <c r="T544" s="286"/>
      <c r="U544" s="286"/>
      <c r="V544" s="286"/>
      <c r="W544" s="322"/>
      <c r="X544" s="322"/>
      <c r="Y544" s="322"/>
      <c r="Z544" s="322"/>
      <c r="AA544" s="322"/>
      <c r="AB544" s="322"/>
      <c r="AC544" s="322"/>
      <c r="AD544" s="340"/>
    </row>
    <row r="545" spans="1:30" ht="26.25" customHeight="1" x14ac:dyDescent="0.2">
      <c r="A545" s="286"/>
      <c r="B545" s="286"/>
      <c r="C545" s="286"/>
      <c r="D545" s="286"/>
      <c r="E545" s="286"/>
      <c r="F545" s="286"/>
      <c r="G545" s="286"/>
      <c r="H545" s="286"/>
      <c r="I545" s="286"/>
      <c r="J545" s="286"/>
      <c r="K545" s="286"/>
      <c r="L545" s="286"/>
      <c r="M545" s="286"/>
      <c r="N545" s="286"/>
      <c r="O545" s="286"/>
      <c r="P545" s="286"/>
      <c r="Q545" s="286"/>
      <c r="R545" s="286"/>
      <c r="S545" s="286"/>
      <c r="T545" s="286"/>
      <c r="U545" s="286"/>
      <c r="V545" s="286"/>
      <c r="W545" s="322"/>
      <c r="X545" s="322"/>
      <c r="Y545" s="322"/>
      <c r="Z545" s="322"/>
      <c r="AA545" s="322"/>
      <c r="AB545" s="322"/>
      <c r="AC545" s="322"/>
      <c r="AD545" s="340"/>
    </row>
    <row r="546" spans="1:30" ht="26.25" customHeight="1" x14ac:dyDescent="0.2">
      <c r="A546" s="286"/>
      <c r="B546" s="286"/>
      <c r="C546" s="286"/>
      <c r="D546" s="286"/>
      <c r="E546" s="286"/>
      <c r="F546" s="286"/>
      <c r="G546" s="286"/>
      <c r="H546" s="286"/>
      <c r="I546" s="286"/>
      <c r="J546" s="286"/>
      <c r="K546" s="286"/>
      <c r="L546" s="286"/>
      <c r="M546" s="286"/>
      <c r="N546" s="286"/>
      <c r="O546" s="286"/>
      <c r="P546" s="286"/>
      <c r="Q546" s="286"/>
      <c r="R546" s="286"/>
      <c r="S546" s="286"/>
      <c r="T546" s="286"/>
      <c r="U546" s="286"/>
      <c r="V546" s="286"/>
      <c r="W546" s="322"/>
      <c r="X546" s="322"/>
      <c r="Y546" s="322"/>
      <c r="Z546" s="322"/>
      <c r="AA546" s="322"/>
      <c r="AB546" s="322"/>
      <c r="AC546" s="322"/>
      <c r="AD546" s="340"/>
    </row>
    <row r="547" spans="1:30" ht="26.25" customHeight="1" x14ac:dyDescent="0.2">
      <c r="A547" s="286"/>
      <c r="B547" s="286"/>
      <c r="C547" s="286"/>
      <c r="D547" s="286"/>
      <c r="E547" s="286"/>
      <c r="F547" s="286"/>
      <c r="G547" s="286"/>
      <c r="H547" s="286"/>
      <c r="I547" s="286"/>
      <c r="J547" s="286"/>
      <c r="K547" s="286"/>
      <c r="L547" s="286"/>
      <c r="M547" s="286"/>
      <c r="N547" s="286"/>
      <c r="O547" s="286"/>
      <c r="P547" s="286"/>
      <c r="Q547" s="286"/>
      <c r="R547" s="286"/>
      <c r="S547" s="286"/>
      <c r="T547" s="286"/>
      <c r="U547" s="286"/>
      <c r="V547" s="286"/>
      <c r="W547" s="322"/>
      <c r="X547" s="322"/>
      <c r="Y547" s="322"/>
      <c r="Z547" s="322"/>
      <c r="AA547" s="340"/>
      <c r="AB547" s="340"/>
      <c r="AC547" s="340"/>
      <c r="AD547" s="340"/>
    </row>
    <row r="548" spans="1:30" ht="26.25" customHeight="1" x14ac:dyDescent="0.2">
      <c r="A548" s="286"/>
      <c r="B548" s="286"/>
      <c r="C548" s="286"/>
      <c r="D548" s="286"/>
      <c r="E548" s="286"/>
      <c r="F548" s="286"/>
      <c r="G548" s="286"/>
      <c r="H548" s="286"/>
      <c r="I548" s="286"/>
      <c r="J548" s="286"/>
      <c r="K548" s="286"/>
      <c r="L548" s="286"/>
      <c r="M548" s="286"/>
      <c r="N548" s="286"/>
      <c r="O548" s="286"/>
      <c r="P548" s="286"/>
      <c r="Q548" s="286"/>
      <c r="R548" s="286"/>
      <c r="S548" s="286"/>
      <c r="T548" s="286"/>
      <c r="U548" s="286"/>
      <c r="V548" s="286"/>
      <c r="W548" s="322"/>
      <c r="X548" s="332"/>
      <c r="Y548" s="332"/>
      <c r="Z548" s="332"/>
      <c r="AA548" s="324"/>
      <c r="AB548" s="324"/>
      <c r="AC548" s="324"/>
      <c r="AD548" s="340"/>
    </row>
    <row r="549" spans="1:30" ht="26.25" customHeight="1" x14ac:dyDescent="0.2">
      <c r="A549" s="286"/>
      <c r="B549" s="286"/>
      <c r="C549" s="286"/>
      <c r="D549" s="286"/>
      <c r="E549" s="286"/>
      <c r="F549" s="286"/>
      <c r="G549" s="286"/>
      <c r="H549" s="286"/>
      <c r="I549" s="286"/>
      <c r="J549" s="286"/>
      <c r="K549" s="286"/>
      <c r="L549" s="286"/>
      <c r="M549" s="286"/>
      <c r="N549" s="286"/>
      <c r="O549" s="286"/>
      <c r="P549" s="286"/>
      <c r="Q549" s="286"/>
      <c r="R549" s="286"/>
      <c r="S549" s="286"/>
      <c r="T549" s="286"/>
      <c r="U549" s="286"/>
      <c r="V549" s="286"/>
      <c r="W549" s="322"/>
      <c r="X549" s="338"/>
      <c r="Y549" s="338"/>
      <c r="Z549" s="338"/>
      <c r="AA549" s="322"/>
      <c r="AB549" s="322"/>
      <c r="AC549" s="322"/>
      <c r="AD549" s="340"/>
    </row>
    <row r="550" spans="1:30" ht="26.25" customHeight="1" x14ac:dyDescent="0.2">
      <c r="A550" s="286"/>
      <c r="B550" s="286"/>
      <c r="C550" s="286"/>
      <c r="D550" s="286"/>
      <c r="E550" s="286"/>
      <c r="F550" s="286"/>
      <c r="G550" s="286"/>
      <c r="H550" s="286"/>
      <c r="I550" s="286"/>
      <c r="J550" s="286"/>
      <c r="K550" s="286"/>
      <c r="L550" s="286"/>
      <c r="M550" s="286"/>
      <c r="N550" s="286"/>
      <c r="O550" s="286"/>
      <c r="P550" s="286"/>
      <c r="Q550" s="286"/>
      <c r="R550" s="286"/>
      <c r="S550" s="286"/>
      <c r="T550" s="286"/>
      <c r="U550" s="286"/>
      <c r="V550" s="286"/>
      <c r="W550" s="322"/>
      <c r="X550" s="340"/>
      <c r="Y550" s="340"/>
      <c r="Z550" s="340"/>
      <c r="AA550" s="322"/>
      <c r="AB550" s="322"/>
      <c r="AC550" s="322"/>
      <c r="AD550" s="340"/>
    </row>
    <row r="551" spans="1:30" ht="26.25" customHeight="1" x14ac:dyDescent="0.2">
      <c r="A551" s="286"/>
      <c r="B551" s="286"/>
      <c r="C551" s="286"/>
      <c r="D551" s="286"/>
      <c r="E551" s="286"/>
      <c r="F551" s="286"/>
      <c r="G551" s="286"/>
      <c r="H551" s="286"/>
      <c r="I551" s="286"/>
      <c r="J551" s="286"/>
      <c r="K551" s="286"/>
      <c r="L551" s="286"/>
      <c r="M551" s="286"/>
      <c r="N551" s="286"/>
      <c r="O551" s="286"/>
      <c r="P551" s="286"/>
      <c r="Q551" s="286"/>
      <c r="R551" s="286"/>
      <c r="S551" s="286"/>
      <c r="T551" s="286"/>
      <c r="U551" s="286"/>
      <c r="V551" s="286"/>
      <c r="W551" s="322"/>
      <c r="X551" s="340"/>
      <c r="Y551" s="340"/>
      <c r="Z551" s="340"/>
      <c r="AA551" s="322"/>
      <c r="AB551" s="322"/>
      <c r="AC551" s="322"/>
      <c r="AD551" s="340"/>
    </row>
    <row r="552" spans="1:30" ht="26.25" customHeight="1" x14ac:dyDescent="0.2">
      <c r="A552" s="286"/>
      <c r="B552" s="286"/>
      <c r="C552" s="286"/>
      <c r="D552" s="286"/>
      <c r="E552" s="286"/>
      <c r="F552" s="286"/>
      <c r="G552" s="286"/>
      <c r="H552" s="286"/>
      <c r="I552" s="286"/>
      <c r="J552" s="286"/>
      <c r="K552" s="286"/>
      <c r="L552" s="286"/>
      <c r="M552" s="286"/>
      <c r="N552" s="286"/>
      <c r="O552" s="286"/>
      <c r="P552" s="286"/>
      <c r="Q552" s="286"/>
      <c r="R552" s="286"/>
      <c r="S552" s="286"/>
      <c r="T552" s="286"/>
      <c r="U552" s="286"/>
      <c r="V552" s="286"/>
      <c r="W552" s="332"/>
      <c r="X552" s="340"/>
      <c r="Y552" s="340"/>
      <c r="Z552" s="340"/>
      <c r="AA552" s="322"/>
      <c r="AB552" s="322"/>
      <c r="AC552" s="322"/>
      <c r="AD552" s="340"/>
    </row>
    <row r="553" spans="1:30" ht="26.25" customHeight="1" x14ac:dyDescent="0.2">
      <c r="A553" s="286"/>
      <c r="B553" s="286"/>
      <c r="C553" s="286"/>
      <c r="D553" s="286"/>
      <c r="E553" s="286"/>
      <c r="F553" s="286"/>
      <c r="G553" s="286"/>
      <c r="H553" s="286"/>
      <c r="I553" s="286"/>
      <c r="J553" s="286"/>
      <c r="K553" s="286"/>
      <c r="L553" s="286"/>
      <c r="M553" s="286"/>
      <c r="N553" s="286"/>
      <c r="O553" s="286"/>
      <c r="P553" s="286"/>
      <c r="Q553" s="286"/>
      <c r="R553" s="286"/>
      <c r="S553" s="286"/>
      <c r="T553" s="286"/>
      <c r="U553" s="286"/>
      <c r="V553" s="286"/>
      <c r="W553" s="338"/>
      <c r="X553" s="340"/>
      <c r="Y553" s="340"/>
      <c r="Z553" s="340"/>
      <c r="AA553" s="322"/>
      <c r="AB553" s="322"/>
      <c r="AC553" s="322"/>
      <c r="AD553" s="340"/>
    </row>
    <row r="554" spans="1:30" ht="26.25" customHeight="1" x14ac:dyDescent="0.2">
      <c r="A554" s="286"/>
      <c r="B554" s="286"/>
      <c r="C554" s="286"/>
      <c r="D554" s="286"/>
      <c r="E554" s="286"/>
      <c r="F554" s="286"/>
      <c r="G554" s="286"/>
      <c r="H554" s="286"/>
      <c r="I554" s="286"/>
      <c r="J554" s="286"/>
      <c r="K554" s="286"/>
      <c r="L554" s="286"/>
      <c r="M554" s="286"/>
      <c r="N554" s="286"/>
      <c r="O554" s="286"/>
      <c r="P554" s="286"/>
      <c r="Q554" s="286"/>
      <c r="R554" s="286"/>
      <c r="S554" s="286"/>
      <c r="T554" s="286"/>
      <c r="U554" s="286"/>
      <c r="V554" s="286"/>
      <c r="W554" s="340"/>
      <c r="X554" s="340"/>
      <c r="Y554" s="340"/>
      <c r="Z554" s="340"/>
      <c r="AA554" s="322"/>
      <c r="AB554" s="322"/>
      <c r="AC554" s="322"/>
      <c r="AD554" s="340"/>
    </row>
    <row r="555" spans="1:30" ht="26.25" customHeight="1" x14ac:dyDescent="0.2">
      <c r="A555" s="286"/>
      <c r="B555" s="286"/>
      <c r="C555" s="286"/>
      <c r="D555" s="286"/>
      <c r="E555" s="286"/>
      <c r="F555" s="286"/>
      <c r="G555" s="286"/>
      <c r="H555" s="286"/>
      <c r="I555" s="286"/>
      <c r="J555" s="286"/>
      <c r="K555" s="286"/>
      <c r="L555" s="286"/>
      <c r="M555" s="286"/>
      <c r="N555" s="286"/>
      <c r="O555" s="286"/>
      <c r="P555" s="286"/>
      <c r="Q555" s="286"/>
      <c r="R555" s="286"/>
      <c r="S555" s="286"/>
      <c r="T555" s="286"/>
      <c r="U555" s="286"/>
      <c r="V555" s="286"/>
      <c r="W555" s="340"/>
      <c r="X555" s="293"/>
      <c r="Y555" s="293"/>
      <c r="Z555" s="293"/>
      <c r="AA555" s="322"/>
      <c r="AB555" s="322"/>
      <c r="AC555" s="322"/>
      <c r="AD555" s="340"/>
    </row>
    <row r="556" spans="1:30" ht="26.25" customHeight="1" x14ac:dyDescent="0.2">
      <c r="A556" s="286"/>
      <c r="B556" s="286"/>
      <c r="C556" s="286"/>
      <c r="D556" s="286"/>
      <c r="E556" s="286"/>
      <c r="F556" s="286"/>
      <c r="G556" s="286"/>
      <c r="H556" s="286"/>
      <c r="I556" s="286"/>
      <c r="J556" s="286"/>
      <c r="K556" s="286"/>
      <c r="L556" s="286"/>
      <c r="M556" s="286"/>
      <c r="N556" s="286"/>
      <c r="O556" s="286"/>
      <c r="P556" s="286"/>
      <c r="Q556" s="286"/>
      <c r="R556" s="286"/>
      <c r="S556" s="286"/>
      <c r="T556" s="286"/>
      <c r="U556" s="286"/>
      <c r="V556" s="286"/>
      <c r="W556" s="340"/>
      <c r="X556" s="340"/>
      <c r="Y556" s="340"/>
      <c r="Z556" s="340"/>
      <c r="AA556" s="322"/>
      <c r="AB556" s="322"/>
      <c r="AC556" s="322"/>
      <c r="AD556" s="340"/>
    </row>
    <row r="557" spans="1:30" ht="26.25" customHeight="1" x14ac:dyDescent="0.2">
      <c r="A557" s="286"/>
      <c r="B557" s="286"/>
      <c r="C557" s="286"/>
      <c r="D557" s="286"/>
      <c r="E557" s="286"/>
      <c r="F557" s="286"/>
      <c r="G557" s="286"/>
      <c r="H557" s="286"/>
      <c r="I557" s="286"/>
      <c r="J557" s="286"/>
      <c r="K557" s="286"/>
      <c r="L557" s="286"/>
      <c r="M557" s="286"/>
      <c r="N557" s="286"/>
      <c r="O557" s="286"/>
      <c r="P557" s="286"/>
      <c r="Q557" s="286"/>
      <c r="R557" s="286"/>
      <c r="S557" s="286"/>
      <c r="T557" s="286"/>
      <c r="U557" s="286"/>
      <c r="V557" s="286"/>
      <c r="W557" s="340"/>
      <c r="X557" s="340"/>
      <c r="Y557" s="340"/>
      <c r="Z557" s="340"/>
      <c r="AA557" s="322"/>
      <c r="AB557" s="322"/>
      <c r="AC557" s="322"/>
      <c r="AD557" s="340"/>
    </row>
    <row r="558" spans="1:30" ht="26.25" customHeight="1" x14ac:dyDescent="0.2">
      <c r="A558" s="286"/>
      <c r="B558" s="286"/>
      <c r="C558" s="286"/>
      <c r="D558" s="286"/>
      <c r="E558" s="286"/>
      <c r="F558" s="286"/>
      <c r="G558" s="286"/>
      <c r="H558" s="286"/>
      <c r="I558" s="286"/>
      <c r="J558" s="286"/>
      <c r="K558" s="286"/>
      <c r="L558" s="286"/>
      <c r="M558" s="286"/>
      <c r="N558" s="286"/>
      <c r="O558" s="286"/>
      <c r="P558" s="286"/>
      <c r="Q558" s="286"/>
      <c r="R558" s="286"/>
      <c r="S558" s="286"/>
      <c r="T558" s="286"/>
      <c r="U558" s="286"/>
      <c r="V558" s="286"/>
      <c r="W558" s="340"/>
      <c r="X558" s="340"/>
      <c r="Y558" s="340"/>
      <c r="Z558" s="340"/>
      <c r="AA558" s="340"/>
      <c r="AB558" s="340"/>
      <c r="AC558" s="340"/>
      <c r="AD558" s="340"/>
    </row>
    <row r="559" spans="1:30" ht="26.25" customHeight="1" x14ac:dyDescent="0.2">
      <c r="A559" s="286"/>
      <c r="B559" s="286"/>
      <c r="C559" s="286"/>
      <c r="D559" s="286"/>
      <c r="E559" s="286"/>
      <c r="F559" s="286"/>
      <c r="G559" s="286"/>
      <c r="H559" s="286"/>
      <c r="I559" s="286"/>
      <c r="J559" s="286"/>
      <c r="K559" s="286"/>
      <c r="L559" s="286"/>
      <c r="M559" s="286"/>
      <c r="N559" s="286"/>
      <c r="O559" s="286"/>
      <c r="P559" s="286"/>
      <c r="Q559" s="286"/>
      <c r="R559" s="286"/>
      <c r="S559" s="286"/>
      <c r="T559" s="286"/>
      <c r="U559" s="286"/>
      <c r="V559" s="286"/>
      <c r="W559" s="293"/>
      <c r="X559" s="293"/>
      <c r="Y559" s="293"/>
      <c r="Z559" s="293"/>
      <c r="AA559" s="320"/>
      <c r="AB559" s="320"/>
      <c r="AC559" s="320"/>
      <c r="AD559" s="340"/>
    </row>
    <row r="560" spans="1:30" ht="26.25" customHeight="1" x14ac:dyDescent="0.2">
      <c r="A560" s="286"/>
      <c r="B560" s="286"/>
      <c r="C560" s="286"/>
      <c r="D560" s="286"/>
      <c r="E560" s="286"/>
      <c r="F560" s="286"/>
      <c r="G560" s="286"/>
      <c r="H560" s="286"/>
      <c r="I560" s="286"/>
      <c r="J560" s="286"/>
      <c r="K560" s="286"/>
      <c r="L560" s="286"/>
      <c r="M560" s="286"/>
      <c r="N560" s="286"/>
      <c r="O560" s="286"/>
      <c r="P560" s="286"/>
      <c r="Q560" s="286"/>
      <c r="R560" s="286"/>
      <c r="S560" s="286"/>
      <c r="T560" s="286"/>
      <c r="U560" s="286"/>
      <c r="V560" s="286"/>
      <c r="W560" s="340"/>
      <c r="X560" s="322"/>
      <c r="Y560" s="322"/>
      <c r="Z560" s="322"/>
      <c r="AA560" s="322"/>
      <c r="AB560" s="322"/>
      <c r="AC560" s="322"/>
      <c r="AD560" s="340"/>
    </row>
    <row r="561" spans="1:38" ht="26.25" customHeight="1" x14ac:dyDescent="0.2">
      <c r="A561" s="286"/>
      <c r="B561" s="286"/>
      <c r="C561" s="286"/>
      <c r="D561" s="286"/>
      <c r="E561" s="286"/>
      <c r="F561" s="286"/>
      <c r="G561" s="286"/>
      <c r="H561" s="286"/>
      <c r="I561" s="286"/>
      <c r="J561" s="286"/>
      <c r="K561" s="286"/>
      <c r="L561" s="286"/>
      <c r="M561" s="286"/>
      <c r="N561" s="286"/>
      <c r="O561" s="286"/>
      <c r="P561" s="286"/>
      <c r="Q561" s="286"/>
      <c r="R561" s="286"/>
      <c r="S561" s="286"/>
      <c r="T561" s="286"/>
      <c r="U561" s="286"/>
      <c r="V561" s="286"/>
      <c r="W561" s="340"/>
      <c r="X561" s="322"/>
      <c r="Y561" s="322"/>
      <c r="Z561" s="322"/>
      <c r="AA561" s="322"/>
      <c r="AB561" s="322"/>
      <c r="AC561" s="322"/>
      <c r="AD561" s="340"/>
    </row>
    <row r="562" spans="1:38" ht="26.25" customHeight="1" x14ac:dyDescent="0.2">
      <c r="A562" s="286"/>
      <c r="B562" s="286"/>
      <c r="C562" s="286"/>
      <c r="D562" s="286"/>
      <c r="E562" s="286"/>
      <c r="F562" s="286"/>
      <c r="G562" s="286"/>
      <c r="H562" s="286"/>
      <c r="I562" s="286"/>
      <c r="J562" s="286"/>
      <c r="K562" s="286"/>
      <c r="L562" s="286"/>
      <c r="M562" s="286"/>
      <c r="N562" s="286"/>
      <c r="O562" s="286"/>
      <c r="P562" s="286"/>
      <c r="Q562" s="286"/>
      <c r="R562" s="286"/>
      <c r="S562" s="286"/>
      <c r="T562" s="286"/>
      <c r="U562" s="286"/>
      <c r="V562" s="286"/>
      <c r="W562" s="340"/>
      <c r="X562" s="322"/>
      <c r="Y562" s="322"/>
      <c r="Z562" s="322"/>
      <c r="AA562" s="322"/>
      <c r="AB562" s="322"/>
      <c r="AC562" s="322"/>
      <c r="AD562" s="340"/>
    </row>
    <row r="563" spans="1:38" ht="26.25" customHeight="1" x14ac:dyDescent="0.2">
      <c r="A563" s="286"/>
      <c r="B563" s="286"/>
      <c r="C563" s="286"/>
      <c r="D563" s="286"/>
      <c r="E563" s="286"/>
      <c r="F563" s="286"/>
      <c r="G563" s="286"/>
      <c r="H563" s="286"/>
      <c r="I563" s="286"/>
      <c r="J563" s="286"/>
      <c r="K563" s="286"/>
      <c r="L563" s="286"/>
      <c r="M563" s="286"/>
      <c r="N563" s="286"/>
      <c r="O563" s="286"/>
      <c r="P563" s="286"/>
      <c r="Q563" s="286"/>
      <c r="R563" s="286"/>
      <c r="S563" s="286"/>
      <c r="T563" s="286"/>
      <c r="U563" s="286"/>
      <c r="V563" s="286"/>
      <c r="W563" s="293"/>
      <c r="X563" s="322"/>
      <c r="Y563" s="322"/>
      <c r="Z563" s="322"/>
      <c r="AA563" s="322"/>
      <c r="AB563" s="322"/>
      <c r="AC563" s="322"/>
      <c r="AD563" s="340"/>
    </row>
    <row r="564" spans="1:38" ht="26.25" customHeight="1" x14ac:dyDescent="0.2">
      <c r="A564" s="286"/>
      <c r="B564" s="286"/>
      <c r="C564" s="286"/>
      <c r="D564" s="286"/>
      <c r="E564" s="286"/>
      <c r="F564" s="286"/>
      <c r="G564" s="286"/>
      <c r="H564" s="286"/>
      <c r="I564" s="286"/>
      <c r="J564" s="286"/>
      <c r="K564" s="286"/>
      <c r="L564" s="286"/>
      <c r="M564" s="286"/>
      <c r="N564" s="286"/>
      <c r="O564" s="286"/>
      <c r="P564" s="286"/>
      <c r="Q564" s="286"/>
      <c r="R564" s="286"/>
      <c r="S564" s="286"/>
      <c r="T564" s="286"/>
      <c r="U564" s="286"/>
      <c r="V564" s="286"/>
      <c r="W564" s="322"/>
      <c r="X564" s="322"/>
      <c r="Y564" s="322"/>
      <c r="Z564" s="322"/>
      <c r="AA564" s="322"/>
      <c r="AB564" s="322"/>
      <c r="AC564" s="322"/>
      <c r="AD564" s="340"/>
    </row>
    <row r="565" spans="1:38" ht="26.25" customHeight="1" x14ac:dyDescent="0.2">
      <c r="A565" s="286"/>
      <c r="B565" s="286"/>
      <c r="C565" s="286"/>
      <c r="D565" s="286"/>
      <c r="E565" s="286"/>
      <c r="F565" s="286"/>
      <c r="G565" s="286"/>
      <c r="H565" s="286"/>
      <c r="I565" s="286"/>
      <c r="J565" s="286"/>
      <c r="K565" s="286"/>
      <c r="L565" s="286"/>
      <c r="M565" s="286"/>
      <c r="N565" s="286"/>
      <c r="O565" s="286"/>
      <c r="P565" s="286"/>
      <c r="Q565" s="286"/>
      <c r="R565" s="286"/>
      <c r="S565" s="286"/>
      <c r="T565" s="286"/>
      <c r="U565" s="286"/>
      <c r="V565" s="286"/>
      <c r="W565" s="322"/>
      <c r="X565" s="322"/>
      <c r="Y565" s="322"/>
      <c r="Z565" s="322"/>
      <c r="AA565" s="322"/>
      <c r="AB565" s="322"/>
      <c r="AC565" s="322"/>
      <c r="AD565" s="340"/>
    </row>
    <row r="566" spans="1:38" ht="26.25" customHeight="1" x14ac:dyDescent="0.2">
      <c r="A566" s="286"/>
      <c r="B566" s="286"/>
      <c r="C566" s="286"/>
      <c r="D566" s="286"/>
      <c r="E566" s="286"/>
      <c r="F566" s="286"/>
      <c r="G566" s="286"/>
      <c r="H566" s="286"/>
      <c r="I566" s="286"/>
      <c r="J566" s="286"/>
      <c r="K566" s="286"/>
      <c r="L566" s="286"/>
      <c r="M566" s="286"/>
      <c r="N566" s="286"/>
      <c r="O566" s="286"/>
      <c r="P566" s="286"/>
      <c r="Q566" s="286"/>
      <c r="R566" s="286"/>
      <c r="S566" s="286"/>
      <c r="T566" s="286"/>
      <c r="U566" s="286"/>
      <c r="V566" s="286"/>
      <c r="W566" s="322"/>
      <c r="X566" s="322"/>
      <c r="Y566" s="322"/>
      <c r="Z566" s="322"/>
      <c r="AA566" s="322"/>
      <c r="AB566" s="322"/>
      <c r="AC566" s="322"/>
      <c r="AD566" s="340"/>
    </row>
    <row r="567" spans="1:38" ht="26.25" customHeight="1" x14ac:dyDescent="0.2">
      <c r="A567" s="286"/>
      <c r="B567" s="286"/>
      <c r="C567" s="286"/>
      <c r="D567" s="286"/>
      <c r="E567" s="286"/>
      <c r="F567" s="286"/>
      <c r="G567" s="286"/>
      <c r="H567" s="286"/>
      <c r="I567" s="286"/>
      <c r="J567" s="286"/>
      <c r="K567" s="286"/>
      <c r="L567" s="286"/>
      <c r="M567" s="286"/>
      <c r="N567" s="286"/>
      <c r="O567" s="286"/>
      <c r="P567" s="286"/>
      <c r="Q567" s="286"/>
      <c r="R567" s="286"/>
      <c r="S567" s="286"/>
      <c r="T567" s="286"/>
      <c r="U567" s="286"/>
      <c r="V567" s="286"/>
      <c r="W567" s="322"/>
      <c r="X567" s="322"/>
      <c r="Y567" s="322"/>
      <c r="Z567" s="322"/>
      <c r="AA567" s="322"/>
      <c r="AB567" s="322"/>
      <c r="AC567" s="322"/>
      <c r="AD567" s="340"/>
    </row>
    <row r="568" spans="1:38" ht="26.25" customHeight="1" x14ac:dyDescent="0.2">
      <c r="A568" s="286"/>
      <c r="B568" s="286"/>
      <c r="C568" s="286"/>
      <c r="D568" s="286"/>
      <c r="E568" s="286"/>
      <c r="F568" s="286"/>
      <c r="G568" s="286"/>
      <c r="H568" s="286"/>
      <c r="I568" s="286"/>
      <c r="J568" s="286"/>
      <c r="K568" s="286"/>
      <c r="L568" s="286"/>
      <c r="M568" s="286"/>
      <c r="N568" s="286"/>
      <c r="O568" s="286"/>
      <c r="P568" s="286"/>
      <c r="Q568" s="286"/>
      <c r="R568" s="286"/>
      <c r="S568" s="286"/>
      <c r="T568" s="286"/>
      <c r="U568" s="286"/>
      <c r="V568" s="286"/>
      <c r="W568" s="322"/>
      <c r="X568" s="322"/>
      <c r="Y568" s="322"/>
      <c r="Z568" s="322"/>
      <c r="AA568" s="322"/>
      <c r="AB568" s="322"/>
      <c r="AC568" s="322"/>
      <c r="AD568" s="340"/>
    </row>
    <row r="569" spans="1:38" ht="26.25" customHeight="1" x14ac:dyDescent="0.2">
      <c r="A569" s="286"/>
      <c r="B569" s="286"/>
      <c r="C569" s="286"/>
      <c r="D569" s="286"/>
      <c r="E569" s="286"/>
      <c r="F569" s="286"/>
      <c r="G569" s="286"/>
      <c r="H569" s="286"/>
      <c r="I569" s="286"/>
      <c r="J569" s="286"/>
      <c r="K569" s="286"/>
      <c r="L569" s="286"/>
      <c r="M569" s="286"/>
      <c r="N569" s="286"/>
      <c r="O569" s="286"/>
      <c r="P569" s="286"/>
      <c r="Q569" s="286"/>
      <c r="R569" s="286"/>
      <c r="S569" s="286"/>
      <c r="T569" s="286"/>
      <c r="U569" s="286"/>
      <c r="V569" s="286"/>
      <c r="W569" s="322"/>
      <c r="X569" s="340"/>
      <c r="Y569" s="340"/>
      <c r="Z569" s="340"/>
      <c r="AA569" s="332"/>
      <c r="AB569" s="332"/>
      <c r="AC569" s="332"/>
      <c r="AD569" s="286"/>
    </row>
    <row r="570" spans="1:38" ht="26.25" customHeight="1" x14ac:dyDescent="0.2">
      <c r="A570" s="286"/>
      <c r="B570" s="286"/>
      <c r="C570" s="286"/>
      <c r="D570" s="286"/>
      <c r="E570" s="286"/>
      <c r="F570" s="286"/>
      <c r="G570" s="286"/>
      <c r="H570" s="286"/>
      <c r="I570" s="286"/>
      <c r="J570" s="286"/>
      <c r="K570" s="286"/>
      <c r="L570" s="286"/>
      <c r="M570" s="286"/>
      <c r="N570" s="286"/>
      <c r="O570" s="286"/>
      <c r="P570" s="286"/>
      <c r="Q570" s="286"/>
      <c r="R570" s="286"/>
      <c r="S570" s="286"/>
      <c r="T570" s="286"/>
      <c r="U570" s="286"/>
      <c r="V570" s="286"/>
      <c r="W570" s="322"/>
      <c r="X570" s="320"/>
      <c r="Y570" s="320"/>
      <c r="Z570" s="320"/>
      <c r="AA570" s="338"/>
      <c r="AB570" s="338"/>
      <c r="AC570" s="338"/>
      <c r="AD570" s="286"/>
    </row>
    <row r="571" spans="1:38" ht="26.25" customHeight="1" x14ac:dyDescent="0.2">
      <c r="A571" s="286"/>
      <c r="B571" s="286"/>
      <c r="C571" s="286"/>
      <c r="D571" s="286"/>
      <c r="E571" s="286"/>
      <c r="F571" s="286"/>
      <c r="G571" s="286"/>
      <c r="H571" s="286"/>
      <c r="I571" s="286"/>
      <c r="J571" s="286"/>
      <c r="K571" s="286"/>
      <c r="L571" s="286"/>
      <c r="M571" s="286"/>
      <c r="N571" s="286"/>
      <c r="O571" s="286"/>
      <c r="P571" s="286"/>
      <c r="Q571" s="286"/>
      <c r="R571" s="286"/>
      <c r="S571" s="286"/>
      <c r="T571" s="286"/>
      <c r="U571" s="286"/>
      <c r="V571" s="286"/>
      <c r="W571" s="322"/>
      <c r="X571" s="322"/>
      <c r="Y571" s="322"/>
      <c r="Z571" s="322"/>
      <c r="AA571" s="340"/>
      <c r="AB571" s="340"/>
      <c r="AC571" s="340"/>
      <c r="AD571" s="286"/>
      <c r="AL571" s="266"/>
    </row>
    <row r="572" spans="1:38" ht="26.25" customHeight="1" x14ac:dyDescent="0.2">
      <c r="A572" s="286"/>
      <c r="B572" s="286"/>
      <c r="C572" s="286"/>
      <c r="D572" s="286"/>
      <c r="E572" s="286"/>
      <c r="F572" s="286"/>
      <c r="G572" s="286"/>
      <c r="H572" s="286"/>
      <c r="I572" s="286"/>
      <c r="J572" s="286"/>
      <c r="K572" s="286"/>
      <c r="L572" s="286"/>
      <c r="M572" s="286"/>
      <c r="N572" s="286"/>
      <c r="O572" s="286"/>
      <c r="P572" s="286"/>
      <c r="Q572" s="286"/>
      <c r="R572" s="286"/>
      <c r="S572" s="286"/>
      <c r="T572" s="286"/>
      <c r="U572" s="286"/>
      <c r="V572" s="286"/>
      <c r="W572" s="322"/>
      <c r="X572" s="322"/>
      <c r="Y572" s="322"/>
      <c r="Z572" s="322"/>
      <c r="AA572" s="340"/>
      <c r="AB572" s="340"/>
      <c r="AC572" s="340"/>
      <c r="AD572" s="286"/>
      <c r="AL572" s="266"/>
    </row>
    <row r="573" spans="1:38" ht="26.25" customHeight="1" x14ac:dyDescent="0.2">
      <c r="A573" s="286"/>
      <c r="B573" s="286"/>
      <c r="C573" s="286"/>
      <c r="D573" s="286"/>
      <c r="E573" s="286"/>
      <c r="F573" s="286"/>
      <c r="G573" s="286"/>
      <c r="H573" s="286"/>
      <c r="I573" s="286"/>
      <c r="J573" s="286"/>
      <c r="K573" s="286"/>
      <c r="L573" s="286"/>
      <c r="M573" s="286"/>
      <c r="N573" s="286"/>
      <c r="O573" s="286"/>
      <c r="P573" s="286"/>
      <c r="Q573" s="286"/>
      <c r="R573" s="286"/>
      <c r="S573" s="286"/>
      <c r="T573" s="286"/>
      <c r="U573" s="286"/>
      <c r="V573" s="286"/>
      <c r="W573" s="340"/>
      <c r="X573" s="322"/>
      <c r="Y573" s="322"/>
      <c r="Z573" s="322"/>
      <c r="AA573" s="340"/>
      <c r="AB573" s="340"/>
      <c r="AC573" s="340"/>
      <c r="AD573" s="340"/>
      <c r="AL573" s="308"/>
    </row>
    <row r="574" spans="1:38" ht="26.25" customHeight="1" x14ac:dyDescent="0.2">
      <c r="A574" s="286"/>
      <c r="B574" s="286"/>
      <c r="C574" s="286"/>
      <c r="D574" s="286"/>
      <c r="E574" s="286"/>
      <c r="F574" s="286"/>
      <c r="G574" s="286"/>
      <c r="H574" s="286"/>
      <c r="I574" s="286"/>
      <c r="J574" s="286"/>
      <c r="K574" s="286"/>
      <c r="L574" s="286"/>
      <c r="M574" s="286"/>
      <c r="N574" s="286"/>
      <c r="O574" s="286"/>
      <c r="P574" s="286"/>
      <c r="Q574" s="286"/>
      <c r="R574" s="286"/>
      <c r="S574" s="286"/>
      <c r="T574" s="286"/>
      <c r="U574" s="286"/>
      <c r="V574" s="286"/>
      <c r="W574" s="320"/>
      <c r="X574" s="322"/>
      <c r="Y574" s="322"/>
      <c r="Z574" s="322"/>
      <c r="AA574" s="340"/>
      <c r="AB574" s="340"/>
      <c r="AC574" s="340"/>
      <c r="AD574" s="340"/>
      <c r="AL574" s="308"/>
    </row>
    <row r="575" spans="1:38" ht="26.25" customHeight="1" x14ac:dyDescent="0.2">
      <c r="A575" s="286"/>
      <c r="B575" s="286"/>
      <c r="C575" s="286"/>
      <c r="D575" s="286"/>
      <c r="E575" s="286"/>
      <c r="F575" s="286"/>
      <c r="G575" s="286"/>
      <c r="H575" s="286"/>
      <c r="I575" s="286"/>
      <c r="J575" s="286"/>
      <c r="K575" s="286"/>
      <c r="L575" s="286"/>
      <c r="M575" s="286"/>
      <c r="N575" s="286"/>
      <c r="O575" s="286"/>
      <c r="P575" s="286"/>
      <c r="Q575" s="286"/>
      <c r="R575" s="286"/>
      <c r="S575" s="286"/>
      <c r="T575" s="286"/>
      <c r="U575" s="286"/>
      <c r="V575" s="286"/>
      <c r="W575" s="322"/>
      <c r="X575" s="322"/>
      <c r="Y575" s="322"/>
      <c r="Z575" s="322"/>
      <c r="AA575" s="340"/>
      <c r="AB575" s="340"/>
      <c r="AC575" s="340"/>
      <c r="AD575" s="340"/>
      <c r="AL575" s="308"/>
    </row>
    <row r="576" spans="1:38" ht="26.25" customHeight="1" x14ac:dyDescent="0.2">
      <c r="A576" s="286"/>
      <c r="B576" s="286"/>
      <c r="C576" s="286"/>
      <c r="D576" s="286"/>
      <c r="E576" s="286"/>
      <c r="F576" s="286"/>
      <c r="G576" s="286"/>
      <c r="H576" s="286"/>
      <c r="I576" s="286"/>
      <c r="J576" s="286"/>
      <c r="K576" s="286"/>
      <c r="L576" s="286"/>
      <c r="M576" s="286"/>
      <c r="N576" s="286"/>
      <c r="O576" s="286"/>
      <c r="P576" s="286"/>
      <c r="Q576" s="286"/>
      <c r="R576" s="286"/>
      <c r="S576" s="286"/>
      <c r="T576" s="286"/>
      <c r="U576" s="286"/>
      <c r="V576" s="286"/>
      <c r="W576" s="322"/>
      <c r="X576" s="322"/>
      <c r="Y576" s="322"/>
      <c r="Z576" s="322"/>
      <c r="AA576" s="293"/>
      <c r="AB576" s="293"/>
      <c r="AC576" s="293"/>
      <c r="AD576" s="346"/>
      <c r="AL576" s="308"/>
    </row>
    <row r="577" spans="1:38" ht="26.25" customHeight="1" x14ac:dyDescent="0.2">
      <c r="A577" s="286"/>
      <c r="B577" s="286"/>
      <c r="C577" s="286"/>
      <c r="D577" s="286"/>
      <c r="E577" s="286"/>
      <c r="F577" s="286"/>
      <c r="G577" s="286"/>
      <c r="H577" s="286"/>
      <c r="I577" s="286"/>
      <c r="J577" s="286"/>
      <c r="K577" s="286"/>
      <c r="L577" s="286"/>
      <c r="M577" s="286"/>
      <c r="N577" s="286"/>
      <c r="O577" s="286"/>
      <c r="P577" s="286"/>
      <c r="Q577" s="286"/>
      <c r="R577" s="286"/>
      <c r="S577" s="286"/>
      <c r="T577" s="286"/>
      <c r="U577" s="286"/>
      <c r="V577" s="286"/>
      <c r="W577" s="322"/>
      <c r="X577" s="322"/>
      <c r="Y577" s="322"/>
      <c r="Z577" s="322"/>
      <c r="AA577" s="340"/>
      <c r="AB577" s="340"/>
      <c r="AC577" s="340"/>
      <c r="AD577" s="340"/>
      <c r="AL577" s="308"/>
    </row>
    <row r="578" spans="1:38" ht="26.25" customHeight="1" x14ac:dyDescent="0.2">
      <c r="A578" s="286"/>
      <c r="B578" s="286"/>
      <c r="C578" s="286"/>
      <c r="D578" s="286"/>
      <c r="E578" s="286"/>
      <c r="F578" s="286"/>
      <c r="G578" s="286"/>
      <c r="H578" s="286"/>
      <c r="I578" s="286"/>
      <c r="J578" s="286"/>
      <c r="K578" s="286"/>
      <c r="L578" s="286"/>
      <c r="M578" s="286"/>
      <c r="N578" s="286"/>
      <c r="O578" s="286"/>
      <c r="P578" s="286"/>
      <c r="Q578" s="286"/>
      <c r="R578" s="286"/>
      <c r="S578" s="286"/>
      <c r="T578" s="286"/>
      <c r="U578" s="286"/>
      <c r="V578" s="286"/>
      <c r="W578" s="322"/>
      <c r="X578" s="322"/>
      <c r="Y578" s="322"/>
      <c r="Z578" s="322"/>
      <c r="AA578" s="340"/>
      <c r="AB578" s="340"/>
      <c r="AC578" s="340"/>
      <c r="AD578" s="340"/>
      <c r="AL578" s="308"/>
    </row>
    <row r="579" spans="1:38" ht="26.25" customHeight="1" x14ac:dyDescent="0.2">
      <c r="A579" s="286"/>
      <c r="B579" s="286"/>
      <c r="C579" s="286"/>
      <c r="D579" s="286"/>
      <c r="E579" s="286"/>
      <c r="F579" s="286"/>
      <c r="G579" s="286"/>
      <c r="H579" s="286"/>
      <c r="I579" s="286"/>
      <c r="J579" s="286"/>
      <c r="K579" s="286"/>
      <c r="L579" s="286"/>
      <c r="M579" s="286"/>
      <c r="N579" s="286"/>
      <c r="O579" s="286"/>
      <c r="P579" s="286"/>
      <c r="Q579" s="286"/>
      <c r="R579" s="286"/>
      <c r="S579" s="286"/>
      <c r="T579" s="286"/>
      <c r="U579" s="286"/>
      <c r="V579" s="286"/>
      <c r="W579" s="322"/>
      <c r="X579" s="322"/>
      <c r="Y579" s="322"/>
      <c r="Z579" s="322"/>
      <c r="AA579" s="340"/>
      <c r="AB579" s="340"/>
      <c r="AC579" s="340"/>
      <c r="AD579" s="286"/>
      <c r="AL579" s="308"/>
    </row>
    <row r="580" spans="1:38" ht="26.25" customHeight="1" x14ac:dyDescent="0.25">
      <c r="A580" s="286"/>
      <c r="B580" s="286"/>
      <c r="C580" s="286"/>
      <c r="D580" s="286"/>
      <c r="E580" s="286"/>
      <c r="F580" s="286"/>
      <c r="G580" s="286"/>
      <c r="H580" s="286"/>
      <c r="I580" s="286"/>
      <c r="J580" s="286"/>
      <c r="K580" s="286"/>
      <c r="L580" s="286"/>
      <c r="M580" s="286"/>
      <c r="N580" s="286"/>
      <c r="O580" s="286"/>
      <c r="P580" s="286"/>
      <c r="Q580" s="286"/>
      <c r="R580" s="286"/>
      <c r="S580" s="286"/>
      <c r="T580" s="286"/>
      <c r="U580" s="286"/>
      <c r="V580" s="286"/>
      <c r="W580" s="322"/>
      <c r="X580" s="332"/>
      <c r="Y580" s="332"/>
      <c r="Z580" s="332"/>
      <c r="AA580" s="293"/>
      <c r="AB580" s="293"/>
      <c r="AC580" s="293"/>
      <c r="AD580" s="328"/>
      <c r="AL580" s="308"/>
    </row>
    <row r="581" spans="1:38" ht="26.25" customHeight="1" x14ac:dyDescent="0.2">
      <c r="A581" s="286"/>
      <c r="B581" s="286"/>
      <c r="C581" s="286"/>
      <c r="D581" s="286"/>
      <c r="E581" s="286"/>
      <c r="F581" s="286"/>
      <c r="G581" s="286"/>
      <c r="H581" s="286"/>
      <c r="I581" s="286"/>
      <c r="J581" s="286"/>
      <c r="K581" s="286"/>
      <c r="L581" s="286"/>
      <c r="M581" s="286"/>
      <c r="N581" s="286"/>
      <c r="O581" s="286"/>
      <c r="P581" s="286"/>
      <c r="Q581" s="286"/>
      <c r="R581" s="286"/>
      <c r="S581" s="286"/>
      <c r="T581" s="286"/>
      <c r="U581" s="286"/>
      <c r="V581" s="286"/>
      <c r="W581" s="322"/>
      <c r="X581" s="320"/>
      <c r="Y581" s="320"/>
      <c r="Z581" s="320"/>
      <c r="AA581" s="322"/>
      <c r="AB581" s="322"/>
      <c r="AC581" s="322"/>
      <c r="AD581" s="340"/>
      <c r="AL581" s="308"/>
    </row>
    <row r="582" spans="1:38" ht="26.25" customHeight="1" x14ac:dyDescent="0.25">
      <c r="A582" s="286"/>
      <c r="B582" s="286"/>
      <c r="C582" s="286"/>
      <c r="D582" s="286"/>
      <c r="E582" s="286"/>
      <c r="F582" s="286"/>
      <c r="G582" s="286"/>
      <c r="H582" s="286"/>
      <c r="I582" s="286"/>
      <c r="J582" s="286"/>
      <c r="K582" s="286"/>
      <c r="L582" s="286"/>
      <c r="M582" s="286"/>
      <c r="N582" s="286"/>
      <c r="O582" s="286"/>
      <c r="P582" s="286"/>
      <c r="Q582" s="286"/>
      <c r="R582" s="286"/>
      <c r="S582" s="286"/>
      <c r="T582" s="286"/>
      <c r="U582" s="286"/>
      <c r="V582" s="286"/>
      <c r="W582" s="322"/>
      <c r="X582" s="322"/>
      <c r="Y582" s="322"/>
      <c r="Z582" s="322"/>
      <c r="AA582" s="322"/>
      <c r="AB582" s="322"/>
      <c r="AC582" s="322"/>
      <c r="AD582" s="328"/>
      <c r="AL582" s="266"/>
    </row>
    <row r="583" spans="1:38" ht="26.25" customHeight="1" x14ac:dyDescent="0.25">
      <c r="A583" s="286"/>
      <c r="B583" s="286"/>
      <c r="C583" s="286"/>
      <c r="D583" s="286"/>
      <c r="E583" s="286"/>
      <c r="F583" s="286"/>
      <c r="G583" s="286"/>
      <c r="H583" s="286"/>
      <c r="I583" s="286"/>
      <c r="J583" s="286"/>
      <c r="K583" s="286"/>
      <c r="L583" s="286"/>
      <c r="M583" s="286"/>
      <c r="N583" s="286"/>
      <c r="O583" s="286"/>
      <c r="P583" s="286"/>
      <c r="Q583" s="286"/>
      <c r="R583" s="286"/>
      <c r="S583" s="286"/>
      <c r="T583" s="286"/>
      <c r="U583" s="286"/>
      <c r="V583" s="286"/>
      <c r="W583" s="322"/>
      <c r="X583" s="322"/>
      <c r="Y583" s="322"/>
      <c r="Z583" s="322"/>
      <c r="AA583" s="322"/>
      <c r="AB583" s="322"/>
      <c r="AC583" s="322"/>
      <c r="AD583" s="328"/>
    </row>
    <row r="584" spans="1:38" ht="26.25" customHeight="1" x14ac:dyDescent="0.25">
      <c r="A584" s="286"/>
      <c r="B584" s="286"/>
      <c r="C584" s="286"/>
      <c r="D584" s="286"/>
      <c r="E584" s="286"/>
      <c r="F584" s="286"/>
      <c r="G584" s="286"/>
      <c r="H584" s="286"/>
      <c r="I584" s="286"/>
      <c r="J584" s="286"/>
      <c r="K584" s="286"/>
      <c r="L584" s="286"/>
      <c r="M584" s="286"/>
      <c r="N584" s="286"/>
      <c r="O584" s="286"/>
      <c r="P584" s="286"/>
      <c r="Q584" s="286"/>
      <c r="R584" s="286"/>
      <c r="S584" s="286"/>
      <c r="T584" s="286"/>
      <c r="U584" s="286"/>
      <c r="V584" s="286"/>
      <c r="W584" s="332"/>
      <c r="X584" s="322"/>
      <c r="Y584" s="322"/>
      <c r="Z584" s="322"/>
      <c r="AA584" s="322"/>
      <c r="AB584" s="322"/>
      <c r="AC584" s="322"/>
      <c r="AD584" s="328"/>
    </row>
    <row r="585" spans="1:38" ht="26.25" customHeight="1" x14ac:dyDescent="0.25">
      <c r="A585" s="286"/>
      <c r="B585" s="286"/>
      <c r="C585" s="286"/>
      <c r="D585" s="286"/>
      <c r="E585" s="286"/>
      <c r="F585" s="286"/>
      <c r="G585" s="286"/>
      <c r="H585" s="286"/>
      <c r="I585" s="286"/>
      <c r="J585" s="286"/>
      <c r="K585" s="286"/>
      <c r="L585" s="286"/>
      <c r="M585" s="286"/>
      <c r="N585" s="286"/>
      <c r="O585" s="286"/>
      <c r="P585" s="286"/>
      <c r="Q585" s="286"/>
      <c r="R585" s="286"/>
      <c r="S585" s="286"/>
      <c r="T585" s="286"/>
      <c r="U585" s="286"/>
      <c r="V585" s="286"/>
      <c r="W585" s="320"/>
      <c r="X585" s="322"/>
      <c r="Y585" s="322"/>
      <c r="Z585" s="322"/>
      <c r="AA585" s="322"/>
      <c r="AB585" s="322"/>
      <c r="AC585" s="322"/>
      <c r="AD585" s="328"/>
    </row>
    <row r="586" spans="1:38" ht="26.25" customHeight="1" x14ac:dyDescent="0.25">
      <c r="A586" s="286"/>
      <c r="B586" s="286"/>
      <c r="C586" s="286"/>
      <c r="D586" s="286"/>
      <c r="E586" s="286"/>
      <c r="F586" s="286"/>
      <c r="G586" s="286"/>
      <c r="H586" s="286"/>
      <c r="I586" s="286"/>
      <c r="J586" s="286"/>
      <c r="K586" s="286"/>
      <c r="L586" s="286"/>
      <c r="M586" s="286"/>
      <c r="N586" s="286"/>
      <c r="O586" s="286"/>
      <c r="P586" s="286"/>
      <c r="Q586" s="286"/>
      <c r="R586" s="286"/>
      <c r="S586" s="286"/>
      <c r="T586" s="286"/>
      <c r="U586" s="286"/>
      <c r="V586" s="286"/>
      <c r="W586" s="322"/>
      <c r="X586" s="322"/>
      <c r="Y586" s="322"/>
      <c r="Z586" s="322"/>
      <c r="AA586" s="322"/>
      <c r="AB586" s="322"/>
      <c r="AC586" s="322"/>
      <c r="AD586" s="328"/>
    </row>
    <row r="587" spans="1:38" ht="26.25" customHeight="1" x14ac:dyDescent="0.25">
      <c r="A587" s="286"/>
      <c r="B587" s="286"/>
      <c r="C587" s="286"/>
      <c r="D587" s="286"/>
      <c r="E587" s="286"/>
      <c r="F587" s="286"/>
      <c r="G587" s="286"/>
      <c r="H587" s="286"/>
      <c r="I587" s="286"/>
      <c r="J587" s="286"/>
      <c r="K587" s="286"/>
      <c r="L587" s="286"/>
      <c r="M587" s="286"/>
      <c r="N587" s="286"/>
      <c r="O587" s="286"/>
      <c r="P587" s="286"/>
      <c r="Q587" s="286"/>
      <c r="R587" s="286"/>
      <c r="S587" s="286"/>
      <c r="T587" s="286"/>
      <c r="U587" s="286"/>
      <c r="V587" s="286"/>
      <c r="W587" s="322"/>
      <c r="X587" s="322"/>
      <c r="Y587" s="322"/>
      <c r="Z587" s="322"/>
      <c r="AA587" s="322"/>
      <c r="AB587" s="322"/>
      <c r="AC587" s="322"/>
      <c r="AD587" s="328"/>
    </row>
    <row r="588" spans="1:38" ht="52.5" customHeight="1" x14ac:dyDescent="0.25">
      <c r="A588" s="286"/>
      <c r="B588" s="286"/>
      <c r="C588" s="286"/>
      <c r="D588" s="286"/>
      <c r="E588" s="286"/>
      <c r="F588" s="286"/>
      <c r="G588" s="286"/>
      <c r="H588" s="286"/>
      <c r="I588" s="286"/>
      <c r="J588" s="286"/>
      <c r="K588" s="286"/>
      <c r="L588" s="286"/>
      <c r="M588" s="286"/>
      <c r="N588" s="286"/>
      <c r="O588" s="286"/>
      <c r="P588" s="286"/>
      <c r="Q588" s="286"/>
      <c r="R588" s="286"/>
      <c r="S588" s="286"/>
      <c r="T588" s="286"/>
      <c r="U588" s="286"/>
      <c r="V588" s="286"/>
      <c r="W588" s="322"/>
      <c r="X588" s="322"/>
      <c r="Y588" s="322"/>
      <c r="Z588" s="322"/>
      <c r="AA588" s="322"/>
      <c r="AB588" s="322"/>
      <c r="AC588" s="322"/>
      <c r="AD588" s="328"/>
    </row>
    <row r="589" spans="1:38" ht="26.25" customHeight="1" x14ac:dyDescent="0.25">
      <c r="A589" s="286"/>
      <c r="B589" s="286"/>
      <c r="C589" s="286"/>
      <c r="D589" s="286"/>
      <c r="E589" s="286"/>
      <c r="F589" s="286"/>
      <c r="G589" s="286"/>
      <c r="H589" s="286"/>
      <c r="I589" s="286"/>
      <c r="J589" s="286"/>
      <c r="K589" s="286"/>
      <c r="L589" s="286"/>
      <c r="M589" s="286"/>
      <c r="N589" s="286"/>
      <c r="O589" s="286"/>
      <c r="P589" s="286"/>
      <c r="Q589" s="286"/>
      <c r="R589" s="286"/>
      <c r="S589" s="286"/>
      <c r="T589" s="286"/>
      <c r="U589" s="286"/>
      <c r="V589" s="286"/>
      <c r="W589" s="322"/>
      <c r="X589" s="322"/>
      <c r="Y589" s="322"/>
      <c r="Z589" s="322"/>
      <c r="AA589" s="322"/>
      <c r="AB589" s="322"/>
      <c r="AC589" s="322"/>
      <c r="AD589" s="328"/>
    </row>
    <row r="590" spans="1:38" ht="26.25" customHeight="1" x14ac:dyDescent="0.25">
      <c r="A590" s="286"/>
      <c r="B590" s="286"/>
      <c r="C590" s="286"/>
      <c r="D590" s="286"/>
      <c r="E590" s="286"/>
      <c r="F590" s="286"/>
      <c r="G590" s="286"/>
      <c r="H590" s="286"/>
      <c r="I590" s="286"/>
      <c r="J590" s="286"/>
      <c r="K590" s="286"/>
      <c r="L590" s="286"/>
      <c r="M590" s="286"/>
      <c r="N590" s="286"/>
      <c r="O590" s="286"/>
      <c r="P590" s="286"/>
      <c r="Q590" s="286"/>
      <c r="R590" s="286"/>
      <c r="S590" s="286"/>
      <c r="T590" s="286"/>
      <c r="U590" s="286"/>
      <c r="V590" s="286"/>
      <c r="W590" s="322"/>
      <c r="X590" s="322"/>
      <c r="Y590" s="322"/>
      <c r="Z590" s="322"/>
      <c r="AA590" s="340"/>
      <c r="AB590" s="340"/>
      <c r="AC590" s="340"/>
      <c r="AD590" s="328"/>
    </row>
    <row r="591" spans="1:38" ht="26.25" customHeight="1" x14ac:dyDescent="0.25">
      <c r="A591" s="286"/>
      <c r="B591" s="286"/>
      <c r="C591" s="286"/>
      <c r="D591" s="286"/>
      <c r="E591" s="286"/>
      <c r="F591" s="286"/>
      <c r="G591" s="286"/>
      <c r="H591" s="286"/>
      <c r="I591" s="286"/>
      <c r="J591" s="286"/>
      <c r="K591" s="286"/>
      <c r="L591" s="286"/>
      <c r="M591" s="286"/>
      <c r="N591" s="286"/>
      <c r="O591" s="286"/>
      <c r="P591" s="286"/>
      <c r="Q591" s="286"/>
      <c r="R591" s="286"/>
      <c r="S591" s="286"/>
      <c r="T591" s="286"/>
      <c r="U591" s="286"/>
      <c r="V591" s="286"/>
      <c r="W591" s="322"/>
      <c r="X591" s="340"/>
      <c r="Y591" s="340"/>
      <c r="Z591" s="340"/>
      <c r="AA591" s="320"/>
      <c r="AB591" s="320"/>
      <c r="AC591" s="320"/>
      <c r="AD591" s="328"/>
    </row>
    <row r="592" spans="1:38" ht="26.25" customHeight="1" x14ac:dyDescent="0.2">
      <c r="A592" s="286"/>
      <c r="B592" s="286"/>
      <c r="C592" s="286"/>
      <c r="D592" s="286"/>
      <c r="E592" s="286"/>
      <c r="F592" s="286"/>
      <c r="G592" s="286"/>
      <c r="H592" s="286"/>
      <c r="I592" s="286"/>
      <c r="J592" s="286"/>
      <c r="K592" s="286"/>
      <c r="L592" s="286"/>
      <c r="M592" s="286"/>
      <c r="N592" s="286"/>
      <c r="O592" s="286"/>
      <c r="P592" s="286"/>
      <c r="Q592" s="286"/>
      <c r="R592" s="286"/>
      <c r="S592" s="286"/>
      <c r="T592" s="286"/>
      <c r="U592" s="286"/>
      <c r="V592" s="286"/>
      <c r="W592" s="322"/>
      <c r="X592" s="324"/>
      <c r="Y592" s="324"/>
      <c r="Z592" s="324"/>
      <c r="AA592" s="322"/>
      <c r="AB592" s="322"/>
      <c r="AC592" s="322"/>
      <c r="AD592" s="340"/>
    </row>
    <row r="593" spans="1:30" ht="26.25" customHeight="1" x14ac:dyDescent="0.25">
      <c r="A593" s="286"/>
      <c r="B593" s="286"/>
      <c r="C593" s="286"/>
      <c r="D593" s="286"/>
      <c r="E593" s="286"/>
      <c r="F593" s="286"/>
      <c r="G593" s="286"/>
      <c r="H593" s="286"/>
      <c r="I593" s="286"/>
      <c r="J593" s="286"/>
      <c r="K593" s="286"/>
      <c r="L593" s="286"/>
      <c r="M593" s="286"/>
      <c r="N593" s="286"/>
      <c r="O593" s="286"/>
      <c r="P593" s="286"/>
      <c r="Q593" s="286"/>
      <c r="R593" s="286"/>
      <c r="S593" s="286"/>
      <c r="T593" s="286"/>
      <c r="U593" s="286"/>
      <c r="V593" s="286"/>
      <c r="W593" s="322"/>
      <c r="X593" s="322"/>
      <c r="Y593" s="322"/>
      <c r="Z593" s="322"/>
      <c r="AA593" s="322"/>
      <c r="AB593" s="322"/>
      <c r="AC593" s="322"/>
      <c r="AD593" s="328"/>
    </row>
    <row r="594" spans="1:30" ht="26.25" customHeight="1" x14ac:dyDescent="0.25">
      <c r="A594" s="286"/>
      <c r="B594" s="286"/>
      <c r="C594" s="286"/>
      <c r="D594" s="286"/>
      <c r="E594" s="286"/>
      <c r="F594" s="286"/>
      <c r="G594" s="286"/>
      <c r="H594" s="286"/>
      <c r="I594" s="286"/>
      <c r="J594" s="286"/>
      <c r="K594" s="286"/>
      <c r="L594" s="286"/>
      <c r="M594" s="286"/>
      <c r="N594" s="286"/>
      <c r="O594" s="286"/>
      <c r="P594" s="286"/>
      <c r="Q594" s="286"/>
      <c r="R594" s="286"/>
      <c r="S594" s="286"/>
      <c r="T594" s="286"/>
      <c r="U594" s="286"/>
      <c r="V594" s="286"/>
      <c r="W594" s="322"/>
      <c r="X594" s="322"/>
      <c r="Y594" s="322"/>
      <c r="Z594" s="322"/>
      <c r="AA594" s="322"/>
      <c r="AB594" s="322"/>
      <c r="AC594" s="322"/>
      <c r="AD594" s="328"/>
    </row>
    <row r="595" spans="1:30" ht="26.25" customHeight="1" x14ac:dyDescent="0.25">
      <c r="A595" s="286"/>
      <c r="B595" s="286"/>
      <c r="C595" s="286"/>
      <c r="D595" s="286"/>
      <c r="E595" s="286"/>
      <c r="F595" s="286"/>
      <c r="G595" s="286"/>
      <c r="H595" s="286"/>
      <c r="I595" s="286"/>
      <c r="J595" s="286"/>
      <c r="K595" s="286"/>
      <c r="L595" s="286"/>
      <c r="M595" s="286"/>
      <c r="N595" s="286"/>
      <c r="O595" s="286"/>
      <c r="P595" s="286"/>
      <c r="Q595" s="286"/>
      <c r="R595" s="286"/>
      <c r="S595" s="286"/>
      <c r="T595" s="286"/>
      <c r="U595" s="286"/>
      <c r="V595" s="286"/>
      <c r="W595" s="340"/>
      <c r="X595" s="322"/>
      <c r="Y595" s="322"/>
      <c r="Z595" s="322"/>
      <c r="AA595" s="322"/>
      <c r="AB595" s="322"/>
      <c r="AC595" s="322"/>
      <c r="AD595" s="328"/>
    </row>
    <row r="596" spans="1:30" ht="26.25" customHeight="1" x14ac:dyDescent="0.25">
      <c r="A596" s="286"/>
      <c r="B596" s="286"/>
      <c r="C596" s="286"/>
      <c r="D596" s="286"/>
      <c r="E596" s="286"/>
      <c r="F596" s="286"/>
      <c r="G596" s="286"/>
      <c r="H596" s="286"/>
      <c r="I596" s="286"/>
      <c r="J596" s="286"/>
      <c r="K596" s="286"/>
      <c r="L596" s="286"/>
      <c r="M596" s="286"/>
      <c r="N596" s="286"/>
      <c r="O596" s="286"/>
      <c r="P596" s="286"/>
      <c r="Q596" s="286"/>
      <c r="R596" s="286"/>
      <c r="S596" s="286"/>
      <c r="T596" s="286"/>
      <c r="U596" s="286"/>
      <c r="V596" s="286"/>
      <c r="W596" s="324"/>
      <c r="X596" s="322"/>
      <c r="Y596" s="322"/>
      <c r="Z596" s="322"/>
      <c r="AA596" s="322"/>
      <c r="AB596" s="322"/>
      <c r="AC596" s="322"/>
      <c r="AD596" s="328"/>
    </row>
    <row r="597" spans="1:30" ht="26.25" customHeight="1" x14ac:dyDescent="0.25">
      <c r="A597" s="286"/>
      <c r="B597" s="286"/>
      <c r="C597" s="286"/>
      <c r="D597" s="286"/>
      <c r="E597" s="286"/>
      <c r="F597" s="286"/>
      <c r="G597" s="286"/>
      <c r="H597" s="286"/>
      <c r="I597" s="286"/>
      <c r="J597" s="286"/>
      <c r="K597" s="286"/>
      <c r="L597" s="286"/>
      <c r="M597" s="286"/>
      <c r="N597" s="286"/>
      <c r="O597" s="286"/>
      <c r="P597" s="286"/>
      <c r="Q597" s="286"/>
      <c r="R597" s="286"/>
      <c r="S597" s="286"/>
      <c r="T597" s="286"/>
      <c r="U597" s="286"/>
      <c r="V597" s="286"/>
      <c r="W597" s="322"/>
      <c r="X597" s="322"/>
      <c r="Y597" s="322"/>
      <c r="Z597" s="322"/>
      <c r="AA597" s="322"/>
      <c r="AB597" s="322"/>
      <c r="AC597" s="322"/>
      <c r="AD597" s="328"/>
    </row>
    <row r="598" spans="1:30" ht="26.25" customHeight="1" x14ac:dyDescent="0.25">
      <c r="A598" s="286"/>
      <c r="B598" s="286"/>
      <c r="C598" s="286"/>
      <c r="D598" s="286"/>
      <c r="E598" s="286"/>
      <c r="F598" s="286"/>
      <c r="G598" s="286"/>
      <c r="H598" s="286"/>
      <c r="I598" s="286"/>
      <c r="J598" s="286"/>
      <c r="K598" s="286"/>
      <c r="L598" s="286"/>
      <c r="M598" s="286"/>
      <c r="N598" s="286"/>
      <c r="O598" s="286"/>
      <c r="P598" s="286"/>
      <c r="Q598" s="286"/>
      <c r="R598" s="286"/>
      <c r="S598" s="286"/>
      <c r="T598" s="286"/>
      <c r="U598" s="286"/>
      <c r="V598" s="286"/>
      <c r="W598" s="322"/>
      <c r="X598" s="322"/>
      <c r="Y598" s="322"/>
      <c r="Z598" s="322"/>
      <c r="AA598" s="322"/>
      <c r="AB598" s="322"/>
      <c r="AC598" s="322"/>
      <c r="AD598" s="328"/>
    </row>
    <row r="599" spans="1:30" ht="26.25" customHeight="1" x14ac:dyDescent="0.25">
      <c r="A599" s="286"/>
      <c r="B599" s="286"/>
      <c r="C599" s="286"/>
      <c r="D599" s="286"/>
      <c r="E599" s="286"/>
      <c r="F599" s="286"/>
      <c r="G599" s="286"/>
      <c r="H599" s="286"/>
      <c r="I599" s="286"/>
      <c r="J599" s="286"/>
      <c r="K599" s="286"/>
      <c r="L599" s="286"/>
      <c r="M599" s="286"/>
      <c r="N599" s="286"/>
      <c r="O599" s="286"/>
      <c r="P599" s="286"/>
      <c r="Q599" s="286"/>
      <c r="R599" s="286"/>
      <c r="S599" s="286"/>
      <c r="T599" s="286"/>
      <c r="U599" s="286"/>
      <c r="V599" s="286"/>
      <c r="W599" s="322"/>
      <c r="X599" s="322"/>
      <c r="Y599" s="322"/>
      <c r="Z599" s="322"/>
      <c r="AA599" s="322"/>
      <c r="AB599" s="322"/>
      <c r="AC599" s="322"/>
      <c r="AD599" s="328"/>
    </row>
    <row r="600" spans="1:30" ht="26.25" customHeight="1" x14ac:dyDescent="0.25">
      <c r="A600" s="286"/>
      <c r="B600" s="286"/>
      <c r="C600" s="286"/>
      <c r="D600" s="286"/>
      <c r="E600" s="286"/>
      <c r="F600" s="286"/>
      <c r="G600" s="286"/>
      <c r="H600" s="286"/>
      <c r="I600" s="286"/>
      <c r="J600" s="286"/>
      <c r="K600" s="286"/>
      <c r="L600" s="286"/>
      <c r="M600" s="286"/>
      <c r="N600" s="286"/>
      <c r="O600" s="286"/>
      <c r="P600" s="286"/>
      <c r="Q600" s="286"/>
      <c r="R600" s="286"/>
      <c r="S600" s="286"/>
      <c r="T600" s="286"/>
      <c r="U600" s="286"/>
      <c r="V600" s="286"/>
      <c r="W600" s="322"/>
      <c r="X600" s="322"/>
      <c r="Y600" s="322"/>
      <c r="Z600" s="322"/>
      <c r="AA600" s="322"/>
      <c r="AB600" s="322"/>
      <c r="AC600" s="322"/>
      <c r="AD600" s="328"/>
    </row>
    <row r="601" spans="1:30" ht="26.25" customHeight="1" x14ac:dyDescent="0.25">
      <c r="A601" s="286"/>
      <c r="B601" s="286"/>
      <c r="C601" s="286"/>
      <c r="D601" s="286"/>
      <c r="E601" s="286"/>
      <c r="F601" s="286"/>
      <c r="G601" s="286"/>
      <c r="H601" s="286"/>
      <c r="I601" s="286"/>
      <c r="J601" s="286"/>
      <c r="K601" s="286"/>
      <c r="L601" s="286"/>
      <c r="M601" s="286"/>
      <c r="N601" s="286"/>
      <c r="O601" s="286"/>
      <c r="P601" s="286"/>
      <c r="Q601" s="286"/>
      <c r="R601" s="286"/>
      <c r="S601" s="286"/>
      <c r="T601" s="286"/>
      <c r="U601" s="286"/>
      <c r="V601" s="286"/>
      <c r="W601" s="322"/>
      <c r="X601" s="322"/>
      <c r="Y601" s="322"/>
      <c r="Z601" s="322"/>
      <c r="AA601" s="332"/>
      <c r="AB601" s="332"/>
      <c r="AC601" s="332"/>
      <c r="AD601" s="328"/>
    </row>
    <row r="602" spans="1:30" ht="26.25" customHeight="1" x14ac:dyDescent="0.25">
      <c r="A602" s="286"/>
      <c r="B602" s="286"/>
      <c r="C602" s="286"/>
      <c r="D602" s="286"/>
      <c r="E602" s="286"/>
      <c r="F602" s="286"/>
      <c r="G602" s="286"/>
      <c r="H602" s="286"/>
      <c r="I602" s="286"/>
      <c r="J602" s="286"/>
      <c r="K602" s="286"/>
      <c r="L602" s="286"/>
      <c r="M602" s="286"/>
      <c r="N602" s="286"/>
      <c r="O602" s="286"/>
      <c r="P602" s="286"/>
      <c r="Q602" s="286"/>
      <c r="R602" s="286"/>
      <c r="S602" s="286"/>
      <c r="T602" s="286"/>
      <c r="U602" s="286"/>
      <c r="V602" s="286"/>
      <c r="W602" s="322"/>
      <c r="X602" s="340"/>
      <c r="Y602" s="340"/>
      <c r="Z602" s="340"/>
      <c r="AA602" s="320"/>
      <c r="AB602" s="320"/>
      <c r="AC602" s="320"/>
      <c r="AD602" s="328"/>
    </row>
    <row r="603" spans="1:30" ht="26.25" customHeight="1" x14ac:dyDescent="0.2">
      <c r="A603" s="286"/>
      <c r="B603" s="286"/>
      <c r="C603" s="286"/>
      <c r="D603" s="286"/>
      <c r="E603" s="286"/>
      <c r="F603" s="286"/>
      <c r="G603" s="286"/>
      <c r="H603" s="286"/>
      <c r="I603" s="286"/>
      <c r="J603" s="286"/>
      <c r="K603" s="286"/>
      <c r="L603" s="286"/>
      <c r="M603" s="286"/>
      <c r="N603" s="286"/>
      <c r="O603" s="286"/>
      <c r="P603" s="286"/>
      <c r="Q603" s="286"/>
      <c r="R603" s="286"/>
      <c r="S603" s="286"/>
      <c r="T603" s="286"/>
      <c r="U603" s="286"/>
      <c r="V603" s="286"/>
      <c r="W603" s="322"/>
      <c r="X603" s="320"/>
      <c r="Y603" s="320"/>
      <c r="Z603" s="320"/>
      <c r="AA603" s="322"/>
      <c r="AB603" s="322"/>
      <c r="AC603" s="322"/>
      <c r="AD603" s="340"/>
    </row>
    <row r="604" spans="1:30" ht="26.25" customHeight="1" x14ac:dyDescent="0.25">
      <c r="A604" s="286"/>
      <c r="B604" s="286"/>
      <c r="C604" s="286"/>
      <c r="D604" s="286"/>
      <c r="E604" s="286"/>
      <c r="F604" s="286"/>
      <c r="G604" s="286"/>
      <c r="H604" s="286"/>
      <c r="I604" s="286"/>
      <c r="J604" s="286"/>
      <c r="K604" s="286"/>
      <c r="L604" s="286"/>
      <c r="M604" s="286"/>
      <c r="N604" s="286"/>
      <c r="O604" s="286"/>
      <c r="P604" s="286"/>
      <c r="Q604" s="286"/>
      <c r="R604" s="286"/>
      <c r="S604" s="286"/>
      <c r="T604" s="286"/>
      <c r="U604" s="286"/>
      <c r="V604" s="286"/>
      <c r="W604" s="322"/>
      <c r="X604" s="322"/>
      <c r="Y604" s="322"/>
      <c r="Z604" s="322"/>
      <c r="AA604" s="322"/>
      <c r="AB604" s="322"/>
      <c r="AC604" s="322"/>
      <c r="AD604" s="328"/>
    </row>
    <row r="605" spans="1:30" ht="26.25" customHeight="1" x14ac:dyDescent="0.25">
      <c r="A605" s="286"/>
      <c r="B605" s="286"/>
      <c r="C605" s="286"/>
      <c r="D605" s="286"/>
      <c r="E605" s="286"/>
      <c r="F605" s="286"/>
      <c r="G605" s="286"/>
      <c r="H605" s="286"/>
      <c r="I605" s="286"/>
      <c r="J605" s="286"/>
      <c r="K605" s="286"/>
      <c r="L605" s="286"/>
      <c r="M605" s="286"/>
      <c r="N605" s="286"/>
      <c r="O605" s="286"/>
      <c r="P605" s="286"/>
      <c r="Q605" s="286"/>
      <c r="R605" s="286"/>
      <c r="S605" s="286"/>
      <c r="T605" s="286"/>
      <c r="U605" s="286"/>
      <c r="V605" s="286"/>
      <c r="W605" s="322"/>
      <c r="X605" s="322"/>
      <c r="Y605" s="322"/>
      <c r="Z605" s="322"/>
      <c r="AA605" s="322"/>
      <c r="AB605" s="322"/>
      <c r="AC605" s="322"/>
      <c r="AD605" s="328"/>
    </row>
    <row r="606" spans="1:30" ht="26.25" customHeight="1" x14ac:dyDescent="0.2">
      <c r="A606" s="286"/>
      <c r="B606" s="286"/>
      <c r="C606" s="286"/>
      <c r="D606" s="286"/>
      <c r="E606" s="286"/>
      <c r="F606" s="286"/>
      <c r="G606" s="286"/>
      <c r="H606" s="286"/>
      <c r="I606" s="286"/>
      <c r="J606" s="286"/>
      <c r="K606" s="286"/>
      <c r="L606" s="286"/>
      <c r="M606" s="286"/>
      <c r="N606" s="286"/>
      <c r="O606" s="286"/>
      <c r="P606" s="286"/>
      <c r="Q606" s="286"/>
      <c r="R606" s="286"/>
      <c r="S606" s="286"/>
      <c r="T606" s="286"/>
      <c r="U606" s="286"/>
      <c r="V606" s="286"/>
      <c r="W606" s="340"/>
      <c r="X606" s="322"/>
      <c r="Y606" s="322"/>
      <c r="Z606" s="322"/>
      <c r="AA606" s="322"/>
      <c r="AB606" s="322"/>
      <c r="AC606" s="322"/>
      <c r="AD606" s="340"/>
    </row>
    <row r="607" spans="1:30" ht="26.25" customHeight="1" x14ac:dyDescent="0.2">
      <c r="A607" s="286"/>
      <c r="B607" s="286"/>
      <c r="C607" s="286"/>
      <c r="D607" s="286"/>
      <c r="E607" s="286"/>
      <c r="F607" s="286"/>
      <c r="G607" s="286"/>
      <c r="H607" s="286"/>
      <c r="I607" s="286"/>
      <c r="J607" s="286"/>
      <c r="K607" s="286"/>
      <c r="L607" s="286"/>
      <c r="M607" s="286"/>
      <c r="N607" s="286"/>
      <c r="O607" s="286"/>
      <c r="P607" s="286"/>
      <c r="Q607" s="286"/>
      <c r="R607" s="286"/>
      <c r="S607" s="286"/>
      <c r="T607" s="286"/>
      <c r="U607" s="286"/>
      <c r="V607" s="286"/>
      <c r="W607" s="320"/>
      <c r="X607" s="322"/>
      <c r="Y607" s="322"/>
      <c r="Z607" s="322"/>
      <c r="AA607" s="322"/>
      <c r="AB607" s="322"/>
      <c r="AC607" s="322"/>
      <c r="AD607" s="340"/>
    </row>
    <row r="608" spans="1:30" ht="26.25" customHeight="1" x14ac:dyDescent="0.2">
      <c r="A608" s="286"/>
      <c r="B608" s="286"/>
      <c r="C608" s="286"/>
      <c r="D608" s="286"/>
      <c r="E608" s="286"/>
      <c r="F608" s="286"/>
      <c r="G608" s="286"/>
      <c r="H608" s="286"/>
      <c r="I608" s="286"/>
      <c r="J608" s="286"/>
      <c r="K608" s="286"/>
      <c r="L608" s="286"/>
      <c r="M608" s="286"/>
      <c r="N608" s="286"/>
      <c r="O608" s="286"/>
      <c r="P608" s="286"/>
      <c r="Q608" s="286"/>
      <c r="R608" s="286"/>
      <c r="S608" s="286"/>
      <c r="T608" s="286"/>
      <c r="U608" s="286"/>
      <c r="V608" s="286"/>
      <c r="W608" s="322"/>
      <c r="X608" s="322"/>
      <c r="Y608" s="322"/>
      <c r="Z608" s="322"/>
      <c r="AA608" s="322"/>
      <c r="AB608" s="322"/>
      <c r="AC608" s="322"/>
      <c r="AD608" s="340"/>
    </row>
    <row r="609" spans="1:30" ht="26.25" customHeight="1" x14ac:dyDescent="0.2">
      <c r="A609" s="286"/>
      <c r="B609" s="286"/>
      <c r="C609" s="286"/>
      <c r="D609" s="286"/>
      <c r="E609" s="286"/>
      <c r="F609" s="286"/>
      <c r="G609" s="286"/>
      <c r="H609" s="286"/>
      <c r="I609" s="286"/>
      <c r="J609" s="286"/>
      <c r="K609" s="286"/>
      <c r="L609" s="286"/>
      <c r="M609" s="286"/>
      <c r="N609" s="286"/>
      <c r="O609" s="286"/>
      <c r="P609" s="286"/>
      <c r="Q609" s="286"/>
      <c r="R609" s="286"/>
      <c r="S609" s="286"/>
      <c r="T609" s="286"/>
      <c r="U609" s="286"/>
      <c r="V609" s="286"/>
      <c r="W609" s="322"/>
      <c r="X609" s="322"/>
      <c r="Y609" s="322"/>
      <c r="Z609" s="322"/>
      <c r="AA609" s="322"/>
      <c r="AB609" s="322"/>
      <c r="AC609" s="322"/>
      <c r="AD609" s="340"/>
    </row>
    <row r="610" spans="1:30" ht="26.25" customHeight="1" x14ac:dyDescent="0.2">
      <c r="A610" s="286"/>
      <c r="B610" s="286"/>
      <c r="C610" s="286"/>
      <c r="D610" s="286"/>
      <c r="E610" s="286"/>
      <c r="F610" s="286"/>
      <c r="G610" s="286"/>
      <c r="H610" s="286"/>
      <c r="I610" s="286"/>
      <c r="J610" s="286"/>
      <c r="K610" s="286"/>
      <c r="L610" s="286"/>
      <c r="M610" s="286"/>
      <c r="N610" s="286"/>
      <c r="O610" s="286"/>
      <c r="P610" s="286"/>
      <c r="Q610" s="286"/>
      <c r="R610" s="286"/>
      <c r="S610" s="286"/>
      <c r="T610" s="286"/>
      <c r="U610" s="286"/>
      <c r="V610" s="286"/>
      <c r="W610" s="322"/>
      <c r="X610" s="322"/>
      <c r="Y610" s="322"/>
      <c r="Z610" s="322"/>
      <c r="AA610" s="322"/>
      <c r="AB610" s="322"/>
      <c r="AC610" s="322"/>
      <c r="AD610" s="340"/>
    </row>
    <row r="611" spans="1:30" ht="26.25" customHeight="1" x14ac:dyDescent="0.2">
      <c r="A611" s="286"/>
      <c r="B611" s="286"/>
      <c r="C611" s="286"/>
      <c r="D611" s="286"/>
      <c r="E611" s="286"/>
      <c r="F611" s="286"/>
      <c r="G611" s="286"/>
      <c r="H611" s="286"/>
      <c r="I611" s="286"/>
      <c r="J611" s="286"/>
      <c r="K611" s="286"/>
      <c r="L611" s="286"/>
      <c r="M611" s="286"/>
      <c r="N611" s="286"/>
      <c r="O611" s="286"/>
      <c r="P611" s="286"/>
      <c r="Q611" s="286"/>
      <c r="R611" s="286"/>
      <c r="S611" s="286"/>
      <c r="T611" s="286"/>
      <c r="U611" s="286"/>
      <c r="V611" s="286"/>
      <c r="W611" s="322"/>
      <c r="X611" s="322"/>
      <c r="Y611" s="322"/>
      <c r="Z611" s="322"/>
      <c r="AA611" s="322"/>
      <c r="AB611" s="322"/>
      <c r="AC611" s="322"/>
      <c r="AD611" s="340"/>
    </row>
    <row r="612" spans="1:30" ht="26.25" customHeight="1" x14ac:dyDescent="0.2">
      <c r="A612" s="286"/>
      <c r="B612" s="286"/>
      <c r="C612" s="286"/>
      <c r="D612" s="286"/>
      <c r="E612" s="286"/>
      <c r="F612" s="286"/>
      <c r="G612" s="286"/>
      <c r="H612" s="286"/>
      <c r="I612" s="286"/>
      <c r="J612" s="286"/>
      <c r="K612" s="286"/>
      <c r="L612" s="286"/>
      <c r="M612" s="286"/>
      <c r="N612" s="286"/>
      <c r="O612" s="286"/>
      <c r="P612" s="286"/>
      <c r="Q612" s="286"/>
      <c r="R612" s="286"/>
      <c r="S612" s="286"/>
      <c r="T612" s="286"/>
      <c r="U612" s="286"/>
      <c r="V612" s="286"/>
      <c r="W612" s="322"/>
      <c r="X612" s="322"/>
      <c r="Y612" s="322"/>
      <c r="Z612" s="322"/>
      <c r="AA612" s="340"/>
      <c r="AB612" s="340"/>
      <c r="AC612" s="340"/>
      <c r="AD612" s="340"/>
    </row>
    <row r="613" spans="1:30" ht="26.25" customHeight="1" x14ac:dyDescent="0.2">
      <c r="A613" s="286"/>
      <c r="B613" s="286"/>
      <c r="C613" s="286"/>
      <c r="D613" s="286"/>
      <c r="E613" s="286"/>
      <c r="F613" s="286"/>
      <c r="G613" s="286"/>
      <c r="H613" s="286"/>
      <c r="I613" s="286"/>
      <c r="J613" s="286"/>
      <c r="K613" s="286"/>
      <c r="L613" s="286"/>
      <c r="M613" s="286"/>
      <c r="N613" s="286"/>
      <c r="O613" s="286"/>
      <c r="P613" s="286"/>
      <c r="Q613" s="286"/>
      <c r="R613" s="286"/>
      <c r="S613" s="286"/>
      <c r="T613" s="286"/>
      <c r="U613" s="286"/>
      <c r="V613" s="286"/>
      <c r="W613" s="322"/>
      <c r="AA613" s="324"/>
      <c r="AB613" s="324"/>
      <c r="AC613" s="324"/>
      <c r="AD613" s="340"/>
    </row>
    <row r="614" spans="1:30" ht="26.25" customHeight="1" x14ac:dyDescent="0.2">
      <c r="A614" s="286"/>
      <c r="B614" s="286"/>
      <c r="C614" s="286"/>
      <c r="D614" s="286"/>
      <c r="E614" s="286"/>
      <c r="F614" s="286"/>
      <c r="G614" s="286"/>
      <c r="H614" s="286"/>
      <c r="I614" s="286"/>
      <c r="J614" s="286"/>
      <c r="K614" s="286"/>
      <c r="L614" s="286"/>
      <c r="M614" s="286"/>
      <c r="N614" s="286"/>
      <c r="O614" s="286"/>
      <c r="P614" s="286"/>
      <c r="Q614" s="286"/>
      <c r="R614" s="286"/>
      <c r="S614" s="286"/>
      <c r="T614" s="286"/>
      <c r="U614" s="286"/>
      <c r="V614" s="286"/>
      <c r="W614" s="322"/>
      <c r="AA614" s="322"/>
      <c r="AB614" s="322"/>
      <c r="AC614" s="322"/>
      <c r="AD614" s="340"/>
    </row>
    <row r="615" spans="1:30" ht="26.25" customHeight="1" x14ac:dyDescent="0.2">
      <c r="A615" s="286"/>
      <c r="B615" s="286"/>
      <c r="C615" s="286"/>
      <c r="D615" s="286"/>
      <c r="E615" s="286"/>
      <c r="F615" s="286"/>
      <c r="G615" s="286"/>
      <c r="H615" s="286"/>
      <c r="I615" s="286"/>
      <c r="J615" s="286"/>
      <c r="K615" s="286"/>
      <c r="L615" s="286"/>
      <c r="M615" s="286"/>
      <c r="N615" s="286"/>
      <c r="O615" s="286"/>
      <c r="P615" s="286"/>
      <c r="Q615" s="286"/>
      <c r="R615" s="286"/>
      <c r="S615" s="286"/>
      <c r="T615" s="286"/>
      <c r="U615" s="286"/>
      <c r="V615" s="286"/>
      <c r="W615" s="322"/>
      <c r="AA615" s="322"/>
      <c r="AB615" s="322"/>
      <c r="AC615" s="322"/>
      <c r="AD615" s="340"/>
    </row>
    <row r="616" spans="1:30" ht="26.25" customHeight="1" x14ac:dyDescent="0.2">
      <c r="A616" s="286"/>
      <c r="B616" s="286"/>
      <c r="C616" s="286"/>
      <c r="D616" s="286"/>
      <c r="E616" s="286"/>
      <c r="F616" s="286"/>
      <c r="G616" s="286"/>
      <c r="H616" s="286"/>
      <c r="I616" s="286"/>
      <c r="J616" s="286"/>
      <c r="K616" s="286"/>
      <c r="L616" s="286"/>
      <c r="M616" s="286"/>
      <c r="N616" s="286"/>
      <c r="O616" s="286"/>
      <c r="P616" s="286"/>
      <c r="Q616" s="286"/>
      <c r="R616" s="286"/>
      <c r="S616" s="286"/>
      <c r="T616" s="286"/>
      <c r="U616" s="286"/>
      <c r="V616" s="286"/>
      <c r="W616" s="322"/>
      <c r="AA616" s="322"/>
      <c r="AB616" s="322"/>
      <c r="AC616" s="322"/>
      <c r="AD616" s="340"/>
    </row>
    <row r="617" spans="1:30" ht="26.25" customHeight="1" x14ac:dyDescent="0.2">
      <c r="A617" s="286"/>
      <c r="B617" s="286"/>
      <c r="C617" s="286"/>
      <c r="D617" s="286"/>
      <c r="E617" s="286"/>
      <c r="F617" s="286"/>
      <c r="G617" s="286"/>
      <c r="H617" s="286"/>
      <c r="I617" s="286"/>
      <c r="J617" s="286"/>
      <c r="K617" s="286"/>
      <c r="L617" s="286"/>
      <c r="M617" s="286"/>
      <c r="N617" s="286"/>
      <c r="O617" s="286"/>
      <c r="P617" s="286"/>
      <c r="Q617" s="286"/>
      <c r="R617" s="286"/>
      <c r="S617" s="286"/>
      <c r="T617" s="286"/>
      <c r="U617" s="286"/>
      <c r="V617" s="286"/>
      <c r="AA617" s="322"/>
      <c r="AB617" s="322"/>
      <c r="AC617" s="322"/>
      <c r="AD617" s="340"/>
    </row>
    <row r="618" spans="1:30" ht="26.25" customHeight="1" x14ac:dyDescent="0.2">
      <c r="A618" s="286"/>
      <c r="B618" s="286"/>
      <c r="C618" s="286"/>
      <c r="D618" s="286"/>
      <c r="E618" s="286"/>
      <c r="F618" s="286"/>
      <c r="G618" s="286"/>
      <c r="H618" s="286"/>
      <c r="I618" s="286"/>
      <c r="J618" s="286"/>
      <c r="K618" s="286"/>
      <c r="L618" s="286"/>
      <c r="M618" s="286"/>
      <c r="N618" s="286"/>
      <c r="O618" s="286"/>
      <c r="P618" s="286"/>
      <c r="Q618" s="286"/>
      <c r="R618" s="286"/>
      <c r="S618" s="286"/>
      <c r="T618" s="286"/>
      <c r="U618" s="286"/>
      <c r="V618" s="286"/>
      <c r="AA618" s="322"/>
      <c r="AB618" s="322"/>
      <c r="AC618" s="322"/>
      <c r="AD618" s="340"/>
    </row>
    <row r="619" spans="1:30" ht="26.25" customHeight="1" x14ac:dyDescent="0.2">
      <c r="A619" s="286"/>
      <c r="B619" s="286"/>
      <c r="C619" s="286"/>
      <c r="D619" s="286"/>
      <c r="E619" s="286"/>
      <c r="F619" s="286"/>
      <c r="G619" s="286"/>
      <c r="H619" s="286"/>
      <c r="I619" s="286"/>
      <c r="J619" s="286"/>
      <c r="K619" s="286"/>
      <c r="L619" s="286"/>
      <c r="M619" s="286"/>
      <c r="N619" s="286"/>
      <c r="O619" s="286"/>
      <c r="P619" s="286"/>
      <c r="Q619" s="286"/>
      <c r="R619" s="286"/>
      <c r="S619" s="286"/>
      <c r="T619" s="286"/>
      <c r="U619" s="286"/>
      <c r="V619" s="286"/>
      <c r="AA619" s="322"/>
      <c r="AB619" s="322"/>
      <c r="AC619" s="322"/>
      <c r="AD619" s="340"/>
    </row>
    <row r="620" spans="1:30" ht="26.25" customHeight="1" x14ac:dyDescent="0.2">
      <c r="A620" s="286"/>
      <c r="B620" s="286"/>
      <c r="C620" s="286"/>
      <c r="D620" s="286"/>
      <c r="E620" s="286"/>
      <c r="F620" s="286"/>
      <c r="G620" s="286"/>
      <c r="H620" s="286"/>
      <c r="I620" s="286"/>
      <c r="J620" s="286"/>
      <c r="K620" s="286"/>
      <c r="L620" s="286"/>
      <c r="M620" s="286"/>
      <c r="N620" s="286"/>
      <c r="O620" s="286"/>
      <c r="P620" s="286"/>
      <c r="Q620" s="286"/>
      <c r="R620" s="286"/>
      <c r="S620" s="286"/>
      <c r="T620" s="286"/>
      <c r="U620" s="286"/>
      <c r="V620" s="286"/>
      <c r="AA620" s="322"/>
      <c r="AB620" s="322"/>
      <c r="AC620" s="322"/>
      <c r="AD620" s="340"/>
    </row>
    <row r="621" spans="1:30" ht="26.25" customHeight="1" x14ac:dyDescent="0.2">
      <c r="A621" s="286"/>
      <c r="B621" s="286"/>
      <c r="C621" s="286"/>
      <c r="D621" s="286"/>
      <c r="E621" s="286"/>
      <c r="F621" s="286"/>
      <c r="G621" s="286"/>
      <c r="H621" s="286"/>
      <c r="I621" s="286"/>
      <c r="J621" s="286"/>
      <c r="K621" s="286"/>
      <c r="L621" s="286"/>
      <c r="M621" s="286"/>
      <c r="N621" s="286"/>
      <c r="O621" s="286"/>
      <c r="P621" s="286"/>
      <c r="Q621" s="286"/>
      <c r="R621" s="286"/>
      <c r="S621" s="286"/>
      <c r="T621" s="286"/>
      <c r="U621" s="286"/>
      <c r="V621" s="286"/>
      <c r="AA621" s="322"/>
      <c r="AB621" s="322"/>
      <c r="AC621" s="322"/>
      <c r="AD621" s="340"/>
    </row>
    <row r="622" spans="1:30" ht="26.25" customHeight="1" x14ac:dyDescent="0.2">
      <c r="A622" s="286"/>
      <c r="B622" s="286"/>
      <c r="C622" s="286"/>
      <c r="D622" s="286"/>
      <c r="E622" s="286"/>
      <c r="F622" s="286"/>
      <c r="G622" s="286"/>
      <c r="H622" s="286"/>
      <c r="I622" s="286"/>
      <c r="J622" s="286"/>
      <c r="K622" s="286"/>
      <c r="L622" s="286"/>
      <c r="M622" s="286"/>
      <c r="N622" s="286"/>
      <c r="O622" s="286"/>
      <c r="P622" s="286"/>
      <c r="Q622" s="286"/>
      <c r="R622" s="286"/>
      <c r="S622" s="286"/>
      <c r="T622" s="286"/>
      <c r="U622" s="286"/>
      <c r="V622" s="286"/>
      <c r="AA622" s="322"/>
      <c r="AB622" s="322"/>
      <c r="AC622" s="322"/>
      <c r="AD622" s="340"/>
    </row>
    <row r="623" spans="1:30" ht="26.25" customHeight="1" x14ac:dyDescent="0.2">
      <c r="A623" s="286"/>
      <c r="B623" s="286"/>
      <c r="C623" s="286"/>
      <c r="D623" s="286"/>
      <c r="E623" s="286"/>
      <c r="F623" s="286"/>
      <c r="G623" s="286"/>
      <c r="H623" s="286"/>
      <c r="I623" s="286"/>
      <c r="J623" s="286"/>
      <c r="K623" s="286"/>
      <c r="L623" s="286"/>
      <c r="M623" s="286"/>
      <c r="N623" s="286"/>
      <c r="O623" s="286"/>
      <c r="P623" s="286"/>
      <c r="Q623" s="286"/>
      <c r="R623" s="286"/>
      <c r="S623" s="286"/>
      <c r="T623" s="286"/>
      <c r="U623" s="286"/>
      <c r="V623" s="286"/>
      <c r="AA623" s="340"/>
      <c r="AB623" s="340"/>
      <c r="AC623" s="340"/>
      <c r="AD623" s="340"/>
    </row>
    <row r="624" spans="1:30" ht="26.25" customHeight="1" x14ac:dyDescent="0.2">
      <c r="A624" s="286"/>
      <c r="B624" s="286"/>
      <c r="C624" s="286"/>
      <c r="D624" s="286"/>
      <c r="E624" s="286"/>
      <c r="F624" s="286"/>
      <c r="G624" s="286"/>
      <c r="H624" s="286"/>
      <c r="I624" s="286"/>
      <c r="J624" s="286"/>
      <c r="K624" s="286"/>
      <c r="L624" s="286"/>
      <c r="M624" s="286"/>
      <c r="N624" s="286"/>
      <c r="O624" s="286"/>
      <c r="P624" s="286"/>
      <c r="Q624" s="286"/>
      <c r="R624" s="286"/>
      <c r="S624" s="286"/>
      <c r="T624" s="286"/>
      <c r="U624" s="286"/>
      <c r="V624" s="286"/>
      <c r="AA624" s="320"/>
      <c r="AB624" s="320"/>
      <c r="AC624" s="320"/>
      <c r="AD624" s="340"/>
    </row>
    <row r="625" spans="1:30" ht="26.25" customHeight="1" x14ac:dyDescent="0.2">
      <c r="A625" s="286"/>
      <c r="B625" s="286"/>
      <c r="C625" s="286"/>
      <c r="D625" s="286"/>
      <c r="E625" s="286"/>
      <c r="F625" s="286"/>
      <c r="G625" s="286"/>
      <c r="H625" s="286"/>
      <c r="I625" s="286"/>
      <c r="J625" s="286"/>
      <c r="K625" s="286"/>
      <c r="L625" s="286"/>
      <c r="M625" s="286"/>
      <c r="N625" s="286"/>
      <c r="O625" s="286"/>
      <c r="P625" s="286"/>
      <c r="Q625" s="286"/>
      <c r="R625" s="286"/>
      <c r="S625" s="286"/>
      <c r="T625" s="286"/>
      <c r="U625" s="286"/>
      <c r="V625" s="286"/>
      <c r="AA625" s="322"/>
      <c r="AB625" s="322"/>
      <c r="AC625" s="322"/>
      <c r="AD625" s="340"/>
    </row>
    <row r="626" spans="1:30" ht="26.25" customHeight="1" x14ac:dyDescent="0.2">
      <c r="A626" s="286"/>
      <c r="B626" s="286"/>
      <c r="C626" s="286"/>
      <c r="D626" s="286"/>
      <c r="E626" s="286"/>
      <c r="F626" s="286"/>
      <c r="G626" s="286"/>
      <c r="H626" s="286"/>
      <c r="I626" s="286"/>
      <c r="J626" s="286"/>
      <c r="K626" s="286"/>
      <c r="L626" s="286"/>
      <c r="M626" s="286"/>
      <c r="N626" s="286"/>
      <c r="O626" s="286"/>
      <c r="P626" s="286"/>
      <c r="Q626" s="286"/>
      <c r="R626" s="286"/>
      <c r="S626" s="286"/>
      <c r="T626" s="286"/>
      <c r="U626" s="286"/>
      <c r="V626" s="286"/>
      <c r="AA626" s="322"/>
      <c r="AB626" s="322"/>
      <c r="AC626" s="322"/>
      <c r="AD626" s="340"/>
    </row>
    <row r="627" spans="1:30" ht="26.25" customHeight="1" x14ac:dyDescent="0.2">
      <c r="A627" s="286"/>
      <c r="B627" s="286"/>
      <c r="C627" s="286"/>
      <c r="D627" s="286"/>
      <c r="E627" s="286"/>
      <c r="F627" s="286"/>
      <c r="G627" s="286"/>
      <c r="H627" s="286"/>
      <c r="I627" s="286"/>
      <c r="J627" s="286"/>
      <c r="K627" s="286"/>
      <c r="L627" s="286"/>
      <c r="M627" s="286"/>
      <c r="N627" s="286"/>
      <c r="O627" s="286"/>
      <c r="P627" s="286"/>
      <c r="Q627" s="286"/>
      <c r="R627" s="286"/>
      <c r="S627" s="286"/>
      <c r="T627" s="286"/>
      <c r="U627" s="286"/>
      <c r="V627" s="286"/>
      <c r="AA627" s="322"/>
      <c r="AB627" s="322"/>
      <c r="AC627" s="322"/>
      <c r="AD627" s="340"/>
    </row>
    <row r="628" spans="1:30" ht="26.25" customHeight="1" x14ac:dyDescent="0.2">
      <c r="A628" s="286"/>
      <c r="B628" s="286"/>
      <c r="C628" s="286"/>
      <c r="D628" s="286"/>
      <c r="E628" s="286"/>
      <c r="F628" s="286"/>
      <c r="G628" s="286"/>
      <c r="H628" s="286"/>
      <c r="I628" s="286"/>
      <c r="J628" s="286"/>
      <c r="K628" s="286"/>
      <c r="L628" s="286"/>
      <c r="M628" s="286"/>
      <c r="N628" s="286"/>
      <c r="O628" s="286"/>
      <c r="P628" s="286"/>
      <c r="Q628" s="286"/>
      <c r="R628" s="286"/>
      <c r="S628" s="286"/>
      <c r="T628" s="286"/>
      <c r="U628" s="286"/>
      <c r="V628" s="286"/>
      <c r="AA628" s="322"/>
      <c r="AB628" s="322"/>
      <c r="AC628" s="322"/>
      <c r="AD628" s="340"/>
    </row>
    <row r="629" spans="1:30" ht="26.25" customHeight="1" x14ac:dyDescent="0.2">
      <c r="A629" s="286"/>
      <c r="B629" s="286"/>
      <c r="C629" s="286"/>
      <c r="D629" s="286"/>
      <c r="E629" s="286"/>
      <c r="F629" s="286"/>
      <c r="G629" s="286"/>
      <c r="H629" s="286"/>
      <c r="I629" s="286"/>
      <c r="J629" s="286"/>
      <c r="K629" s="286"/>
      <c r="L629" s="286"/>
      <c r="M629" s="286"/>
      <c r="N629" s="286"/>
      <c r="O629" s="286"/>
      <c r="P629" s="286"/>
      <c r="Q629" s="286"/>
      <c r="R629" s="286"/>
      <c r="S629" s="286"/>
      <c r="T629" s="286"/>
      <c r="U629" s="286"/>
      <c r="V629" s="286"/>
      <c r="AA629" s="322"/>
      <c r="AB629" s="322"/>
      <c r="AC629" s="322"/>
      <c r="AD629" s="340"/>
    </row>
    <row r="630" spans="1:30" ht="26.25" customHeight="1" x14ac:dyDescent="0.2">
      <c r="A630" s="286"/>
      <c r="B630" s="286"/>
      <c r="C630" s="286"/>
      <c r="D630" s="286"/>
      <c r="E630" s="286"/>
      <c r="F630" s="286"/>
      <c r="G630" s="286"/>
      <c r="H630" s="286"/>
      <c r="I630" s="286"/>
      <c r="J630" s="286"/>
      <c r="K630" s="286"/>
      <c r="L630" s="286"/>
      <c r="M630" s="286"/>
      <c r="N630" s="286"/>
      <c r="O630" s="286"/>
      <c r="P630" s="286"/>
      <c r="Q630" s="286"/>
      <c r="R630" s="286"/>
      <c r="S630" s="286"/>
      <c r="T630" s="286"/>
      <c r="U630" s="286"/>
      <c r="V630" s="286"/>
      <c r="AA630" s="322"/>
      <c r="AB630" s="322"/>
      <c r="AC630" s="322"/>
      <c r="AD630" s="340"/>
    </row>
    <row r="631" spans="1:30" ht="26.25" customHeight="1" x14ac:dyDescent="0.2">
      <c r="A631" s="286"/>
      <c r="B631" s="286"/>
      <c r="C631" s="286"/>
      <c r="D631" s="286"/>
      <c r="E631" s="286"/>
      <c r="F631" s="286"/>
      <c r="G631" s="286"/>
      <c r="H631" s="286"/>
      <c r="I631" s="286"/>
      <c r="J631" s="286"/>
      <c r="K631" s="286"/>
      <c r="L631" s="286"/>
      <c r="M631" s="286"/>
      <c r="N631" s="286"/>
      <c r="O631" s="286"/>
      <c r="P631" s="286"/>
      <c r="Q631" s="286"/>
      <c r="R631" s="286"/>
      <c r="S631" s="286"/>
      <c r="T631" s="286"/>
      <c r="U631" s="286"/>
      <c r="V631" s="286"/>
      <c r="AA631" s="322"/>
      <c r="AB631" s="322"/>
      <c r="AC631" s="322"/>
      <c r="AD631" s="340"/>
    </row>
    <row r="632" spans="1:30" ht="26.25" customHeight="1" x14ac:dyDescent="0.2">
      <c r="A632" s="286"/>
      <c r="B632" s="286"/>
      <c r="C632" s="286"/>
      <c r="D632" s="286"/>
      <c r="E632" s="286"/>
      <c r="F632" s="286"/>
      <c r="G632" s="286"/>
      <c r="H632" s="286"/>
      <c r="I632" s="286"/>
      <c r="J632" s="286"/>
      <c r="K632" s="286"/>
      <c r="L632" s="286"/>
      <c r="M632" s="286"/>
      <c r="N632" s="286"/>
      <c r="O632" s="286"/>
      <c r="P632" s="286"/>
      <c r="Q632" s="286"/>
      <c r="R632" s="286"/>
      <c r="S632" s="286"/>
      <c r="T632" s="286"/>
      <c r="U632" s="286"/>
      <c r="V632" s="286"/>
      <c r="AA632" s="322"/>
      <c r="AB632" s="322"/>
      <c r="AC632" s="322"/>
      <c r="AD632" s="340"/>
    </row>
    <row r="633" spans="1:30" ht="26.25" customHeight="1" x14ac:dyDescent="0.2">
      <c r="A633" s="286"/>
      <c r="B633" s="286"/>
      <c r="C633" s="286"/>
      <c r="D633" s="286"/>
      <c r="E633" s="286"/>
      <c r="F633" s="286"/>
      <c r="G633" s="286"/>
      <c r="H633" s="286"/>
      <c r="I633" s="286"/>
      <c r="J633" s="286"/>
      <c r="K633" s="286"/>
      <c r="L633" s="286"/>
      <c r="M633" s="286"/>
      <c r="N633" s="286"/>
      <c r="O633" s="286"/>
      <c r="P633" s="286"/>
      <c r="Q633" s="286"/>
      <c r="R633" s="286"/>
      <c r="S633" s="286"/>
      <c r="T633" s="286"/>
      <c r="U633" s="286"/>
      <c r="V633" s="286"/>
      <c r="AA633" s="322"/>
      <c r="AB633" s="322"/>
      <c r="AC633" s="322"/>
      <c r="AD633" s="340"/>
    </row>
    <row r="634" spans="1:30" ht="26.25" customHeight="1" x14ac:dyDescent="0.2">
      <c r="A634" s="286"/>
      <c r="B634" s="286"/>
      <c r="C634" s="286"/>
      <c r="D634" s="286"/>
      <c r="E634" s="286"/>
      <c r="F634" s="286"/>
      <c r="G634" s="286"/>
      <c r="H634" s="286"/>
      <c r="I634" s="286"/>
      <c r="J634" s="286"/>
      <c r="K634" s="286"/>
      <c r="L634" s="286"/>
      <c r="M634" s="286"/>
      <c r="N634" s="286"/>
      <c r="O634" s="286"/>
      <c r="P634" s="286"/>
      <c r="Q634" s="286"/>
      <c r="R634" s="286"/>
      <c r="S634" s="286"/>
      <c r="T634" s="286"/>
      <c r="U634" s="286"/>
      <c r="V634" s="286"/>
    </row>
    <row r="635" spans="1:30" ht="26.25" customHeight="1" x14ac:dyDescent="0.2">
      <c r="A635" s="286"/>
      <c r="B635" s="286"/>
      <c r="C635" s="286"/>
      <c r="D635" s="286"/>
      <c r="E635" s="286"/>
      <c r="F635" s="286"/>
      <c r="G635" s="286"/>
      <c r="H635" s="286"/>
      <c r="I635" s="286"/>
      <c r="J635" s="286"/>
      <c r="K635" s="286"/>
      <c r="L635" s="286"/>
      <c r="M635" s="286"/>
      <c r="N635" s="286"/>
      <c r="O635" s="286"/>
      <c r="P635" s="286"/>
      <c r="Q635" s="286"/>
      <c r="R635" s="286"/>
      <c r="S635" s="286"/>
      <c r="T635" s="286"/>
      <c r="U635" s="286"/>
      <c r="V635" s="286"/>
    </row>
    <row r="636" spans="1:30" ht="26.25" customHeight="1" x14ac:dyDescent="0.2">
      <c r="A636" s="286"/>
      <c r="B636" s="286"/>
      <c r="C636" s="286"/>
      <c r="D636" s="286"/>
      <c r="E636" s="286"/>
      <c r="F636" s="286"/>
      <c r="G636" s="286"/>
      <c r="H636" s="286"/>
      <c r="I636" s="286"/>
      <c r="J636" s="286"/>
      <c r="K636" s="286"/>
      <c r="L636" s="286"/>
      <c r="M636" s="286"/>
      <c r="N636" s="286"/>
      <c r="O636" s="286"/>
      <c r="P636" s="286"/>
      <c r="Q636" s="286"/>
      <c r="R636" s="286"/>
      <c r="S636" s="286"/>
      <c r="T636" s="286"/>
      <c r="U636" s="286"/>
      <c r="V636" s="286"/>
    </row>
    <row r="637" spans="1:30" ht="26.25" customHeight="1" x14ac:dyDescent="0.2">
      <c r="A637" s="286"/>
      <c r="B637" s="286"/>
      <c r="C637" s="286"/>
      <c r="D637" s="286"/>
      <c r="E637" s="286"/>
      <c r="F637" s="286"/>
      <c r="G637" s="286"/>
      <c r="H637" s="286"/>
      <c r="I637" s="286"/>
      <c r="J637" s="286"/>
      <c r="K637" s="286"/>
      <c r="L637" s="286"/>
      <c r="M637" s="286"/>
      <c r="N637" s="286"/>
      <c r="O637" s="286"/>
      <c r="P637" s="286"/>
      <c r="Q637" s="286"/>
      <c r="R637" s="286"/>
      <c r="S637" s="286"/>
      <c r="T637" s="286"/>
      <c r="U637" s="286"/>
      <c r="V637" s="286"/>
    </row>
    <row r="638" spans="1:30" ht="26.25" customHeight="1" x14ac:dyDescent="0.2">
      <c r="A638" s="286"/>
      <c r="B638" s="286"/>
      <c r="C638" s="286"/>
      <c r="D638" s="286"/>
      <c r="E638" s="286"/>
      <c r="F638" s="286"/>
      <c r="G638" s="286"/>
      <c r="H638" s="286"/>
      <c r="I638" s="286"/>
      <c r="J638" s="286"/>
      <c r="K638" s="286"/>
      <c r="L638" s="286"/>
      <c r="M638" s="286"/>
      <c r="N638" s="286"/>
      <c r="O638" s="286"/>
      <c r="P638" s="286"/>
      <c r="Q638" s="286"/>
      <c r="R638" s="286"/>
      <c r="S638" s="286"/>
      <c r="T638" s="286"/>
      <c r="U638" s="286"/>
      <c r="V638" s="286"/>
    </row>
    <row r="639" spans="1:30" ht="26.25" customHeight="1" x14ac:dyDescent="0.2">
      <c r="A639" s="286"/>
      <c r="B639" s="286"/>
      <c r="C639" s="286"/>
      <c r="D639" s="286"/>
      <c r="E639" s="286"/>
      <c r="F639" s="286"/>
      <c r="G639" s="286"/>
      <c r="H639" s="286"/>
      <c r="I639" s="286"/>
      <c r="J639" s="286"/>
      <c r="K639" s="286"/>
      <c r="L639" s="286"/>
      <c r="M639" s="286"/>
      <c r="N639" s="286"/>
      <c r="O639" s="286"/>
      <c r="P639" s="286"/>
      <c r="Q639" s="286"/>
      <c r="R639" s="286"/>
      <c r="S639" s="286"/>
      <c r="T639" s="286"/>
      <c r="U639" s="286"/>
      <c r="V639" s="286"/>
    </row>
    <row r="640" spans="1:30" ht="26.25" customHeight="1" x14ac:dyDescent="0.2">
      <c r="A640" s="286"/>
      <c r="B640" s="286"/>
      <c r="C640" s="286"/>
      <c r="D640" s="286"/>
      <c r="E640" s="286"/>
      <c r="F640" s="286"/>
      <c r="G640" s="286"/>
      <c r="H640" s="286"/>
      <c r="I640" s="286"/>
      <c r="J640" s="286"/>
      <c r="K640" s="286"/>
      <c r="L640" s="286"/>
      <c r="M640" s="286"/>
      <c r="N640" s="286"/>
      <c r="O640" s="286"/>
      <c r="P640" s="286"/>
      <c r="Q640" s="286"/>
      <c r="R640" s="286"/>
      <c r="S640" s="286"/>
      <c r="T640" s="286"/>
      <c r="U640" s="286"/>
      <c r="V640" s="286"/>
    </row>
    <row r="641" spans="1:22" ht="26.25" customHeight="1" x14ac:dyDescent="0.2">
      <c r="A641" s="286"/>
      <c r="B641" s="286"/>
      <c r="C641" s="286"/>
      <c r="D641" s="286"/>
      <c r="E641" s="286"/>
      <c r="F641" s="286"/>
      <c r="G641" s="286"/>
      <c r="H641" s="286"/>
      <c r="I641" s="286"/>
      <c r="J641" s="286"/>
      <c r="K641" s="286"/>
      <c r="L641" s="286"/>
      <c r="M641" s="286"/>
      <c r="N641" s="286"/>
      <c r="O641" s="286"/>
      <c r="P641" s="286"/>
      <c r="Q641" s="286"/>
      <c r="R641" s="286"/>
      <c r="S641" s="286"/>
      <c r="T641" s="286"/>
      <c r="U641" s="286"/>
      <c r="V641" s="286"/>
    </row>
    <row r="642" spans="1:22" ht="26.25" customHeight="1" x14ac:dyDescent="0.2">
      <c r="A642" s="286"/>
      <c r="B642" s="286"/>
      <c r="C642" s="286"/>
      <c r="D642" s="286"/>
      <c r="E642" s="286"/>
      <c r="F642" s="286"/>
      <c r="G642" s="286"/>
      <c r="H642" s="286"/>
      <c r="I642" s="286"/>
      <c r="J642" s="286"/>
      <c r="K642" s="286"/>
      <c r="L642" s="286"/>
      <c r="M642" s="286"/>
      <c r="N642" s="286"/>
      <c r="O642" s="286"/>
      <c r="P642" s="286"/>
      <c r="Q642" s="286"/>
      <c r="R642" s="286"/>
      <c r="S642" s="286"/>
      <c r="T642" s="286"/>
      <c r="U642" s="286"/>
      <c r="V642" s="286"/>
    </row>
    <row r="643" spans="1:22" ht="26.25" customHeight="1" x14ac:dyDescent="0.2">
      <c r="A643" s="286"/>
      <c r="B643" s="286"/>
      <c r="C643" s="286"/>
      <c r="D643" s="286"/>
      <c r="E643" s="286"/>
      <c r="F643" s="286"/>
      <c r="G643" s="286"/>
      <c r="H643" s="286"/>
      <c r="I643" s="286"/>
      <c r="J643" s="286"/>
      <c r="K643" s="286"/>
      <c r="L643" s="286"/>
      <c r="M643" s="286"/>
      <c r="N643" s="286"/>
      <c r="O643" s="286"/>
      <c r="P643" s="286"/>
      <c r="Q643" s="286"/>
      <c r="R643" s="286"/>
      <c r="S643" s="286"/>
      <c r="T643" s="286"/>
      <c r="U643" s="286"/>
      <c r="V643" s="286"/>
    </row>
    <row r="644" spans="1:22" ht="26.25" customHeight="1" x14ac:dyDescent="0.2">
      <c r="A644" s="286"/>
      <c r="B644" s="286"/>
      <c r="C644" s="286"/>
      <c r="D644" s="286"/>
      <c r="E644" s="286"/>
      <c r="F644" s="286"/>
      <c r="G644" s="286"/>
      <c r="H644" s="286"/>
      <c r="I644" s="286"/>
      <c r="J644" s="286"/>
      <c r="K644" s="286"/>
      <c r="L644" s="286"/>
      <c r="M644" s="286"/>
      <c r="N644" s="286"/>
      <c r="O644" s="286"/>
      <c r="P644" s="286"/>
      <c r="Q644" s="286"/>
      <c r="R644" s="286"/>
      <c r="S644" s="286"/>
      <c r="T644" s="286"/>
      <c r="U644" s="286"/>
      <c r="V644" s="286"/>
    </row>
    <row r="645" spans="1:22" ht="26.25" customHeight="1" x14ac:dyDescent="0.2">
      <c r="A645" s="286"/>
      <c r="B645" s="286"/>
      <c r="C645" s="286"/>
      <c r="D645" s="286"/>
      <c r="E645" s="286"/>
      <c r="F645" s="286"/>
      <c r="G645" s="286"/>
      <c r="H645" s="286"/>
      <c r="I645" s="286"/>
      <c r="J645" s="286"/>
      <c r="K645" s="286"/>
      <c r="L645" s="286"/>
      <c r="M645" s="286"/>
      <c r="N645" s="286"/>
      <c r="O645" s="286"/>
      <c r="P645" s="286"/>
      <c r="Q645" s="286"/>
      <c r="R645" s="286"/>
      <c r="S645" s="286"/>
      <c r="T645" s="286"/>
      <c r="U645" s="286"/>
      <c r="V645" s="286"/>
    </row>
    <row r="646" spans="1:22" ht="26.25" customHeight="1" x14ac:dyDescent="0.2">
      <c r="A646" s="286"/>
      <c r="B646" s="286"/>
      <c r="C646" s="286"/>
      <c r="D646" s="286"/>
      <c r="E646" s="286"/>
      <c r="F646" s="286"/>
      <c r="G646" s="286"/>
      <c r="H646" s="286"/>
      <c r="I646" s="286"/>
      <c r="J646" s="286"/>
      <c r="K646" s="286"/>
      <c r="L646" s="286"/>
      <c r="M646" s="286"/>
      <c r="N646" s="286"/>
      <c r="O646" s="286"/>
      <c r="P646" s="286"/>
      <c r="Q646" s="286"/>
      <c r="R646" s="286"/>
      <c r="S646" s="286"/>
      <c r="T646" s="286"/>
      <c r="U646" s="286"/>
      <c r="V646" s="286"/>
    </row>
    <row r="647" spans="1:22" ht="26.25" customHeight="1" x14ac:dyDescent="0.2">
      <c r="A647" s="286"/>
      <c r="B647" s="286"/>
      <c r="C647" s="286"/>
      <c r="D647" s="286"/>
      <c r="E647" s="286"/>
      <c r="F647" s="286"/>
      <c r="G647" s="286"/>
      <c r="H647" s="286"/>
      <c r="I647" s="286"/>
      <c r="J647" s="286"/>
      <c r="K647" s="286"/>
      <c r="L647" s="286"/>
      <c r="M647" s="286"/>
      <c r="N647" s="286"/>
      <c r="O647" s="286"/>
      <c r="P647" s="286"/>
      <c r="Q647" s="286"/>
      <c r="R647" s="286"/>
      <c r="S647" s="286"/>
      <c r="T647" s="286"/>
      <c r="U647" s="286"/>
      <c r="V647" s="286"/>
    </row>
    <row r="648" spans="1:22" ht="26.25" customHeight="1" x14ac:dyDescent="0.2">
      <c r="A648" s="286"/>
      <c r="B648" s="286"/>
      <c r="C648" s="286"/>
      <c r="D648" s="286"/>
      <c r="E648" s="286"/>
      <c r="F648" s="286"/>
      <c r="G648" s="286"/>
      <c r="H648" s="286"/>
      <c r="I648" s="286"/>
      <c r="J648" s="286"/>
      <c r="K648" s="286"/>
      <c r="L648" s="286"/>
      <c r="M648" s="286"/>
      <c r="N648" s="286"/>
      <c r="O648" s="286"/>
      <c r="P648" s="286"/>
      <c r="Q648" s="286"/>
      <c r="R648" s="286"/>
      <c r="S648" s="286"/>
      <c r="T648" s="286"/>
      <c r="U648" s="286"/>
      <c r="V648" s="286"/>
    </row>
    <row r="649" spans="1:22" ht="26.25" customHeight="1" x14ac:dyDescent="0.2">
      <c r="A649" s="286"/>
      <c r="B649" s="286"/>
      <c r="C649" s="286"/>
      <c r="D649" s="286"/>
      <c r="E649" s="286"/>
      <c r="F649" s="286"/>
      <c r="G649" s="286"/>
      <c r="H649" s="286"/>
      <c r="I649" s="286"/>
      <c r="J649" s="286"/>
      <c r="K649" s="286"/>
      <c r="L649" s="286"/>
      <c r="M649" s="286"/>
      <c r="N649" s="286"/>
      <c r="O649" s="286"/>
      <c r="P649" s="286"/>
      <c r="Q649" s="286"/>
      <c r="R649" s="286"/>
      <c r="S649" s="286"/>
      <c r="T649" s="286"/>
      <c r="U649" s="286"/>
      <c r="V649" s="286"/>
    </row>
    <row r="650" spans="1:22" ht="26.25" customHeight="1" x14ac:dyDescent="0.2">
      <c r="A650" s="286"/>
      <c r="B650" s="286"/>
      <c r="C650" s="286"/>
      <c r="D650" s="286"/>
      <c r="E650" s="286"/>
      <c r="F650" s="286"/>
      <c r="G650" s="286"/>
      <c r="H650" s="286"/>
      <c r="I650" s="286"/>
      <c r="J650" s="286"/>
      <c r="K650" s="286"/>
      <c r="L650" s="286"/>
      <c r="M650" s="286"/>
      <c r="N650" s="286"/>
      <c r="O650" s="286"/>
      <c r="P650" s="286"/>
      <c r="Q650" s="286"/>
      <c r="R650" s="286"/>
      <c r="S650" s="286"/>
      <c r="T650" s="286"/>
      <c r="U650" s="286"/>
      <c r="V650" s="286"/>
    </row>
    <row r="651" spans="1:22" ht="26.25" customHeight="1" x14ac:dyDescent="0.2">
      <c r="A651" s="286"/>
      <c r="B651" s="286"/>
      <c r="C651" s="286"/>
      <c r="D651" s="286"/>
      <c r="E651" s="286"/>
      <c r="F651" s="286"/>
      <c r="G651" s="286"/>
      <c r="H651" s="286"/>
      <c r="I651" s="286"/>
      <c r="J651" s="286"/>
      <c r="K651" s="286"/>
      <c r="L651" s="286"/>
      <c r="M651" s="286"/>
      <c r="N651" s="286"/>
      <c r="O651" s="286"/>
      <c r="P651" s="286"/>
      <c r="Q651" s="286"/>
      <c r="R651" s="286"/>
      <c r="S651" s="286"/>
      <c r="T651" s="286"/>
      <c r="U651" s="286"/>
      <c r="V651" s="286"/>
    </row>
    <row r="652" spans="1:22" ht="26.25" customHeight="1" x14ac:dyDescent="0.2">
      <c r="A652" s="286"/>
      <c r="B652" s="286"/>
      <c r="C652" s="286"/>
      <c r="D652" s="286"/>
      <c r="E652" s="286"/>
      <c r="F652" s="286"/>
      <c r="G652" s="286"/>
      <c r="H652" s="286"/>
      <c r="I652" s="286"/>
      <c r="J652" s="286"/>
      <c r="K652" s="286"/>
      <c r="L652" s="286"/>
      <c r="M652" s="286"/>
      <c r="N652" s="286"/>
      <c r="O652" s="286"/>
      <c r="P652" s="286"/>
      <c r="Q652" s="286"/>
      <c r="R652" s="286"/>
      <c r="S652" s="286"/>
      <c r="T652" s="286"/>
      <c r="U652" s="286"/>
      <c r="V652" s="286"/>
    </row>
    <row r="653" spans="1:22" ht="26.25" customHeight="1" x14ac:dyDescent="0.2">
      <c r="A653" s="286"/>
      <c r="B653" s="286"/>
      <c r="C653" s="286"/>
      <c r="D653" s="286"/>
      <c r="E653" s="286"/>
      <c r="F653" s="286"/>
      <c r="G653" s="286"/>
      <c r="H653" s="286"/>
      <c r="I653" s="286"/>
      <c r="J653" s="286"/>
      <c r="K653" s="286"/>
      <c r="L653" s="286"/>
      <c r="M653" s="286"/>
      <c r="N653" s="286"/>
      <c r="O653" s="286"/>
      <c r="P653" s="286"/>
      <c r="Q653" s="286"/>
      <c r="R653" s="286"/>
      <c r="S653" s="286"/>
      <c r="T653" s="286"/>
      <c r="U653" s="286"/>
      <c r="V653" s="286"/>
    </row>
    <row r="654" spans="1:22" ht="26.25" customHeight="1" x14ac:dyDescent="0.2">
      <c r="A654" s="286"/>
      <c r="B654" s="286"/>
      <c r="C654" s="286"/>
      <c r="D654" s="286"/>
      <c r="E654" s="286"/>
      <c r="F654" s="286"/>
      <c r="G654" s="286"/>
      <c r="H654" s="286"/>
      <c r="I654" s="286"/>
      <c r="J654" s="286"/>
      <c r="K654" s="286"/>
      <c r="L654" s="286"/>
      <c r="M654" s="286"/>
      <c r="N654" s="286"/>
      <c r="O654" s="286"/>
      <c r="P654" s="286"/>
      <c r="Q654" s="286"/>
      <c r="R654" s="286"/>
      <c r="S654" s="286"/>
      <c r="T654" s="286"/>
      <c r="U654" s="286"/>
      <c r="V654" s="286"/>
    </row>
    <row r="655" spans="1:22" ht="26.25" customHeight="1" x14ac:dyDescent="0.2">
      <c r="A655" s="286"/>
      <c r="B655" s="286"/>
      <c r="C655" s="286"/>
      <c r="D655" s="286"/>
      <c r="E655" s="286"/>
      <c r="F655" s="286"/>
      <c r="G655" s="286"/>
      <c r="H655" s="286"/>
      <c r="I655" s="286"/>
      <c r="J655" s="286"/>
      <c r="K655" s="286"/>
      <c r="L655" s="286"/>
      <c r="M655" s="286"/>
      <c r="N655" s="286"/>
      <c r="O655" s="286"/>
      <c r="P655" s="286"/>
      <c r="Q655" s="286"/>
      <c r="R655" s="286"/>
      <c r="S655" s="286"/>
      <c r="T655" s="286"/>
      <c r="U655" s="286"/>
      <c r="V655" s="286"/>
    </row>
    <row r="656" spans="1:22" ht="26.25" customHeight="1" x14ac:dyDescent="0.2">
      <c r="A656" s="286"/>
      <c r="B656" s="286"/>
      <c r="C656" s="286"/>
      <c r="D656" s="286"/>
      <c r="E656" s="286"/>
      <c r="F656" s="286"/>
      <c r="G656" s="286"/>
      <c r="H656" s="286"/>
      <c r="I656" s="286"/>
      <c r="J656" s="286"/>
      <c r="K656" s="286"/>
      <c r="L656" s="286"/>
      <c r="M656" s="286"/>
      <c r="N656" s="286"/>
      <c r="O656" s="286"/>
      <c r="P656" s="286"/>
      <c r="Q656" s="286"/>
      <c r="R656" s="286"/>
      <c r="S656" s="286"/>
      <c r="T656" s="286"/>
      <c r="U656" s="286"/>
      <c r="V656" s="286"/>
    </row>
    <row r="657" spans="1:22" ht="26.25" customHeight="1" x14ac:dyDescent="0.2">
      <c r="A657" s="286"/>
      <c r="B657" s="286"/>
      <c r="C657" s="286"/>
      <c r="D657" s="286"/>
      <c r="E657" s="286"/>
      <c r="F657" s="286"/>
      <c r="G657" s="286"/>
      <c r="H657" s="286"/>
      <c r="I657" s="286"/>
      <c r="J657" s="286"/>
      <c r="K657" s="286"/>
      <c r="L657" s="286"/>
      <c r="M657" s="286"/>
      <c r="N657" s="286"/>
      <c r="O657" s="286"/>
      <c r="P657" s="286"/>
      <c r="Q657" s="286"/>
      <c r="R657" s="286"/>
      <c r="S657" s="286"/>
      <c r="T657" s="286"/>
      <c r="U657" s="286"/>
      <c r="V657" s="286"/>
    </row>
    <row r="658" spans="1:22" ht="26.25" customHeight="1" x14ac:dyDescent="0.2">
      <c r="A658" s="286"/>
      <c r="B658" s="286"/>
      <c r="C658" s="286"/>
      <c r="D658" s="286"/>
      <c r="E658" s="286"/>
      <c r="F658" s="286"/>
      <c r="G658" s="286"/>
      <c r="H658" s="286"/>
      <c r="I658" s="286"/>
      <c r="J658" s="286"/>
      <c r="K658" s="286"/>
      <c r="L658" s="286"/>
      <c r="M658" s="286"/>
      <c r="N658" s="286"/>
      <c r="O658" s="286"/>
      <c r="P658" s="286"/>
      <c r="Q658" s="286"/>
      <c r="R658" s="286"/>
      <c r="S658" s="286"/>
      <c r="T658" s="286"/>
      <c r="U658" s="286"/>
      <c r="V658" s="286"/>
    </row>
    <row r="659" spans="1:22" ht="26.25" customHeight="1" x14ac:dyDescent="0.2">
      <c r="A659" s="286"/>
      <c r="B659" s="286"/>
      <c r="C659" s="286"/>
      <c r="D659" s="286"/>
      <c r="E659" s="286"/>
      <c r="F659" s="286"/>
      <c r="G659" s="286"/>
      <c r="H659" s="286"/>
      <c r="I659" s="286"/>
      <c r="J659" s="286"/>
      <c r="K659" s="286"/>
      <c r="L659" s="286"/>
      <c r="M659" s="286"/>
      <c r="N659" s="286"/>
      <c r="O659" s="286"/>
      <c r="P659" s="286"/>
      <c r="Q659" s="286"/>
      <c r="R659" s="286"/>
      <c r="S659" s="286"/>
      <c r="T659" s="286"/>
      <c r="U659" s="286"/>
      <c r="V659" s="286"/>
    </row>
    <row r="660" spans="1:22" ht="26.25" customHeight="1" x14ac:dyDescent="0.2">
      <c r="A660" s="286"/>
      <c r="B660" s="286"/>
      <c r="C660" s="286"/>
      <c r="D660" s="286"/>
      <c r="E660" s="286"/>
      <c r="F660" s="286"/>
      <c r="G660" s="286"/>
      <c r="H660" s="286"/>
      <c r="I660" s="286"/>
      <c r="J660" s="286"/>
      <c r="K660" s="286"/>
      <c r="L660" s="286"/>
      <c r="M660" s="286"/>
      <c r="N660" s="286"/>
      <c r="O660" s="286"/>
      <c r="P660" s="286"/>
      <c r="Q660" s="286"/>
      <c r="R660" s="286"/>
      <c r="S660" s="286"/>
      <c r="T660" s="286"/>
      <c r="U660" s="286"/>
      <c r="V660" s="286"/>
    </row>
    <row r="661" spans="1:22" ht="26.25" customHeight="1" x14ac:dyDescent="0.2">
      <c r="A661" s="286"/>
      <c r="B661" s="286"/>
      <c r="C661" s="286"/>
      <c r="D661" s="286"/>
      <c r="E661" s="286"/>
      <c r="F661" s="286"/>
      <c r="G661" s="286"/>
      <c r="H661" s="286"/>
      <c r="I661" s="286"/>
      <c r="J661" s="286"/>
      <c r="K661" s="286"/>
      <c r="L661" s="286"/>
      <c r="M661" s="286"/>
      <c r="N661" s="286"/>
      <c r="O661" s="286"/>
      <c r="P661" s="286"/>
      <c r="Q661" s="286"/>
      <c r="R661" s="286"/>
      <c r="S661" s="286"/>
      <c r="T661" s="286"/>
      <c r="U661" s="286"/>
      <c r="V661" s="286"/>
    </row>
    <row r="662" spans="1:22" ht="26.25" customHeight="1" x14ac:dyDescent="0.2">
      <c r="A662" s="286"/>
      <c r="B662" s="286"/>
      <c r="C662" s="286"/>
      <c r="D662" s="286"/>
      <c r="E662" s="286"/>
      <c r="F662" s="286"/>
      <c r="G662" s="286"/>
      <c r="H662" s="286"/>
      <c r="I662" s="286"/>
      <c r="J662" s="286"/>
      <c r="K662" s="286"/>
      <c r="L662" s="286"/>
      <c r="M662" s="286"/>
      <c r="N662" s="286"/>
      <c r="O662" s="286"/>
      <c r="P662" s="286"/>
      <c r="Q662" s="286"/>
      <c r="R662" s="286"/>
      <c r="S662" s="286"/>
      <c r="T662" s="286"/>
      <c r="U662" s="286"/>
      <c r="V662" s="286"/>
    </row>
    <row r="663" spans="1:22" ht="26.25" customHeight="1" x14ac:dyDescent="0.2">
      <c r="A663" s="286"/>
      <c r="B663" s="286"/>
      <c r="C663" s="286"/>
      <c r="D663" s="286"/>
      <c r="E663" s="286"/>
      <c r="F663" s="286"/>
      <c r="G663" s="286"/>
      <c r="H663" s="286"/>
      <c r="I663" s="286"/>
      <c r="J663" s="286"/>
      <c r="K663" s="286"/>
      <c r="L663" s="286"/>
      <c r="M663" s="286"/>
      <c r="N663" s="286"/>
      <c r="O663" s="286"/>
      <c r="P663" s="286"/>
      <c r="Q663" s="286"/>
      <c r="R663" s="286"/>
      <c r="S663" s="286"/>
      <c r="T663" s="286"/>
      <c r="U663" s="286"/>
      <c r="V663" s="286"/>
    </row>
    <row r="664" spans="1:22" ht="26.25" customHeight="1" x14ac:dyDescent="0.2">
      <c r="A664" s="286"/>
      <c r="B664" s="286"/>
      <c r="C664" s="286"/>
      <c r="D664" s="286"/>
      <c r="E664" s="286"/>
      <c r="F664" s="286"/>
      <c r="G664" s="286"/>
      <c r="H664" s="286"/>
      <c r="I664" s="286"/>
      <c r="J664" s="286"/>
      <c r="K664" s="286"/>
      <c r="L664" s="286"/>
      <c r="M664" s="286"/>
      <c r="N664" s="286"/>
      <c r="O664" s="286"/>
      <c r="P664" s="286"/>
      <c r="Q664" s="286"/>
      <c r="R664" s="286"/>
      <c r="S664" s="286"/>
      <c r="T664" s="286"/>
      <c r="U664" s="286"/>
      <c r="V664" s="286"/>
    </row>
    <row r="665" spans="1:22" ht="26.25" customHeight="1" x14ac:dyDescent="0.2">
      <c r="A665" s="286"/>
      <c r="B665" s="286"/>
      <c r="C665" s="286"/>
      <c r="D665" s="286"/>
      <c r="E665" s="286"/>
      <c r="F665" s="286"/>
      <c r="G665" s="286"/>
      <c r="H665" s="286"/>
      <c r="I665" s="286"/>
      <c r="J665" s="286"/>
      <c r="K665" s="286"/>
      <c r="L665" s="286"/>
      <c r="M665" s="286"/>
      <c r="N665" s="286"/>
      <c r="O665" s="286"/>
      <c r="P665" s="286"/>
      <c r="Q665" s="286"/>
      <c r="R665" s="286"/>
      <c r="S665" s="286"/>
      <c r="T665" s="286"/>
      <c r="U665" s="286"/>
      <c r="V665" s="286"/>
    </row>
    <row r="666" spans="1:22" ht="26.25" customHeight="1" x14ac:dyDescent="0.2">
      <c r="A666" s="286"/>
      <c r="B666" s="286"/>
      <c r="C666" s="286"/>
      <c r="D666" s="286"/>
      <c r="E666" s="286"/>
      <c r="F666" s="286"/>
      <c r="G666" s="286"/>
      <c r="H666" s="286"/>
      <c r="I666" s="286"/>
      <c r="J666" s="286"/>
      <c r="K666" s="286"/>
      <c r="L666" s="286"/>
      <c r="M666" s="286"/>
      <c r="N666" s="286"/>
      <c r="O666" s="286"/>
      <c r="P666" s="286"/>
      <c r="Q666" s="286"/>
      <c r="R666" s="286"/>
      <c r="S666" s="286"/>
      <c r="T666" s="286"/>
      <c r="U666" s="286"/>
      <c r="V666" s="286"/>
    </row>
    <row r="667" spans="1:22" ht="26.25" customHeight="1" x14ac:dyDescent="0.2">
      <c r="A667" s="286"/>
      <c r="B667" s="286"/>
      <c r="C667" s="286"/>
      <c r="D667" s="286"/>
      <c r="E667" s="286"/>
      <c r="F667" s="286"/>
      <c r="G667" s="286"/>
      <c r="H667" s="286"/>
      <c r="I667" s="286"/>
      <c r="J667" s="286"/>
      <c r="K667" s="286"/>
      <c r="L667" s="286"/>
      <c r="M667" s="286"/>
      <c r="N667" s="286"/>
      <c r="O667" s="286"/>
      <c r="P667" s="286"/>
      <c r="Q667" s="286"/>
      <c r="R667" s="286"/>
      <c r="S667" s="286"/>
      <c r="T667" s="286"/>
      <c r="U667" s="286"/>
      <c r="V667" s="286"/>
    </row>
    <row r="668" spans="1:22" ht="26.25" customHeight="1" x14ac:dyDescent="0.2">
      <c r="A668" s="286"/>
      <c r="B668" s="286"/>
      <c r="C668" s="286"/>
      <c r="D668" s="286"/>
      <c r="E668" s="286"/>
      <c r="F668" s="286"/>
      <c r="G668" s="286"/>
      <c r="H668" s="286"/>
      <c r="I668" s="286"/>
      <c r="J668" s="286"/>
      <c r="K668" s="286"/>
      <c r="L668" s="286"/>
      <c r="M668" s="286"/>
      <c r="N668" s="286"/>
      <c r="O668" s="286"/>
      <c r="P668" s="286"/>
      <c r="Q668" s="286"/>
      <c r="R668" s="286"/>
      <c r="S668" s="286"/>
      <c r="T668" s="286"/>
      <c r="U668" s="286"/>
      <c r="V668" s="286"/>
    </row>
    <row r="669" spans="1:22" ht="26.25" customHeight="1" x14ac:dyDescent="0.2">
      <c r="A669" s="286"/>
      <c r="B669" s="286"/>
      <c r="C669" s="286"/>
      <c r="D669" s="286"/>
      <c r="E669" s="286"/>
      <c r="F669" s="286"/>
      <c r="G669" s="286"/>
      <c r="H669" s="286"/>
      <c r="I669" s="286"/>
      <c r="J669" s="286"/>
      <c r="K669" s="286"/>
      <c r="L669" s="286"/>
      <c r="M669" s="286"/>
      <c r="N669" s="286"/>
      <c r="O669" s="286"/>
      <c r="P669" s="286"/>
      <c r="Q669" s="286"/>
      <c r="R669" s="286"/>
      <c r="S669" s="286"/>
      <c r="T669" s="286"/>
      <c r="U669" s="286"/>
      <c r="V669" s="286"/>
    </row>
    <row r="670" spans="1:22" ht="26.25" customHeight="1" x14ac:dyDescent="0.2">
      <c r="A670" s="286"/>
      <c r="B670" s="286"/>
      <c r="C670" s="286"/>
      <c r="D670" s="286"/>
      <c r="E670" s="286"/>
      <c r="F670" s="286"/>
      <c r="G670" s="286"/>
      <c r="H670" s="286"/>
      <c r="I670" s="286"/>
      <c r="J670" s="286"/>
      <c r="K670" s="286"/>
      <c r="L670" s="286"/>
      <c r="M670" s="286"/>
      <c r="N670" s="286"/>
      <c r="O670" s="286"/>
      <c r="P670" s="286"/>
      <c r="Q670" s="286"/>
      <c r="R670" s="286"/>
      <c r="S670" s="286"/>
      <c r="T670" s="286"/>
      <c r="U670" s="286"/>
      <c r="V670" s="286"/>
    </row>
    <row r="671" spans="1:22" ht="26.25" customHeight="1" x14ac:dyDescent="0.2">
      <c r="A671" s="286"/>
      <c r="B671" s="286"/>
      <c r="C671" s="286"/>
      <c r="D671" s="286"/>
      <c r="E671" s="286"/>
      <c r="F671" s="286"/>
      <c r="G671" s="286"/>
      <c r="H671" s="286"/>
      <c r="I671" s="286"/>
      <c r="J671" s="286"/>
      <c r="K671" s="286"/>
      <c r="L671" s="286"/>
      <c r="M671" s="286"/>
      <c r="N671" s="286"/>
      <c r="O671" s="286"/>
      <c r="P671" s="286"/>
      <c r="Q671" s="286"/>
      <c r="R671" s="286"/>
      <c r="S671" s="286"/>
      <c r="T671" s="286"/>
      <c r="U671" s="286"/>
      <c r="V671" s="286"/>
    </row>
    <row r="672" spans="1:22" ht="26.25" customHeight="1" x14ac:dyDescent="0.2">
      <c r="A672" s="286"/>
      <c r="B672" s="286"/>
      <c r="C672" s="286"/>
      <c r="D672" s="286"/>
      <c r="E672" s="286"/>
      <c r="F672" s="286"/>
      <c r="G672" s="286"/>
      <c r="H672" s="286"/>
      <c r="I672" s="286"/>
      <c r="J672" s="286"/>
      <c r="K672" s="286"/>
      <c r="L672" s="286"/>
      <c r="M672" s="286"/>
      <c r="N672" s="286"/>
      <c r="O672" s="286"/>
      <c r="P672" s="286"/>
      <c r="Q672" s="286"/>
      <c r="R672" s="286"/>
      <c r="S672" s="286"/>
      <c r="T672" s="286"/>
      <c r="U672" s="286"/>
      <c r="V672" s="286"/>
    </row>
    <row r="673" spans="1:22" ht="26.25" customHeight="1" x14ac:dyDescent="0.2">
      <c r="A673" s="286"/>
      <c r="B673" s="286"/>
      <c r="C673" s="286"/>
      <c r="D673" s="286"/>
      <c r="E673" s="286"/>
      <c r="F673" s="286"/>
      <c r="G673" s="286"/>
      <c r="H673" s="286"/>
      <c r="I673" s="286"/>
      <c r="J673" s="286"/>
      <c r="K673" s="286"/>
      <c r="L673" s="286"/>
      <c r="M673" s="286"/>
      <c r="N673" s="286"/>
      <c r="O673" s="286"/>
      <c r="P673" s="286"/>
      <c r="Q673" s="286"/>
      <c r="R673" s="286"/>
      <c r="S673" s="286"/>
      <c r="T673" s="286"/>
      <c r="U673" s="286"/>
      <c r="V673" s="286"/>
    </row>
    <row r="674" spans="1:22" ht="26.25" customHeight="1" x14ac:dyDescent="0.2">
      <c r="A674" s="286"/>
      <c r="B674" s="286"/>
      <c r="C674" s="286"/>
      <c r="D674" s="286"/>
      <c r="E674" s="286"/>
      <c r="F674" s="286"/>
      <c r="G674" s="286"/>
      <c r="H674" s="286"/>
      <c r="I674" s="286"/>
      <c r="J674" s="286"/>
      <c r="K674" s="286"/>
      <c r="L674" s="286"/>
      <c r="M674" s="286"/>
      <c r="N674" s="286"/>
      <c r="O674" s="286"/>
      <c r="P674" s="286"/>
      <c r="Q674" s="286"/>
      <c r="R674" s="286"/>
      <c r="S674" s="286"/>
      <c r="T674" s="286"/>
      <c r="U674" s="286"/>
      <c r="V674" s="286"/>
    </row>
    <row r="675" spans="1:22" ht="26.25" customHeight="1" x14ac:dyDescent="0.2">
      <c r="A675" s="286"/>
      <c r="B675" s="286"/>
      <c r="C675" s="286"/>
      <c r="D675" s="286"/>
      <c r="E675" s="286"/>
      <c r="F675" s="286"/>
      <c r="G675" s="286"/>
      <c r="H675" s="286"/>
      <c r="I675" s="286"/>
      <c r="J675" s="286"/>
      <c r="K675" s="286"/>
      <c r="L675" s="286"/>
      <c r="M675" s="286"/>
      <c r="N675" s="286"/>
      <c r="O675" s="286"/>
      <c r="P675" s="286"/>
      <c r="Q675" s="286"/>
      <c r="R675" s="286"/>
      <c r="S675" s="286"/>
      <c r="T675" s="286"/>
      <c r="U675" s="286"/>
      <c r="V675" s="286"/>
    </row>
    <row r="676" spans="1:22" ht="26.25" customHeight="1" x14ac:dyDescent="0.2">
      <c r="A676" s="286"/>
      <c r="B676" s="286"/>
      <c r="C676" s="286"/>
      <c r="D676" s="286"/>
      <c r="E676" s="286"/>
      <c r="F676" s="286"/>
      <c r="G676" s="286"/>
      <c r="H676" s="286"/>
      <c r="I676" s="286"/>
      <c r="J676" s="286"/>
      <c r="K676" s="286"/>
      <c r="L676" s="286"/>
      <c r="M676" s="286"/>
      <c r="N676" s="286"/>
      <c r="O676" s="286"/>
      <c r="P676" s="286"/>
      <c r="Q676" s="286"/>
      <c r="R676" s="286"/>
      <c r="S676" s="286"/>
      <c r="T676" s="286"/>
      <c r="U676" s="286"/>
      <c r="V676" s="286"/>
    </row>
    <row r="677" spans="1:22" ht="26.25" customHeight="1" x14ac:dyDescent="0.2">
      <c r="A677" s="286"/>
      <c r="B677" s="286"/>
      <c r="C677" s="286"/>
      <c r="D677" s="286"/>
      <c r="E677" s="286"/>
      <c r="F677" s="286"/>
      <c r="G677" s="286"/>
      <c r="H677" s="286"/>
      <c r="I677" s="286"/>
      <c r="J677" s="286"/>
      <c r="K677" s="286"/>
      <c r="L677" s="286"/>
      <c r="M677" s="286"/>
      <c r="N677" s="286"/>
      <c r="O677" s="286"/>
      <c r="P677" s="286"/>
      <c r="Q677" s="286"/>
      <c r="R677" s="286"/>
      <c r="S677" s="286"/>
      <c r="T677" s="286"/>
      <c r="U677" s="286"/>
      <c r="V677" s="286"/>
    </row>
    <row r="678" spans="1:22" ht="26.25" customHeight="1" x14ac:dyDescent="0.2">
      <c r="A678" s="286"/>
      <c r="B678" s="286"/>
      <c r="C678" s="286"/>
      <c r="D678" s="286"/>
      <c r="E678" s="286"/>
      <c r="F678" s="286"/>
      <c r="G678" s="286"/>
      <c r="H678" s="286"/>
      <c r="I678" s="286"/>
      <c r="J678" s="286"/>
      <c r="K678" s="286"/>
      <c r="L678" s="286"/>
      <c r="M678" s="286"/>
      <c r="N678" s="286"/>
      <c r="O678" s="286"/>
      <c r="P678" s="286"/>
      <c r="Q678" s="286"/>
      <c r="R678" s="286"/>
      <c r="S678" s="286"/>
      <c r="T678" s="286"/>
      <c r="U678" s="286"/>
      <c r="V678" s="286"/>
    </row>
    <row r="679" spans="1:22" ht="26.25" customHeight="1" x14ac:dyDescent="0.2">
      <c r="A679" s="286"/>
      <c r="B679" s="286"/>
      <c r="C679" s="286"/>
      <c r="D679" s="286"/>
      <c r="E679" s="286"/>
      <c r="F679" s="286"/>
      <c r="G679" s="286"/>
      <c r="H679" s="286"/>
      <c r="I679" s="286"/>
      <c r="J679" s="286"/>
      <c r="K679" s="286"/>
      <c r="L679" s="286"/>
      <c r="M679" s="286"/>
      <c r="N679" s="286"/>
      <c r="O679" s="286"/>
      <c r="P679" s="286"/>
      <c r="Q679" s="286"/>
      <c r="R679" s="286"/>
      <c r="S679" s="286"/>
      <c r="T679" s="286"/>
      <c r="U679" s="286"/>
      <c r="V679" s="286"/>
    </row>
    <row r="680" spans="1:22" ht="26.25" customHeight="1" x14ac:dyDescent="0.2">
      <c r="A680" s="286"/>
      <c r="B680" s="286"/>
      <c r="C680" s="286"/>
      <c r="D680" s="286"/>
      <c r="E680" s="286"/>
      <c r="F680" s="286"/>
      <c r="G680" s="286"/>
      <c r="H680" s="286"/>
      <c r="I680" s="286"/>
      <c r="J680" s="286"/>
      <c r="K680" s="286"/>
      <c r="L680" s="286"/>
      <c r="M680" s="286"/>
      <c r="N680" s="286"/>
      <c r="O680" s="286"/>
      <c r="P680" s="286"/>
      <c r="Q680" s="286"/>
      <c r="R680" s="286"/>
      <c r="S680" s="286"/>
      <c r="T680" s="286"/>
      <c r="U680" s="286"/>
      <c r="V680" s="286"/>
    </row>
    <row r="681" spans="1:22" ht="26.25" customHeight="1" x14ac:dyDescent="0.2">
      <c r="A681" s="286"/>
      <c r="B681" s="286"/>
      <c r="C681" s="286"/>
      <c r="D681" s="286"/>
      <c r="E681" s="286"/>
      <c r="F681" s="286"/>
      <c r="G681" s="286"/>
      <c r="H681" s="286"/>
      <c r="I681" s="286"/>
      <c r="J681" s="286"/>
      <c r="K681" s="286"/>
      <c r="L681" s="286"/>
      <c r="M681" s="286"/>
      <c r="N681" s="286"/>
      <c r="O681" s="286"/>
      <c r="P681" s="286"/>
      <c r="Q681" s="286"/>
      <c r="R681" s="286"/>
      <c r="S681" s="286"/>
      <c r="T681" s="286"/>
      <c r="U681" s="286"/>
      <c r="V681" s="286"/>
    </row>
    <row r="682" spans="1:22" ht="26.25" customHeight="1" x14ac:dyDescent="0.2">
      <c r="A682" s="286"/>
      <c r="B682" s="286"/>
      <c r="C682" s="286"/>
      <c r="D682" s="286"/>
      <c r="E682" s="286"/>
      <c r="F682" s="286"/>
      <c r="G682" s="286"/>
      <c r="H682" s="286"/>
      <c r="I682" s="286"/>
      <c r="J682" s="286"/>
      <c r="K682" s="286"/>
      <c r="L682" s="286"/>
      <c r="M682" s="286"/>
      <c r="N682" s="286"/>
      <c r="O682" s="286"/>
      <c r="P682" s="286"/>
      <c r="Q682" s="286"/>
      <c r="R682" s="286"/>
      <c r="S682" s="286"/>
      <c r="T682" s="286"/>
      <c r="U682" s="286"/>
      <c r="V682" s="286"/>
    </row>
    <row r="683" spans="1:22" ht="26.25" customHeight="1" x14ac:dyDescent="0.2">
      <c r="A683" s="286"/>
      <c r="B683" s="286"/>
      <c r="C683" s="286"/>
      <c r="D683" s="286"/>
      <c r="E683" s="286"/>
      <c r="F683" s="286"/>
      <c r="G683" s="286"/>
      <c r="H683" s="286"/>
      <c r="I683" s="286"/>
      <c r="J683" s="286"/>
      <c r="K683" s="286"/>
      <c r="L683" s="286"/>
      <c r="M683" s="286"/>
      <c r="N683" s="286"/>
      <c r="O683" s="286"/>
      <c r="P683" s="286"/>
      <c r="Q683" s="286"/>
      <c r="R683" s="286"/>
      <c r="S683" s="286"/>
      <c r="T683" s="286"/>
      <c r="U683" s="286"/>
      <c r="V683" s="286"/>
    </row>
    <row r="684" spans="1:22" ht="26.25" customHeight="1" x14ac:dyDescent="0.2">
      <c r="A684" s="286"/>
      <c r="B684" s="286"/>
      <c r="C684" s="286"/>
      <c r="D684" s="286"/>
      <c r="E684" s="286"/>
      <c r="F684" s="286"/>
      <c r="G684" s="286"/>
      <c r="H684" s="286"/>
      <c r="I684" s="286"/>
      <c r="J684" s="286"/>
      <c r="K684" s="286"/>
      <c r="L684" s="286"/>
      <c r="M684" s="286"/>
      <c r="N684" s="286"/>
      <c r="O684" s="286"/>
      <c r="P684" s="286"/>
      <c r="Q684" s="286"/>
      <c r="R684" s="286"/>
      <c r="S684" s="286"/>
      <c r="T684" s="286"/>
      <c r="U684" s="286"/>
      <c r="V684" s="286"/>
    </row>
    <row r="685" spans="1:22" ht="26.25" customHeight="1" x14ac:dyDescent="0.2">
      <c r="A685" s="286"/>
      <c r="B685" s="286"/>
      <c r="C685" s="286"/>
      <c r="D685" s="286"/>
      <c r="E685" s="286"/>
      <c r="F685" s="286"/>
      <c r="G685" s="286"/>
      <c r="H685" s="286"/>
      <c r="I685" s="286"/>
      <c r="J685" s="286"/>
      <c r="K685" s="286"/>
      <c r="L685" s="286"/>
      <c r="M685" s="286"/>
      <c r="N685" s="286"/>
      <c r="O685" s="286"/>
      <c r="P685" s="286"/>
      <c r="Q685" s="286"/>
      <c r="R685" s="286"/>
      <c r="S685" s="286"/>
      <c r="T685" s="286"/>
      <c r="U685" s="286"/>
      <c r="V685" s="286"/>
    </row>
    <row r="686" spans="1:22" ht="26.25" customHeight="1" x14ac:dyDescent="0.2">
      <c r="A686" s="286"/>
      <c r="B686" s="286"/>
      <c r="C686" s="286"/>
      <c r="D686" s="286"/>
      <c r="E686" s="286"/>
      <c r="F686" s="286"/>
      <c r="G686" s="286"/>
      <c r="H686" s="286"/>
      <c r="I686" s="286"/>
      <c r="J686" s="286"/>
      <c r="K686" s="286"/>
      <c r="L686" s="286"/>
      <c r="M686" s="286"/>
      <c r="N686" s="286"/>
      <c r="O686" s="286"/>
      <c r="P686" s="286"/>
      <c r="Q686" s="286"/>
      <c r="R686" s="286"/>
      <c r="S686" s="286"/>
      <c r="T686" s="286"/>
      <c r="U686" s="286"/>
      <c r="V686" s="286"/>
    </row>
    <row r="687" spans="1:22" ht="26.25" customHeight="1" x14ac:dyDescent="0.2">
      <c r="A687" s="286"/>
      <c r="B687" s="286"/>
      <c r="C687" s="286"/>
      <c r="D687" s="286"/>
      <c r="E687" s="286"/>
      <c r="F687" s="286"/>
      <c r="G687" s="286"/>
      <c r="H687" s="286"/>
      <c r="I687" s="286"/>
      <c r="J687" s="286"/>
      <c r="K687" s="286"/>
      <c r="L687" s="286"/>
      <c r="M687" s="286"/>
      <c r="N687" s="286"/>
      <c r="O687" s="286"/>
      <c r="P687" s="286"/>
      <c r="Q687" s="286"/>
      <c r="R687" s="286"/>
      <c r="S687" s="286"/>
      <c r="T687" s="286"/>
      <c r="U687" s="286"/>
      <c r="V687" s="286"/>
    </row>
    <row r="688" spans="1:22" ht="26.25" customHeight="1" x14ac:dyDescent="0.2">
      <c r="A688" s="286"/>
      <c r="B688" s="286"/>
      <c r="C688" s="286"/>
      <c r="D688" s="286"/>
      <c r="E688" s="286"/>
      <c r="F688" s="286"/>
      <c r="G688" s="286"/>
      <c r="H688" s="286"/>
      <c r="I688" s="286"/>
      <c r="J688" s="286"/>
      <c r="K688" s="286"/>
      <c r="L688" s="286"/>
      <c r="M688" s="286"/>
      <c r="N688" s="286"/>
      <c r="O688" s="286"/>
      <c r="P688" s="286"/>
      <c r="Q688" s="286"/>
      <c r="R688" s="286"/>
      <c r="S688" s="286"/>
      <c r="T688" s="286"/>
      <c r="U688" s="286"/>
      <c r="V688" s="286"/>
    </row>
    <row r="689" spans="1:22" ht="26.25" customHeight="1" x14ac:dyDescent="0.2">
      <c r="A689" s="286"/>
      <c r="B689" s="286"/>
      <c r="C689" s="286"/>
      <c r="D689" s="286"/>
      <c r="E689" s="286"/>
      <c r="F689" s="286"/>
      <c r="G689" s="286"/>
      <c r="H689" s="286"/>
      <c r="I689" s="286"/>
      <c r="J689" s="286"/>
      <c r="K689" s="286"/>
      <c r="L689" s="286"/>
      <c r="M689" s="286"/>
      <c r="N689" s="286"/>
      <c r="O689" s="286"/>
      <c r="P689" s="286"/>
      <c r="Q689" s="286"/>
      <c r="R689" s="286"/>
      <c r="S689" s="286"/>
      <c r="T689" s="286"/>
      <c r="U689" s="286"/>
      <c r="V689" s="286"/>
    </row>
    <row r="690" spans="1:22" ht="26.25" customHeight="1" x14ac:dyDescent="0.2">
      <c r="A690" s="286"/>
      <c r="B690" s="286"/>
      <c r="C690" s="286"/>
      <c r="D690" s="286"/>
      <c r="E690" s="286"/>
      <c r="F690" s="286"/>
      <c r="G690" s="286"/>
      <c r="H690" s="286"/>
      <c r="I690" s="286"/>
      <c r="J690" s="286"/>
      <c r="K690" s="286"/>
      <c r="L690" s="286"/>
      <c r="M690" s="286"/>
      <c r="N690" s="286"/>
      <c r="O690" s="286"/>
      <c r="P690" s="286"/>
      <c r="Q690" s="286"/>
      <c r="R690" s="286"/>
      <c r="S690" s="286"/>
      <c r="T690" s="286"/>
      <c r="U690" s="286"/>
      <c r="V690" s="286"/>
    </row>
    <row r="691" spans="1:22" ht="26.25" customHeight="1" x14ac:dyDescent="0.2">
      <c r="A691" s="286"/>
      <c r="B691" s="286"/>
      <c r="C691" s="286"/>
      <c r="D691" s="286"/>
      <c r="E691" s="286"/>
      <c r="F691" s="286"/>
      <c r="G691" s="286"/>
      <c r="H691" s="286"/>
      <c r="I691" s="286"/>
      <c r="J691" s="286"/>
      <c r="K691" s="286"/>
      <c r="L691" s="286"/>
      <c r="M691" s="286"/>
      <c r="N691" s="286"/>
      <c r="O691" s="286"/>
      <c r="P691" s="286"/>
      <c r="Q691" s="286"/>
      <c r="R691" s="286"/>
      <c r="S691" s="286"/>
      <c r="T691" s="286"/>
      <c r="U691" s="286"/>
      <c r="V691" s="286"/>
    </row>
    <row r="692" spans="1:22" ht="26.25" customHeight="1" x14ac:dyDescent="0.2">
      <c r="A692" s="286"/>
      <c r="B692" s="286"/>
      <c r="C692" s="286"/>
      <c r="D692" s="286"/>
      <c r="E692" s="286"/>
      <c r="F692" s="286"/>
      <c r="G692" s="286"/>
      <c r="H692" s="286"/>
      <c r="I692" s="286"/>
      <c r="J692" s="286"/>
      <c r="K692" s="286"/>
      <c r="L692" s="286"/>
      <c r="M692" s="286"/>
      <c r="N692" s="286"/>
      <c r="O692" s="286"/>
      <c r="P692" s="286"/>
      <c r="Q692" s="286"/>
      <c r="R692" s="286"/>
      <c r="S692" s="286"/>
      <c r="T692" s="286"/>
      <c r="U692" s="286"/>
      <c r="V692" s="286"/>
    </row>
    <row r="693" spans="1:22" ht="26.25" customHeight="1" x14ac:dyDescent="0.2">
      <c r="A693" s="286"/>
      <c r="B693" s="286"/>
      <c r="C693" s="286"/>
      <c r="D693" s="286"/>
      <c r="E693" s="286"/>
      <c r="F693" s="286"/>
      <c r="G693" s="286"/>
      <c r="H693" s="286"/>
      <c r="I693" s="286"/>
      <c r="J693" s="286"/>
      <c r="K693" s="286"/>
      <c r="L693" s="286"/>
      <c r="M693" s="286"/>
      <c r="N693" s="286"/>
      <c r="O693" s="286"/>
      <c r="P693" s="286"/>
      <c r="Q693" s="286"/>
      <c r="R693" s="286"/>
      <c r="S693" s="286"/>
      <c r="T693" s="286"/>
      <c r="U693" s="286"/>
      <c r="V693" s="286"/>
    </row>
    <row r="694" spans="1:22" ht="26.25" customHeight="1" x14ac:dyDescent="0.2">
      <c r="A694" s="286"/>
      <c r="B694" s="286"/>
      <c r="C694" s="286"/>
      <c r="D694" s="286"/>
      <c r="E694" s="286"/>
      <c r="F694" s="286"/>
      <c r="G694" s="286"/>
      <c r="H694" s="286"/>
      <c r="I694" s="286"/>
      <c r="J694" s="286"/>
      <c r="K694" s="286"/>
      <c r="L694" s="286"/>
      <c r="M694" s="286"/>
      <c r="N694" s="286"/>
      <c r="O694" s="286"/>
      <c r="P694" s="286"/>
      <c r="Q694" s="286"/>
      <c r="R694" s="286"/>
      <c r="S694" s="286"/>
      <c r="T694" s="286"/>
      <c r="U694" s="286"/>
      <c r="V694" s="286"/>
    </row>
    <row r="695" spans="1:22" ht="26.25" customHeight="1" x14ac:dyDescent="0.2">
      <c r="A695" s="286"/>
      <c r="B695" s="286"/>
      <c r="C695" s="286"/>
      <c r="D695" s="286"/>
      <c r="E695" s="286"/>
      <c r="F695" s="286"/>
      <c r="G695" s="286"/>
      <c r="H695" s="286"/>
      <c r="I695" s="286"/>
      <c r="J695" s="286"/>
      <c r="K695" s="286"/>
      <c r="L695" s="286"/>
      <c r="M695" s="286"/>
      <c r="N695" s="286"/>
      <c r="O695" s="286"/>
      <c r="P695" s="286"/>
      <c r="Q695" s="286"/>
      <c r="R695" s="286"/>
      <c r="S695" s="286"/>
      <c r="T695" s="286"/>
      <c r="U695" s="286"/>
      <c r="V695" s="286"/>
    </row>
    <row r="696" spans="1:22" ht="26.25" customHeight="1" x14ac:dyDescent="0.2">
      <c r="A696" s="286"/>
      <c r="B696" s="286"/>
      <c r="C696" s="286"/>
      <c r="D696" s="286"/>
      <c r="E696" s="286"/>
      <c r="F696" s="286"/>
      <c r="G696" s="286"/>
      <c r="H696" s="286"/>
      <c r="I696" s="286"/>
      <c r="J696" s="286"/>
      <c r="K696" s="286"/>
      <c r="L696" s="286"/>
      <c r="M696" s="286"/>
      <c r="N696" s="286"/>
      <c r="O696" s="286"/>
      <c r="P696" s="286"/>
      <c r="Q696" s="286"/>
      <c r="R696" s="286"/>
      <c r="S696" s="286"/>
      <c r="T696" s="286"/>
      <c r="U696" s="286"/>
      <c r="V696" s="286"/>
    </row>
    <row r="697" spans="1:22" ht="26.25" customHeight="1" x14ac:dyDescent="0.2">
      <c r="A697" s="286"/>
      <c r="B697" s="286"/>
      <c r="C697" s="286"/>
      <c r="D697" s="286"/>
      <c r="E697" s="286"/>
      <c r="F697" s="286"/>
      <c r="G697" s="286"/>
      <c r="H697" s="286"/>
      <c r="I697" s="286"/>
      <c r="J697" s="286"/>
      <c r="K697" s="286"/>
      <c r="L697" s="286"/>
      <c r="M697" s="286"/>
      <c r="N697" s="286"/>
      <c r="O697" s="286"/>
      <c r="P697" s="286"/>
      <c r="Q697" s="286"/>
      <c r="R697" s="286"/>
      <c r="S697" s="286"/>
      <c r="T697" s="286"/>
      <c r="U697" s="286"/>
      <c r="V697" s="286"/>
    </row>
    <row r="698" spans="1:22" ht="26.25" customHeight="1" x14ac:dyDescent="0.2">
      <c r="A698" s="286"/>
      <c r="B698" s="286"/>
      <c r="C698" s="286"/>
      <c r="D698" s="286"/>
      <c r="E698" s="286"/>
      <c r="F698" s="286"/>
      <c r="G698" s="286"/>
      <c r="H698" s="286"/>
      <c r="I698" s="286"/>
      <c r="J698" s="286"/>
      <c r="K698" s="286"/>
      <c r="L698" s="286"/>
      <c r="M698" s="286"/>
      <c r="N698" s="286"/>
      <c r="O698" s="286"/>
      <c r="P698" s="286"/>
      <c r="Q698" s="286"/>
      <c r="R698" s="286"/>
      <c r="S698" s="286"/>
      <c r="T698" s="286"/>
      <c r="U698" s="286"/>
      <c r="V698" s="286"/>
    </row>
    <row r="699" spans="1:22" ht="26.25" customHeight="1" x14ac:dyDescent="0.2">
      <c r="A699" s="286"/>
      <c r="B699" s="286"/>
      <c r="C699" s="286"/>
      <c r="D699" s="286"/>
      <c r="E699" s="286"/>
      <c r="F699" s="286"/>
      <c r="G699" s="286"/>
      <c r="H699" s="286"/>
      <c r="I699" s="286"/>
      <c r="J699" s="286"/>
      <c r="K699" s="286"/>
      <c r="L699" s="286"/>
      <c r="M699" s="286"/>
      <c r="N699" s="286"/>
      <c r="O699" s="286"/>
      <c r="P699" s="286"/>
      <c r="Q699" s="286"/>
      <c r="R699" s="286"/>
      <c r="S699" s="286"/>
      <c r="T699" s="286"/>
      <c r="U699" s="286"/>
      <c r="V699" s="286"/>
    </row>
    <row r="700" spans="1:22" ht="26.25" customHeight="1" x14ac:dyDescent="0.2">
      <c r="A700" s="286"/>
      <c r="B700" s="286"/>
      <c r="C700" s="286"/>
      <c r="D700" s="286"/>
      <c r="E700" s="286"/>
      <c r="F700" s="286"/>
      <c r="G700" s="286"/>
      <c r="H700" s="286"/>
      <c r="I700" s="286"/>
      <c r="J700" s="286"/>
      <c r="K700" s="286"/>
      <c r="L700" s="286"/>
      <c r="M700" s="286"/>
      <c r="N700" s="286"/>
      <c r="O700" s="286"/>
      <c r="P700" s="286"/>
      <c r="Q700" s="286"/>
      <c r="R700" s="286"/>
      <c r="S700" s="286"/>
      <c r="T700" s="286"/>
      <c r="U700" s="286"/>
      <c r="V700" s="286"/>
    </row>
    <row r="701" spans="1:22" ht="26.25" customHeight="1" x14ac:dyDescent="0.2">
      <c r="A701" s="286"/>
      <c r="B701" s="286"/>
      <c r="C701" s="286"/>
      <c r="D701" s="286"/>
      <c r="E701" s="286"/>
      <c r="F701" s="286"/>
      <c r="G701" s="286"/>
      <c r="H701" s="286"/>
      <c r="I701" s="286"/>
      <c r="J701" s="286"/>
      <c r="K701" s="286"/>
      <c r="L701" s="286"/>
      <c r="M701" s="286"/>
      <c r="N701" s="286"/>
      <c r="O701" s="286"/>
      <c r="P701" s="286"/>
      <c r="Q701" s="286"/>
      <c r="R701" s="286"/>
      <c r="S701" s="286"/>
      <c r="T701" s="286"/>
      <c r="U701" s="286"/>
      <c r="V701" s="286"/>
    </row>
    <row r="702" spans="1:22" ht="26.25" customHeight="1" x14ac:dyDescent="0.2">
      <c r="A702" s="286"/>
      <c r="B702" s="286"/>
      <c r="C702" s="286"/>
      <c r="D702" s="286"/>
      <c r="E702" s="286"/>
      <c r="F702" s="286"/>
      <c r="G702" s="286"/>
      <c r="H702" s="286"/>
      <c r="I702" s="286"/>
      <c r="J702" s="286"/>
      <c r="K702" s="286"/>
      <c r="L702" s="286"/>
      <c r="M702" s="286"/>
      <c r="N702" s="286"/>
      <c r="O702" s="286"/>
      <c r="P702" s="286"/>
      <c r="Q702" s="286"/>
      <c r="R702" s="286"/>
      <c r="S702" s="286"/>
      <c r="T702" s="286"/>
      <c r="U702" s="286"/>
      <c r="V702" s="286"/>
    </row>
    <row r="703" spans="1:22" ht="26.25" customHeight="1" x14ac:dyDescent="0.2">
      <c r="A703" s="286"/>
      <c r="B703" s="286"/>
      <c r="C703" s="286"/>
      <c r="D703" s="286"/>
      <c r="E703" s="286"/>
      <c r="F703" s="286"/>
      <c r="G703" s="286"/>
      <c r="H703" s="286"/>
      <c r="I703" s="286"/>
      <c r="J703" s="286"/>
      <c r="K703" s="286"/>
      <c r="L703" s="286"/>
      <c r="M703" s="286"/>
      <c r="N703" s="286"/>
      <c r="O703" s="286"/>
      <c r="P703" s="286"/>
      <c r="Q703" s="286"/>
      <c r="R703" s="286"/>
      <c r="S703" s="286"/>
      <c r="T703" s="286"/>
      <c r="U703" s="286"/>
      <c r="V703" s="286"/>
    </row>
    <row r="704" spans="1:22" ht="26.25" customHeight="1" x14ac:dyDescent="0.2">
      <c r="A704" s="286"/>
      <c r="B704" s="286"/>
      <c r="C704" s="286"/>
      <c r="D704" s="286"/>
      <c r="E704" s="286"/>
      <c r="F704" s="286"/>
      <c r="G704" s="286"/>
      <c r="H704" s="286"/>
      <c r="I704" s="286"/>
      <c r="J704" s="286"/>
      <c r="K704" s="286"/>
      <c r="L704" s="286"/>
      <c r="M704" s="286"/>
      <c r="N704" s="286"/>
      <c r="O704" s="286"/>
      <c r="P704" s="286"/>
      <c r="Q704" s="286"/>
      <c r="R704" s="286"/>
      <c r="S704" s="286"/>
      <c r="T704" s="286"/>
      <c r="U704" s="286"/>
      <c r="V704" s="286"/>
    </row>
    <row r="705" spans="1:22" ht="26.25" customHeight="1" x14ac:dyDescent="0.2">
      <c r="A705" s="286"/>
      <c r="B705" s="286"/>
      <c r="C705" s="286"/>
      <c r="D705" s="286"/>
      <c r="E705" s="286"/>
      <c r="F705" s="286"/>
      <c r="G705" s="286"/>
      <c r="H705" s="286"/>
      <c r="I705" s="286"/>
      <c r="J705" s="286"/>
      <c r="K705" s="286"/>
      <c r="L705" s="286"/>
      <c r="M705" s="286"/>
      <c r="N705" s="286"/>
      <c r="O705" s="286"/>
      <c r="P705" s="286"/>
      <c r="Q705" s="286"/>
      <c r="R705" s="286"/>
      <c r="S705" s="286"/>
      <c r="T705" s="286"/>
      <c r="U705" s="286"/>
      <c r="V705" s="286"/>
    </row>
    <row r="706" spans="1:22" ht="26.25" customHeight="1" x14ac:dyDescent="0.2">
      <c r="A706" s="286"/>
      <c r="B706" s="286"/>
      <c r="C706" s="286"/>
      <c r="D706" s="286"/>
      <c r="E706" s="286"/>
      <c r="F706" s="286"/>
      <c r="G706" s="286"/>
      <c r="H706" s="286"/>
      <c r="I706" s="286"/>
      <c r="J706" s="286"/>
      <c r="K706" s="286"/>
      <c r="L706" s="286"/>
      <c r="M706" s="286"/>
      <c r="N706" s="286"/>
      <c r="O706" s="286"/>
      <c r="P706" s="286"/>
      <c r="Q706" s="286"/>
      <c r="R706" s="286"/>
      <c r="S706" s="286"/>
      <c r="T706" s="286"/>
      <c r="U706" s="286"/>
      <c r="V706" s="286"/>
    </row>
    <row r="707" spans="1:22" ht="26.25" customHeight="1" x14ac:dyDescent="0.2">
      <c r="A707" s="286"/>
      <c r="B707" s="286"/>
      <c r="C707" s="286"/>
      <c r="D707" s="286"/>
      <c r="E707" s="286"/>
      <c r="F707" s="286"/>
      <c r="G707" s="286"/>
      <c r="H707" s="286"/>
      <c r="I707" s="286"/>
      <c r="J707" s="286"/>
      <c r="K707" s="286"/>
      <c r="L707" s="286"/>
      <c r="M707" s="286"/>
      <c r="N707" s="286"/>
      <c r="O707" s="286"/>
      <c r="P707" s="286"/>
      <c r="Q707" s="286"/>
      <c r="R707" s="286"/>
      <c r="S707" s="286"/>
      <c r="T707" s="286"/>
      <c r="U707" s="286"/>
      <c r="V707" s="286"/>
    </row>
    <row r="708" spans="1:22" ht="26.25" customHeight="1" x14ac:dyDescent="0.2">
      <c r="A708" s="286"/>
      <c r="B708" s="286"/>
      <c r="C708" s="286"/>
      <c r="D708" s="286"/>
      <c r="E708" s="286"/>
      <c r="F708" s="286"/>
      <c r="G708" s="286"/>
      <c r="H708" s="286"/>
      <c r="I708" s="286"/>
      <c r="J708" s="286"/>
      <c r="K708" s="286"/>
      <c r="L708" s="286"/>
      <c r="M708" s="286"/>
      <c r="N708" s="286"/>
      <c r="O708" s="286"/>
      <c r="P708" s="286"/>
      <c r="Q708" s="286"/>
      <c r="R708" s="286"/>
      <c r="S708" s="286"/>
      <c r="T708" s="286"/>
      <c r="U708" s="286"/>
      <c r="V708" s="286"/>
    </row>
    <row r="709" spans="1:22" ht="26.25" customHeight="1" x14ac:dyDescent="0.2">
      <c r="A709" s="286"/>
      <c r="B709" s="286"/>
      <c r="C709" s="286"/>
      <c r="D709" s="286"/>
      <c r="E709" s="286"/>
      <c r="F709" s="286"/>
      <c r="G709" s="286"/>
      <c r="H709" s="286"/>
      <c r="I709" s="286"/>
      <c r="J709" s="286"/>
      <c r="K709" s="286"/>
      <c r="L709" s="286"/>
      <c r="M709" s="286"/>
      <c r="N709" s="286"/>
      <c r="O709" s="286"/>
      <c r="P709" s="286"/>
      <c r="Q709" s="286"/>
      <c r="R709" s="286"/>
      <c r="S709" s="286"/>
      <c r="T709" s="286"/>
      <c r="U709" s="286"/>
      <c r="V709" s="286"/>
    </row>
    <row r="710" spans="1:22" ht="26.25" customHeight="1" x14ac:dyDescent="0.2">
      <c r="A710" s="286"/>
      <c r="B710" s="286"/>
      <c r="C710" s="286"/>
      <c r="D710" s="286"/>
      <c r="E710" s="286"/>
      <c r="F710" s="286"/>
      <c r="G710" s="286"/>
      <c r="H710" s="286"/>
      <c r="I710" s="286"/>
      <c r="J710" s="286"/>
      <c r="K710" s="286"/>
      <c r="L710" s="286"/>
      <c r="M710" s="286"/>
      <c r="N710" s="286"/>
      <c r="O710" s="286"/>
      <c r="P710" s="286"/>
      <c r="Q710" s="286"/>
      <c r="R710" s="286"/>
      <c r="S710" s="286"/>
      <c r="T710" s="286"/>
      <c r="U710" s="286"/>
      <c r="V710" s="286"/>
    </row>
    <row r="711" spans="1:22" ht="26.25" customHeight="1" x14ac:dyDescent="0.2">
      <c r="A711" s="286"/>
      <c r="B711" s="286"/>
      <c r="C711" s="286"/>
      <c r="D711" s="286"/>
      <c r="E711" s="286"/>
      <c r="F711" s="286"/>
      <c r="G711" s="286"/>
      <c r="H711" s="286"/>
      <c r="I711" s="286"/>
      <c r="J711" s="286"/>
      <c r="K711" s="286"/>
      <c r="L711" s="286"/>
      <c r="M711" s="286"/>
      <c r="N711" s="286"/>
      <c r="O711" s="286"/>
      <c r="P711" s="286"/>
      <c r="Q711" s="286"/>
      <c r="R711" s="286"/>
      <c r="S711" s="286"/>
      <c r="T711" s="286"/>
      <c r="U711" s="286"/>
      <c r="V711" s="286"/>
    </row>
    <row r="712" spans="1:22" ht="26.25" customHeight="1" x14ac:dyDescent="0.2">
      <c r="A712" s="286"/>
      <c r="B712" s="286"/>
      <c r="C712" s="286"/>
      <c r="D712" s="286"/>
      <c r="E712" s="286"/>
      <c r="F712" s="286"/>
      <c r="G712" s="286"/>
      <c r="H712" s="286"/>
      <c r="I712" s="286"/>
      <c r="J712" s="286"/>
      <c r="K712" s="286"/>
      <c r="L712" s="286"/>
      <c r="M712" s="286"/>
      <c r="N712" s="286"/>
      <c r="O712" s="286"/>
      <c r="P712" s="286"/>
      <c r="Q712" s="286"/>
      <c r="R712" s="286"/>
      <c r="S712" s="286"/>
      <c r="T712" s="286"/>
      <c r="U712" s="286"/>
      <c r="V712" s="286"/>
    </row>
    <row r="713" spans="1:22" ht="26.25" customHeight="1" x14ac:dyDescent="0.2">
      <c r="A713" s="286"/>
      <c r="B713" s="286"/>
      <c r="C713" s="286"/>
      <c r="D713" s="286"/>
      <c r="E713" s="286"/>
      <c r="F713" s="286"/>
      <c r="G713" s="286"/>
      <c r="H713" s="286"/>
      <c r="I713" s="286"/>
      <c r="J713" s="286"/>
      <c r="K713" s="286"/>
      <c r="L713" s="286"/>
      <c r="M713" s="286"/>
      <c r="N713" s="286"/>
      <c r="O713" s="286"/>
      <c r="P713" s="286"/>
      <c r="Q713" s="286"/>
      <c r="R713" s="286"/>
      <c r="S713" s="286"/>
      <c r="T713" s="286"/>
      <c r="U713" s="286"/>
      <c r="V713" s="286"/>
    </row>
    <row r="714" spans="1:22" ht="26.25" customHeight="1" x14ac:dyDescent="0.2">
      <c r="A714" s="286"/>
      <c r="B714" s="286"/>
      <c r="C714" s="286"/>
      <c r="D714" s="286"/>
      <c r="E714" s="286"/>
      <c r="F714" s="286"/>
      <c r="G714" s="286"/>
      <c r="H714" s="286"/>
      <c r="I714" s="286"/>
      <c r="J714" s="286"/>
      <c r="K714" s="286"/>
      <c r="L714" s="286"/>
      <c r="M714" s="286"/>
      <c r="N714" s="286"/>
      <c r="O714" s="286"/>
      <c r="P714" s="286"/>
      <c r="Q714" s="286"/>
      <c r="R714" s="286"/>
      <c r="S714" s="286"/>
      <c r="T714" s="286"/>
      <c r="U714" s="286"/>
      <c r="V714" s="286"/>
    </row>
    <row r="715" spans="1:22" ht="26.25" customHeight="1" x14ac:dyDescent="0.2">
      <c r="A715" s="286"/>
      <c r="B715" s="286"/>
      <c r="C715" s="286"/>
      <c r="D715" s="286"/>
      <c r="E715" s="286"/>
      <c r="F715" s="286"/>
      <c r="G715" s="286"/>
      <c r="H715" s="286"/>
      <c r="I715" s="286"/>
      <c r="J715" s="286"/>
      <c r="K715" s="286"/>
      <c r="L715" s="286"/>
      <c r="M715" s="286"/>
      <c r="N715" s="286"/>
      <c r="O715" s="286"/>
      <c r="P715" s="286"/>
      <c r="Q715" s="286"/>
      <c r="R715" s="286"/>
      <c r="S715" s="286"/>
      <c r="T715" s="286"/>
      <c r="U715" s="286"/>
      <c r="V715" s="286"/>
    </row>
    <row r="716" spans="1:22" ht="26.25" customHeight="1" x14ac:dyDescent="0.2">
      <c r="A716" s="286"/>
      <c r="B716" s="286"/>
      <c r="C716" s="286"/>
      <c r="D716" s="286"/>
      <c r="E716" s="286"/>
      <c r="F716" s="286"/>
      <c r="G716" s="286"/>
      <c r="H716" s="286"/>
      <c r="I716" s="286"/>
      <c r="J716" s="286"/>
      <c r="K716" s="286"/>
      <c r="L716" s="286"/>
      <c r="M716" s="286"/>
      <c r="N716" s="286"/>
      <c r="O716" s="286"/>
      <c r="P716" s="286"/>
      <c r="Q716" s="286"/>
      <c r="R716" s="286"/>
      <c r="S716" s="286"/>
      <c r="T716" s="286"/>
      <c r="U716" s="286"/>
      <c r="V716" s="286"/>
    </row>
    <row r="717" spans="1:22" ht="26.25" customHeight="1" x14ac:dyDescent="0.2">
      <c r="A717" s="286"/>
      <c r="B717" s="286"/>
      <c r="C717" s="286"/>
      <c r="D717" s="286"/>
      <c r="E717" s="286"/>
      <c r="F717" s="286"/>
      <c r="G717" s="286"/>
      <c r="H717" s="286"/>
      <c r="I717" s="286"/>
      <c r="J717" s="286"/>
      <c r="K717" s="286"/>
      <c r="L717" s="286"/>
      <c r="M717" s="286"/>
      <c r="N717" s="286"/>
      <c r="O717" s="286"/>
      <c r="P717" s="286"/>
      <c r="Q717" s="286"/>
      <c r="R717" s="286"/>
      <c r="S717" s="286"/>
      <c r="T717" s="286"/>
      <c r="U717" s="286"/>
      <c r="V717" s="286"/>
    </row>
    <row r="718" spans="1:22" ht="26.25" customHeight="1" x14ac:dyDescent="0.2">
      <c r="A718" s="286"/>
      <c r="B718" s="286"/>
      <c r="C718" s="286"/>
      <c r="D718" s="286"/>
      <c r="E718" s="286"/>
      <c r="F718" s="286"/>
      <c r="G718" s="286"/>
      <c r="H718" s="286"/>
      <c r="I718" s="286"/>
      <c r="J718" s="286"/>
      <c r="K718" s="286"/>
      <c r="L718" s="286"/>
      <c r="M718" s="286"/>
      <c r="N718" s="286"/>
      <c r="O718" s="286"/>
      <c r="P718" s="286"/>
      <c r="Q718" s="286"/>
      <c r="R718" s="286"/>
      <c r="S718" s="286"/>
      <c r="T718" s="286"/>
      <c r="U718" s="286"/>
      <c r="V718" s="286"/>
    </row>
    <row r="719" spans="1:22" ht="26.25" customHeight="1" x14ac:dyDescent="0.2">
      <c r="A719" s="286"/>
      <c r="B719" s="286"/>
      <c r="C719" s="286"/>
      <c r="D719" s="286"/>
      <c r="E719" s="286"/>
      <c r="F719" s="286"/>
      <c r="G719" s="286"/>
      <c r="H719" s="286"/>
      <c r="I719" s="286"/>
      <c r="J719" s="286"/>
      <c r="K719" s="286"/>
      <c r="L719" s="286"/>
      <c r="M719" s="286"/>
      <c r="N719" s="286"/>
      <c r="O719" s="286"/>
      <c r="P719" s="286"/>
      <c r="Q719" s="286"/>
      <c r="R719" s="286"/>
      <c r="S719" s="286"/>
      <c r="T719" s="286"/>
      <c r="U719" s="286"/>
      <c r="V719" s="286"/>
    </row>
    <row r="720" spans="1:22" ht="26.25" customHeight="1" x14ac:dyDescent="0.2">
      <c r="A720" s="286"/>
      <c r="B720" s="286"/>
      <c r="C720" s="286"/>
      <c r="D720" s="286"/>
      <c r="E720" s="286"/>
      <c r="F720" s="286"/>
      <c r="G720" s="286"/>
      <c r="H720" s="286"/>
      <c r="I720" s="286"/>
      <c r="J720" s="286"/>
      <c r="K720" s="286"/>
      <c r="L720" s="286"/>
      <c r="M720" s="286"/>
      <c r="N720" s="286"/>
      <c r="O720" s="286"/>
      <c r="P720" s="286"/>
      <c r="Q720" s="286"/>
      <c r="R720" s="286"/>
      <c r="S720" s="286"/>
      <c r="T720" s="286"/>
      <c r="U720" s="286"/>
      <c r="V720" s="286"/>
    </row>
    <row r="721" spans="1:22" ht="26.25" customHeight="1" x14ac:dyDescent="0.2">
      <c r="A721" s="286"/>
      <c r="B721" s="286"/>
      <c r="C721" s="286"/>
      <c r="D721" s="286"/>
      <c r="E721" s="286"/>
      <c r="F721" s="286"/>
      <c r="G721" s="286"/>
      <c r="H721" s="286"/>
      <c r="I721" s="286"/>
      <c r="J721" s="286"/>
      <c r="K721" s="286"/>
      <c r="L721" s="286"/>
      <c r="M721" s="286"/>
      <c r="N721" s="286"/>
      <c r="O721" s="286"/>
      <c r="P721" s="286"/>
      <c r="Q721" s="286"/>
      <c r="R721" s="286"/>
      <c r="S721" s="286"/>
      <c r="T721" s="286"/>
      <c r="U721" s="286"/>
      <c r="V721" s="286"/>
    </row>
    <row r="722" spans="1:22" ht="26.25" customHeight="1" x14ac:dyDescent="0.2">
      <c r="A722" s="286"/>
      <c r="B722" s="286"/>
      <c r="C722" s="286"/>
      <c r="D722" s="286"/>
      <c r="E722" s="286"/>
      <c r="F722" s="286"/>
      <c r="G722" s="286"/>
      <c r="H722" s="286"/>
      <c r="I722" s="286"/>
      <c r="J722" s="286"/>
      <c r="K722" s="286"/>
      <c r="L722" s="286"/>
      <c r="M722" s="286"/>
      <c r="N722" s="286"/>
      <c r="O722" s="286"/>
      <c r="P722" s="286"/>
      <c r="Q722" s="286"/>
      <c r="R722" s="286"/>
      <c r="S722" s="286"/>
      <c r="T722" s="286"/>
      <c r="U722" s="286"/>
      <c r="V722" s="286"/>
    </row>
    <row r="723" spans="1:22" ht="26.25" customHeight="1" x14ac:dyDescent="0.2">
      <c r="A723" s="286"/>
      <c r="B723" s="286"/>
      <c r="C723" s="286"/>
      <c r="D723" s="286"/>
      <c r="E723" s="286"/>
      <c r="F723" s="286"/>
      <c r="G723" s="286"/>
      <c r="H723" s="286"/>
      <c r="I723" s="286"/>
      <c r="J723" s="286"/>
      <c r="K723" s="286"/>
      <c r="L723" s="286"/>
      <c r="M723" s="286"/>
      <c r="N723" s="286"/>
      <c r="O723" s="286"/>
      <c r="P723" s="286"/>
      <c r="Q723" s="286"/>
      <c r="R723" s="286"/>
      <c r="S723" s="286"/>
      <c r="T723" s="286"/>
      <c r="U723" s="286"/>
      <c r="V723" s="286"/>
    </row>
    <row r="724" spans="1:22" ht="26.25" customHeight="1" x14ac:dyDescent="0.2">
      <c r="A724" s="286"/>
      <c r="B724" s="286"/>
      <c r="C724" s="286"/>
      <c r="D724" s="286"/>
      <c r="E724" s="286"/>
      <c r="F724" s="286"/>
      <c r="G724" s="286"/>
      <c r="H724" s="286"/>
      <c r="I724" s="286"/>
      <c r="J724" s="286"/>
      <c r="K724" s="286"/>
      <c r="L724" s="286"/>
      <c r="M724" s="286"/>
      <c r="N724" s="286"/>
      <c r="O724" s="286"/>
      <c r="P724" s="286"/>
      <c r="Q724" s="286"/>
      <c r="R724" s="286"/>
      <c r="S724" s="286"/>
      <c r="T724" s="286"/>
      <c r="U724" s="286"/>
      <c r="V724" s="286"/>
    </row>
    <row r="725" spans="1:22" ht="26.25" customHeight="1" x14ac:dyDescent="0.2">
      <c r="A725" s="286"/>
      <c r="B725" s="286"/>
      <c r="C725" s="286"/>
      <c r="D725" s="286"/>
      <c r="E725" s="286"/>
      <c r="F725" s="286"/>
      <c r="G725" s="286"/>
      <c r="H725" s="286"/>
      <c r="I725" s="286"/>
      <c r="J725" s="286"/>
      <c r="K725" s="286"/>
      <c r="L725" s="286"/>
      <c r="M725" s="286"/>
      <c r="N725" s="286"/>
      <c r="O725" s="286"/>
      <c r="P725" s="286"/>
      <c r="Q725" s="286"/>
      <c r="R725" s="286"/>
      <c r="S725" s="286"/>
      <c r="T725" s="286"/>
      <c r="U725" s="286"/>
      <c r="V725" s="286"/>
    </row>
    <row r="726" spans="1:22" ht="26.25" customHeight="1" x14ac:dyDescent="0.2">
      <c r="A726" s="286"/>
      <c r="B726" s="286"/>
      <c r="C726" s="286"/>
      <c r="D726" s="286"/>
      <c r="E726" s="286"/>
      <c r="F726" s="286"/>
      <c r="G726" s="286"/>
      <c r="H726" s="286"/>
      <c r="I726" s="286"/>
      <c r="J726" s="286"/>
      <c r="K726" s="286"/>
      <c r="L726" s="286"/>
      <c r="M726" s="286"/>
      <c r="N726" s="286"/>
      <c r="O726" s="286"/>
      <c r="P726" s="286"/>
      <c r="Q726" s="286"/>
      <c r="R726" s="286"/>
      <c r="S726" s="286"/>
      <c r="T726" s="286"/>
      <c r="U726" s="286"/>
      <c r="V726" s="286"/>
    </row>
    <row r="727" spans="1:22" ht="26.25" customHeight="1" x14ac:dyDescent="0.2">
      <c r="A727" s="286"/>
      <c r="B727" s="286"/>
      <c r="C727" s="286"/>
      <c r="D727" s="286"/>
      <c r="E727" s="286"/>
      <c r="F727" s="286"/>
      <c r="G727" s="286"/>
      <c r="H727" s="286"/>
      <c r="I727" s="286"/>
      <c r="J727" s="286"/>
      <c r="K727" s="286"/>
      <c r="L727" s="286"/>
      <c r="M727" s="286"/>
      <c r="N727" s="286"/>
      <c r="O727" s="286"/>
      <c r="P727" s="286"/>
      <c r="Q727" s="286"/>
      <c r="R727" s="286"/>
      <c r="S727" s="286"/>
      <c r="T727" s="286"/>
      <c r="U727" s="286"/>
      <c r="V727" s="286"/>
    </row>
    <row r="728" spans="1:22" ht="26.25" customHeight="1" x14ac:dyDescent="0.2">
      <c r="A728" s="286"/>
      <c r="B728" s="286"/>
      <c r="C728" s="286"/>
      <c r="D728" s="286"/>
      <c r="E728" s="286"/>
      <c r="F728" s="286"/>
      <c r="G728" s="286"/>
      <c r="H728" s="286"/>
      <c r="I728" s="286"/>
      <c r="J728" s="286"/>
      <c r="K728" s="286"/>
      <c r="L728" s="286"/>
      <c r="M728" s="286"/>
      <c r="N728" s="286"/>
      <c r="O728" s="286"/>
      <c r="P728" s="286"/>
      <c r="Q728" s="286"/>
      <c r="R728" s="286"/>
      <c r="S728" s="286"/>
      <c r="T728" s="286"/>
      <c r="U728" s="286"/>
      <c r="V728" s="286"/>
    </row>
    <row r="729" spans="1:22" ht="26.25" customHeight="1" x14ac:dyDescent="0.2">
      <c r="A729" s="286"/>
      <c r="B729" s="286"/>
      <c r="C729" s="286"/>
      <c r="D729" s="286"/>
      <c r="E729" s="286"/>
      <c r="F729" s="286"/>
      <c r="G729" s="286"/>
      <c r="H729" s="286"/>
      <c r="I729" s="286"/>
      <c r="J729" s="286"/>
      <c r="K729" s="286"/>
      <c r="L729" s="286"/>
      <c r="M729" s="286"/>
      <c r="N729" s="286"/>
      <c r="O729" s="286"/>
      <c r="P729" s="286"/>
      <c r="Q729" s="286"/>
      <c r="R729" s="286"/>
      <c r="S729" s="286"/>
      <c r="T729" s="286"/>
      <c r="U729" s="286"/>
      <c r="V729" s="286"/>
    </row>
    <row r="730" spans="1:22" ht="26.25" customHeight="1" x14ac:dyDescent="0.2">
      <c r="A730" s="286"/>
      <c r="B730" s="286"/>
      <c r="C730" s="286"/>
      <c r="D730" s="286"/>
      <c r="E730" s="286"/>
      <c r="F730" s="286"/>
      <c r="G730" s="286"/>
      <c r="H730" s="286"/>
      <c r="I730" s="286"/>
      <c r="J730" s="286"/>
      <c r="K730" s="286"/>
      <c r="L730" s="286"/>
      <c r="M730" s="286"/>
      <c r="N730" s="286"/>
      <c r="O730" s="286"/>
      <c r="P730" s="286"/>
      <c r="Q730" s="286"/>
      <c r="R730" s="286"/>
      <c r="S730" s="286"/>
      <c r="T730" s="286"/>
      <c r="U730" s="286"/>
      <c r="V730" s="286"/>
    </row>
    <row r="731" spans="1:22" ht="26.25" customHeight="1" x14ac:dyDescent="0.2">
      <c r="A731" s="286"/>
      <c r="B731" s="286"/>
      <c r="C731" s="286"/>
      <c r="D731" s="286"/>
      <c r="E731" s="286"/>
      <c r="F731" s="286"/>
      <c r="G731" s="286"/>
      <c r="H731" s="286"/>
      <c r="I731" s="286"/>
      <c r="J731" s="286"/>
      <c r="K731" s="286"/>
      <c r="L731" s="286"/>
      <c r="M731" s="286"/>
      <c r="N731" s="286"/>
      <c r="O731" s="286"/>
      <c r="P731" s="286"/>
      <c r="Q731" s="286"/>
      <c r="R731" s="286"/>
      <c r="S731" s="286"/>
      <c r="T731" s="286"/>
      <c r="U731" s="286"/>
      <c r="V731" s="286"/>
    </row>
    <row r="732" spans="1:22" ht="26.25" customHeight="1" x14ac:dyDescent="0.2">
      <c r="A732" s="286"/>
      <c r="B732" s="286"/>
      <c r="C732" s="286"/>
      <c r="D732" s="286"/>
      <c r="E732" s="286"/>
      <c r="F732" s="286"/>
      <c r="G732" s="286"/>
      <c r="H732" s="286"/>
      <c r="I732" s="286"/>
      <c r="J732" s="286"/>
      <c r="K732" s="286"/>
      <c r="L732" s="286"/>
      <c r="M732" s="286"/>
      <c r="N732" s="286"/>
      <c r="O732" s="286"/>
      <c r="P732" s="286"/>
      <c r="Q732" s="286"/>
      <c r="R732" s="286"/>
      <c r="S732" s="286"/>
      <c r="T732" s="286"/>
      <c r="U732" s="286"/>
      <c r="V732" s="286"/>
    </row>
    <row r="733" spans="1:22" ht="26.25" customHeight="1" x14ac:dyDescent="0.2">
      <c r="A733" s="286"/>
      <c r="B733" s="286"/>
      <c r="C733" s="286"/>
      <c r="D733" s="286"/>
      <c r="E733" s="286"/>
      <c r="F733" s="286"/>
      <c r="G733" s="286"/>
      <c r="H733" s="286"/>
      <c r="I733" s="286"/>
      <c r="J733" s="286"/>
      <c r="K733" s="286"/>
      <c r="L733" s="286"/>
      <c r="M733" s="286"/>
      <c r="N733" s="286"/>
      <c r="O733" s="286"/>
      <c r="P733" s="286"/>
      <c r="Q733" s="286"/>
      <c r="R733" s="286"/>
      <c r="S733" s="286"/>
      <c r="T733" s="286"/>
      <c r="U733" s="286"/>
      <c r="V733" s="286"/>
    </row>
    <row r="734" spans="1:22" ht="26.25" customHeight="1" x14ac:dyDescent="0.2">
      <c r="A734" s="286"/>
      <c r="B734" s="286"/>
      <c r="C734" s="286"/>
      <c r="D734" s="286"/>
      <c r="E734" s="286"/>
      <c r="F734" s="286"/>
      <c r="G734" s="286"/>
      <c r="H734" s="286"/>
      <c r="I734" s="286"/>
      <c r="J734" s="286"/>
      <c r="K734" s="286"/>
      <c r="L734" s="286"/>
      <c r="M734" s="286"/>
      <c r="N734" s="286"/>
      <c r="O734" s="286"/>
      <c r="P734" s="286"/>
      <c r="Q734" s="286"/>
      <c r="R734" s="286"/>
      <c r="S734" s="286"/>
      <c r="T734" s="286"/>
      <c r="U734" s="286"/>
      <c r="V734" s="286"/>
    </row>
    <row r="735" spans="1:22" ht="26.25" customHeight="1" x14ac:dyDescent="0.2">
      <c r="A735" s="286"/>
      <c r="B735" s="286"/>
      <c r="C735" s="286"/>
      <c r="D735" s="286"/>
      <c r="E735" s="286"/>
      <c r="F735" s="286"/>
      <c r="G735" s="286"/>
      <c r="H735" s="286"/>
      <c r="I735" s="286"/>
      <c r="J735" s="286"/>
      <c r="K735" s="286"/>
      <c r="L735" s="286"/>
      <c r="M735" s="286"/>
      <c r="N735" s="286"/>
      <c r="O735" s="286"/>
      <c r="P735" s="286"/>
      <c r="Q735" s="286"/>
      <c r="R735" s="286"/>
      <c r="S735" s="286"/>
      <c r="T735" s="286"/>
      <c r="U735" s="286"/>
      <c r="V735" s="286"/>
    </row>
    <row r="736" spans="1:22" ht="26.25" customHeight="1" x14ac:dyDescent="0.2">
      <c r="A736" s="286"/>
      <c r="B736" s="286"/>
      <c r="C736" s="286"/>
      <c r="D736" s="286"/>
      <c r="E736" s="286"/>
      <c r="F736" s="286"/>
      <c r="G736" s="286"/>
      <c r="H736" s="286"/>
      <c r="I736" s="286"/>
      <c r="J736" s="286"/>
      <c r="K736" s="286"/>
      <c r="L736" s="286"/>
      <c r="M736" s="286"/>
      <c r="N736" s="286"/>
      <c r="O736" s="286"/>
      <c r="P736" s="286"/>
      <c r="Q736" s="286"/>
      <c r="R736" s="286"/>
      <c r="S736" s="286"/>
      <c r="T736" s="286"/>
      <c r="U736" s="286"/>
      <c r="V736" s="286"/>
    </row>
    <row r="737" spans="1:22" ht="26.25" customHeight="1" x14ac:dyDescent="0.2">
      <c r="A737" s="286"/>
      <c r="B737" s="286"/>
      <c r="C737" s="286"/>
      <c r="D737" s="286"/>
      <c r="E737" s="286"/>
      <c r="F737" s="286"/>
      <c r="G737" s="286"/>
      <c r="H737" s="286"/>
      <c r="I737" s="286"/>
      <c r="J737" s="286"/>
      <c r="K737" s="286"/>
      <c r="L737" s="286"/>
      <c r="M737" s="286"/>
      <c r="N737" s="286"/>
      <c r="O737" s="286"/>
      <c r="P737" s="286"/>
      <c r="Q737" s="286"/>
      <c r="R737" s="286"/>
      <c r="S737" s="286"/>
      <c r="T737" s="286"/>
      <c r="U737" s="286"/>
      <c r="V737" s="286"/>
    </row>
    <row r="738" spans="1:22" ht="26.25" customHeight="1" x14ac:dyDescent="0.2">
      <c r="A738" s="286"/>
      <c r="B738" s="286"/>
      <c r="C738" s="286"/>
      <c r="D738" s="286"/>
      <c r="E738" s="286"/>
      <c r="F738" s="286"/>
      <c r="G738" s="286"/>
      <c r="H738" s="286"/>
      <c r="I738" s="286"/>
      <c r="J738" s="286"/>
      <c r="K738" s="286"/>
      <c r="L738" s="286"/>
      <c r="M738" s="286"/>
      <c r="N738" s="286"/>
      <c r="O738" s="286"/>
      <c r="P738" s="286"/>
      <c r="Q738" s="286"/>
      <c r="R738" s="286"/>
      <c r="S738" s="286"/>
      <c r="T738" s="286"/>
      <c r="U738" s="286"/>
      <c r="V738" s="286"/>
    </row>
    <row r="739" spans="1:22" ht="26.25" customHeight="1" x14ac:dyDescent="0.2">
      <c r="A739" s="286"/>
      <c r="B739" s="286"/>
      <c r="C739" s="286"/>
      <c r="D739" s="286"/>
      <c r="E739" s="286"/>
      <c r="F739" s="286"/>
      <c r="G739" s="286"/>
      <c r="H739" s="286"/>
      <c r="I739" s="286"/>
      <c r="J739" s="286"/>
      <c r="K739" s="286"/>
      <c r="L739" s="286"/>
      <c r="M739" s="286"/>
      <c r="N739" s="286"/>
      <c r="O739" s="286"/>
      <c r="P739" s="286"/>
      <c r="Q739" s="286"/>
      <c r="R739" s="286"/>
      <c r="S739" s="286"/>
      <c r="T739" s="286"/>
      <c r="U739" s="286"/>
      <c r="V739" s="286"/>
    </row>
    <row r="740" spans="1:22" ht="26.25" customHeight="1" x14ac:dyDescent="0.2">
      <c r="A740" s="286"/>
      <c r="B740" s="286"/>
      <c r="C740" s="286"/>
      <c r="D740" s="286"/>
      <c r="E740" s="286"/>
      <c r="F740" s="286"/>
      <c r="G740" s="286"/>
      <c r="H740" s="286"/>
      <c r="I740" s="286"/>
      <c r="J740" s="286"/>
      <c r="K740" s="286"/>
      <c r="L740" s="286"/>
      <c r="M740" s="286"/>
      <c r="N740" s="286"/>
      <c r="O740" s="286"/>
      <c r="P740" s="286"/>
      <c r="Q740" s="286"/>
      <c r="R740" s="286"/>
      <c r="S740" s="286"/>
      <c r="T740" s="286"/>
      <c r="U740" s="286"/>
      <c r="V740" s="286"/>
    </row>
    <row r="741" spans="1:22" ht="26.25" customHeight="1" x14ac:dyDescent="0.2">
      <c r="A741" s="286"/>
      <c r="B741" s="286"/>
      <c r="C741" s="286"/>
      <c r="D741" s="286"/>
      <c r="E741" s="286"/>
      <c r="F741" s="286"/>
      <c r="G741" s="286"/>
      <c r="H741" s="286"/>
      <c r="I741" s="286"/>
      <c r="J741" s="286"/>
      <c r="K741" s="286"/>
      <c r="L741" s="286"/>
      <c r="M741" s="286"/>
      <c r="N741" s="286"/>
      <c r="O741" s="286"/>
      <c r="P741" s="286"/>
      <c r="Q741" s="286"/>
      <c r="R741" s="286"/>
      <c r="S741" s="286"/>
      <c r="T741" s="286"/>
      <c r="U741" s="286"/>
      <c r="V741" s="286"/>
    </row>
    <row r="742" spans="1:22" ht="26.25" customHeight="1" x14ac:dyDescent="0.2">
      <c r="A742" s="286"/>
      <c r="B742" s="286"/>
      <c r="C742" s="286"/>
      <c r="D742" s="286"/>
      <c r="E742" s="286"/>
      <c r="F742" s="286"/>
      <c r="G742" s="286"/>
      <c r="H742" s="286"/>
      <c r="I742" s="286"/>
      <c r="J742" s="286"/>
      <c r="K742" s="286"/>
      <c r="L742" s="286"/>
      <c r="M742" s="286"/>
      <c r="N742" s="286"/>
      <c r="O742" s="286"/>
      <c r="P742" s="286"/>
      <c r="Q742" s="286"/>
      <c r="R742" s="286"/>
      <c r="S742" s="286"/>
      <c r="T742" s="286"/>
      <c r="U742" s="286"/>
      <c r="V742" s="286"/>
    </row>
    <row r="743" spans="1:22" ht="26.25" customHeight="1" x14ac:dyDescent="0.2">
      <c r="A743" s="286"/>
      <c r="B743" s="286"/>
      <c r="C743" s="286"/>
      <c r="D743" s="286"/>
      <c r="E743" s="286"/>
      <c r="F743" s="286"/>
      <c r="G743" s="286"/>
      <c r="H743" s="286"/>
      <c r="I743" s="286"/>
      <c r="J743" s="286"/>
      <c r="K743" s="286"/>
      <c r="L743" s="286"/>
      <c r="M743" s="286"/>
      <c r="N743" s="286"/>
      <c r="O743" s="286"/>
      <c r="P743" s="286"/>
      <c r="Q743" s="286"/>
      <c r="R743" s="286"/>
      <c r="S743" s="286"/>
      <c r="T743" s="286"/>
      <c r="U743" s="286"/>
      <c r="V743" s="286"/>
    </row>
    <row r="744" spans="1:22" ht="26.25" customHeight="1" x14ac:dyDescent="0.2">
      <c r="A744" s="286"/>
      <c r="B744" s="286"/>
      <c r="C744" s="286"/>
      <c r="D744" s="286"/>
      <c r="E744" s="286"/>
      <c r="F744" s="286"/>
      <c r="G744" s="286"/>
      <c r="H744" s="286"/>
      <c r="I744" s="286"/>
      <c r="J744" s="286"/>
      <c r="K744" s="286"/>
      <c r="L744" s="286"/>
      <c r="M744" s="286"/>
      <c r="N744" s="286"/>
      <c r="O744" s="286"/>
      <c r="P744" s="286"/>
      <c r="Q744" s="286"/>
      <c r="R744" s="286"/>
      <c r="S744" s="286"/>
      <c r="T744" s="286"/>
      <c r="U744" s="286"/>
      <c r="V744" s="286"/>
    </row>
    <row r="745" spans="1:22" ht="26.25" customHeight="1" x14ac:dyDescent="0.2">
      <c r="A745" s="286"/>
      <c r="B745" s="286"/>
      <c r="C745" s="286"/>
      <c r="D745" s="286"/>
      <c r="E745" s="286"/>
      <c r="F745" s="286"/>
      <c r="G745" s="286"/>
      <c r="H745" s="286"/>
      <c r="I745" s="286"/>
      <c r="J745" s="286"/>
      <c r="K745" s="286"/>
      <c r="L745" s="286"/>
      <c r="M745" s="286"/>
      <c r="N745" s="286"/>
      <c r="O745" s="286"/>
      <c r="P745" s="286"/>
      <c r="Q745" s="286"/>
      <c r="R745" s="286"/>
      <c r="S745" s="286"/>
      <c r="T745" s="286"/>
      <c r="U745" s="286"/>
      <c r="V745" s="286"/>
    </row>
    <row r="746" spans="1:22" ht="26.25" customHeight="1" x14ac:dyDescent="0.2">
      <c r="A746" s="286"/>
      <c r="B746" s="286"/>
      <c r="C746" s="286"/>
      <c r="D746" s="286"/>
      <c r="E746" s="286"/>
      <c r="F746" s="286"/>
      <c r="G746" s="286"/>
      <c r="H746" s="286"/>
      <c r="I746" s="286"/>
      <c r="J746" s="286"/>
      <c r="K746" s="286"/>
      <c r="L746" s="286"/>
      <c r="M746" s="286"/>
      <c r="N746" s="286"/>
      <c r="O746" s="286"/>
      <c r="P746" s="286"/>
      <c r="Q746" s="286"/>
      <c r="R746" s="286"/>
      <c r="S746" s="286"/>
      <c r="T746" s="286"/>
      <c r="U746" s="286"/>
      <c r="V746" s="286"/>
    </row>
    <row r="747" spans="1:22" ht="26.25" customHeight="1" x14ac:dyDescent="0.2">
      <c r="A747" s="286"/>
      <c r="B747" s="286"/>
      <c r="C747" s="286"/>
      <c r="D747" s="286"/>
      <c r="E747" s="286"/>
      <c r="F747" s="286"/>
      <c r="G747" s="286"/>
      <c r="H747" s="286"/>
      <c r="I747" s="286"/>
      <c r="J747" s="286"/>
      <c r="K747" s="286"/>
      <c r="L747" s="286"/>
      <c r="M747" s="286"/>
      <c r="N747" s="286"/>
      <c r="O747" s="286"/>
      <c r="P747" s="286"/>
      <c r="Q747" s="286"/>
      <c r="R747" s="286"/>
      <c r="S747" s="286"/>
      <c r="T747" s="286"/>
      <c r="U747" s="286"/>
      <c r="V747" s="286"/>
    </row>
    <row r="748" spans="1:22" ht="26.25" customHeight="1" x14ac:dyDescent="0.2">
      <c r="A748" s="286"/>
      <c r="B748" s="286"/>
      <c r="C748" s="286"/>
      <c r="D748" s="286"/>
      <c r="E748" s="286"/>
      <c r="F748" s="286"/>
      <c r="G748" s="286"/>
      <c r="H748" s="286"/>
      <c r="I748" s="286"/>
      <c r="J748" s="286"/>
      <c r="K748" s="286"/>
      <c r="L748" s="286"/>
      <c r="M748" s="286"/>
      <c r="N748" s="286"/>
      <c r="O748" s="286"/>
      <c r="P748" s="286"/>
      <c r="Q748" s="286"/>
      <c r="R748" s="286"/>
      <c r="S748" s="286"/>
      <c r="T748" s="286"/>
      <c r="U748" s="286"/>
      <c r="V748" s="286"/>
    </row>
    <row r="749" spans="1:22" ht="26.25" customHeight="1" x14ac:dyDescent="0.2">
      <c r="A749" s="286"/>
      <c r="B749" s="286"/>
      <c r="C749" s="286"/>
      <c r="D749" s="286"/>
      <c r="E749" s="286"/>
      <c r="F749" s="286"/>
      <c r="G749" s="286"/>
      <c r="H749" s="286"/>
      <c r="I749" s="286"/>
      <c r="J749" s="286"/>
      <c r="K749" s="286"/>
      <c r="L749" s="286"/>
      <c r="M749" s="286"/>
      <c r="N749" s="286"/>
      <c r="O749" s="286"/>
      <c r="P749" s="286"/>
      <c r="Q749" s="286"/>
      <c r="R749" s="286"/>
      <c r="S749" s="286"/>
      <c r="T749" s="286"/>
      <c r="U749" s="286"/>
      <c r="V749" s="286"/>
    </row>
    <row r="750" spans="1:22" ht="26.25" customHeight="1" x14ac:dyDescent="0.2">
      <c r="A750" s="286"/>
      <c r="B750" s="286"/>
      <c r="C750" s="286"/>
      <c r="D750" s="286"/>
      <c r="E750" s="286"/>
      <c r="F750" s="286"/>
      <c r="G750" s="286"/>
      <c r="H750" s="286"/>
      <c r="I750" s="286"/>
      <c r="J750" s="286"/>
      <c r="K750" s="286"/>
      <c r="L750" s="286"/>
      <c r="M750" s="286"/>
      <c r="N750" s="286"/>
      <c r="O750" s="286"/>
      <c r="P750" s="286"/>
      <c r="Q750" s="286"/>
      <c r="R750" s="286"/>
      <c r="S750" s="286"/>
      <c r="T750" s="286"/>
      <c r="U750" s="286"/>
      <c r="V750" s="286"/>
    </row>
    <row r="751" spans="1:22" ht="26.25" customHeight="1" x14ac:dyDescent="0.2">
      <c r="A751" s="286"/>
      <c r="B751" s="286"/>
      <c r="C751" s="286"/>
      <c r="D751" s="286"/>
      <c r="E751" s="286"/>
      <c r="F751" s="286"/>
      <c r="G751" s="286"/>
      <c r="H751" s="286"/>
      <c r="I751" s="286"/>
      <c r="J751" s="286"/>
      <c r="K751" s="286"/>
      <c r="L751" s="286"/>
      <c r="M751" s="286"/>
      <c r="N751" s="286"/>
      <c r="O751" s="286"/>
      <c r="P751" s="286"/>
      <c r="Q751" s="286"/>
      <c r="R751" s="286"/>
      <c r="S751" s="286"/>
      <c r="T751" s="286"/>
      <c r="U751" s="286"/>
      <c r="V751" s="286"/>
    </row>
    <row r="752" spans="1:22" ht="26.25" customHeight="1" x14ac:dyDescent="0.2">
      <c r="A752" s="286"/>
      <c r="B752" s="286"/>
      <c r="C752" s="286"/>
      <c r="D752" s="286"/>
      <c r="E752" s="286"/>
      <c r="F752" s="286"/>
      <c r="G752" s="286"/>
      <c r="H752" s="286"/>
      <c r="I752" s="286"/>
      <c r="J752" s="286"/>
      <c r="K752" s="286"/>
      <c r="L752" s="286"/>
      <c r="M752" s="286"/>
      <c r="N752" s="286"/>
      <c r="O752" s="286"/>
      <c r="P752" s="286"/>
      <c r="Q752" s="286"/>
      <c r="R752" s="286"/>
      <c r="S752" s="286"/>
      <c r="T752" s="286"/>
      <c r="U752" s="286"/>
      <c r="V752" s="286"/>
    </row>
    <row r="753" spans="1:22" ht="26.25" customHeight="1" x14ac:dyDescent="0.2">
      <c r="A753" s="286"/>
      <c r="B753" s="286"/>
      <c r="C753" s="286"/>
      <c r="D753" s="286"/>
      <c r="E753" s="286"/>
      <c r="F753" s="286"/>
      <c r="G753" s="286"/>
      <c r="H753" s="286"/>
      <c r="I753" s="286"/>
      <c r="J753" s="286"/>
      <c r="K753" s="286"/>
      <c r="L753" s="286"/>
      <c r="M753" s="286"/>
      <c r="N753" s="286"/>
      <c r="O753" s="286"/>
      <c r="P753" s="286"/>
      <c r="Q753" s="286"/>
      <c r="R753" s="286"/>
      <c r="S753" s="286"/>
      <c r="T753" s="286"/>
      <c r="U753" s="286"/>
      <c r="V753" s="286"/>
    </row>
    <row r="754" spans="1:22" ht="26.25" customHeight="1" x14ac:dyDescent="0.2">
      <c r="A754" s="286"/>
      <c r="B754" s="286"/>
      <c r="C754" s="286"/>
      <c r="D754" s="286"/>
      <c r="E754" s="286"/>
      <c r="F754" s="286"/>
      <c r="G754" s="286"/>
      <c r="H754" s="286"/>
      <c r="I754" s="286"/>
      <c r="J754" s="286"/>
      <c r="K754" s="286"/>
      <c r="L754" s="286"/>
      <c r="M754" s="286"/>
      <c r="N754" s="286"/>
      <c r="O754" s="286"/>
      <c r="P754" s="286"/>
      <c r="Q754" s="286"/>
      <c r="R754" s="286"/>
      <c r="S754" s="286"/>
      <c r="T754" s="286"/>
      <c r="U754" s="286"/>
      <c r="V754" s="286"/>
    </row>
    <row r="755" spans="1:22" ht="26.25" customHeight="1" x14ac:dyDescent="0.2">
      <c r="A755" s="286"/>
      <c r="B755" s="286"/>
      <c r="C755" s="286"/>
      <c r="D755" s="286"/>
      <c r="E755" s="286"/>
      <c r="F755" s="286"/>
      <c r="G755" s="286"/>
      <c r="H755" s="286"/>
      <c r="I755" s="286"/>
      <c r="J755" s="286"/>
      <c r="K755" s="286"/>
      <c r="L755" s="286"/>
      <c r="M755" s="286"/>
      <c r="N755" s="286"/>
      <c r="O755" s="286"/>
      <c r="P755" s="286"/>
      <c r="Q755" s="286"/>
      <c r="R755" s="286"/>
      <c r="S755" s="286"/>
      <c r="T755" s="286"/>
      <c r="U755" s="286"/>
      <c r="V755" s="286"/>
    </row>
    <row r="756" spans="1:22" ht="26.25" customHeight="1" x14ac:dyDescent="0.2">
      <c r="A756" s="286"/>
      <c r="B756" s="286"/>
      <c r="C756" s="286"/>
      <c r="D756" s="286"/>
      <c r="E756" s="286"/>
      <c r="F756" s="286"/>
      <c r="G756" s="286"/>
      <c r="H756" s="286"/>
      <c r="I756" s="286"/>
      <c r="J756" s="286"/>
      <c r="K756" s="286"/>
      <c r="L756" s="286"/>
      <c r="M756" s="286"/>
      <c r="N756" s="286"/>
      <c r="O756" s="286"/>
      <c r="P756" s="286"/>
      <c r="Q756" s="286"/>
      <c r="R756" s="286"/>
      <c r="S756" s="286"/>
      <c r="T756" s="286"/>
      <c r="U756" s="286"/>
      <c r="V756" s="286"/>
    </row>
    <row r="757" spans="1:22" ht="26.25" customHeight="1" x14ac:dyDescent="0.2">
      <c r="A757" s="286"/>
      <c r="B757" s="286"/>
      <c r="C757" s="286"/>
      <c r="D757" s="286"/>
      <c r="E757" s="286"/>
      <c r="F757" s="286"/>
      <c r="G757" s="286"/>
      <c r="H757" s="286"/>
      <c r="I757" s="286"/>
      <c r="J757" s="286"/>
      <c r="K757" s="286"/>
      <c r="L757" s="286"/>
      <c r="M757" s="286"/>
      <c r="N757" s="286"/>
      <c r="O757" s="286"/>
      <c r="P757" s="286"/>
      <c r="Q757" s="286"/>
      <c r="R757" s="286"/>
      <c r="S757" s="286"/>
      <c r="T757" s="286"/>
      <c r="U757" s="286"/>
      <c r="V757" s="286"/>
    </row>
    <row r="758" spans="1:22" ht="26.25" customHeight="1" x14ac:dyDescent="0.2">
      <c r="A758" s="286"/>
      <c r="B758" s="286"/>
      <c r="C758" s="286"/>
      <c r="D758" s="286"/>
      <c r="E758" s="286"/>
      <c r="F758" s="286"/>
      <c r="G758" s="286"/>
      <c r="H758" s="286"/>
      <c r="I758" s="286"/>
      <c r="J758" s="286"/>
      <c r="K758" s="286"/>
      <c r="L758" s="286"/>
      <c r="M758" s="286"/>
      <c r="N758" s="286"/>
      <c r="O758" s="286"/>
      <c r="P758" s="286"/>
      <c r="Q758" s="286"/>
      <c r="R758" s="286"/>
      <c r="S758" s="286"/>
      <c r="T758" s="286"/>
      <c r="U758" s="286"/>
      <c r="V758" s="286"/>
    </row>
    <row r="759" spans="1:22" ht="26.25" customHeight="1" x14ac:dyDescent="0.2">
      <c r="A759" s="286"/>
      <c r="B759" s="286"/>
      <c r="C759" s="286"/>
      <c r="D759" s="286"/>
      <c r="E759" s="286"/>
      <c r="F759" s="286"/>
      <c r="G759" s="286"/>
      <c r="H759" s="286"/>
      <c r="I759" s="286"/>
      <c r="J759" s="286"/>
      <c r="K759" s="286"/>
      <c r="L759" s="286"/>
      <c r="M759" s="286"/>
      <c r="N759" s="286"/>
      <c r="O759" s="286"/>
      <c r="P759" s="286"/>
      <c r="Q759" s="286"/>
      <c r="R759" s="286"/>
      <c r="S759" s="286"/>
      <c r="T759" s="286"/>
      <c r="U759" s="286"/>
      <c r="V759" s="286"/>
    </row>
    <row r="760" spans="1:22" ht="26.25" customHeight="1" x14ac:dyDescent="0.2">
      <c r="A760" s="286"/>
      <c r="B760" s="286"/>
      <c r="C760" s="286"/>
      <c r="D760" s="286"/>
      <c r="E760" s="286"/>
      <c r="F760" s="286"/>
      <c r="G760" s="286"/>
      <c r="H760" s="286"/>
      <c r="I760" s="286"/>
      <c r="J760" s="286"/>
      <c r="K760" s="286"/>
      <c r="L760" s="286"/>
      <c r="M760" s="286"/>
      <c r="N760" s="286"/>
      <c r="O760" s="286"/>
      <c r="P760" s="286"/>
      <c r="Q760" s="286"/>
      <c r="R760" s="286"/>
      <c r="S760" s="286"/>
      <c r="T760" s="286"/>
      <c r="U760" s="286"/>
      <c r="V760" s="286"/>
    </row>
    <row r="761" spans="1:22" ht="26.25" customHeight="1" x14ac:dyDescent="0.2">
      <c r="A761" s="286"/>
      <c r="B761" s="286"/>
      <c r="C761" s="286"/>
      <c r="D761" s="286"/>
      <c r="E761" s="286"/>
      <c r="F761" s="286"/>
      <c r="G761" s="286"/>
      <c r="H761" s="286"/>
      <c r="I761" s="286"/>
      <c r="J761" s="286"/>
      <c r="K761" s="286"/>
      <c r="L761" s="286"/>
      <c r="M761" s="286"/>
      <c r="N761" s="286"/>
      <c r="O761" s="286"/>
      <c r="P761" s="286"/>
      <c r="Q761" s="286"/>
      <c r="R761" s="286"/>
      <c r="S761" s="286"/>
      <c r="T761" s="286"/>
      <c r="U761" s="286"/>
      <c r="V761" s="286"/>
    </row>
    <row r="762" spans="1:22" ht="26.25" customHeight="1" x14ac:dyDescent="0.2">
      <c r="A762" s="286"/>
      <c r="B762" s="286"/>
      <c r="C762" s="286"/>
      <c r="D762" s="286"/>
      <c r="E762" s="286"/>
      <c r="F762" s="286"/>
      <c r="G762" s="286"/>
      <c r="H762" s="286"/>
      <c r="I762" s="286"/>
      <c r="J762" s="286"/>
      <c r="K762" s="286"/>
      <c r="L762" s="286"/>
      <c r="M762" s="286"/>
      <c r="N762" s="286"/>
      <c r="O762" s="286"/>
      <c r="P762" s="286"/>
      <c r="Q762" s="286"/>
      <c r="R762" s="286"/>
      <c r="S762" s="286"/>
      <c r="T762" s="286"/>
      <c r="U762" s="286"/>
      <c r="V762" s="286"/>
    </row>
    <row r="763" spans="1:22" ht="26.25" customHeight="1" x14ac:dyDescent="0.2">
      <c r="A763" s="286"/>
      <c r="B763" s="286"/>
      <c r="C763" s="286"/>
      <c r="D763" s="286"/>
      <c r="E763" s="286"/>
      <c r="F763" s="286"/>
      <c r="G763" s="286"/>
      <c r="H763" s="286"/>
      <c r="I763" s="286"/>
      <c r="J763" s="286"/>
      <c r="K763" s="286"/>
      <c r="L763" s="286"/>
      <c r="M763" s="286"/>
      <c r="N763" s="286"/>
      <c r="O763" s="286"/>
      <c r="P763" s="286"/>
      <c r="Q763" s="286"/>
      <c r="R763" s="286"/>
      <c r="S763" s="286"/>
      <c r="T763" s="286"/>
      <c r="U763" s="286"/>
      <c r="V763" s="286"/>
    </row>
    <row r="764" spans="1:22" ht="26.25" customHeight="1" x14ac:dyDescent="0.2">
      <c r="A764" s="286"/>
      <c r="B764" s="286"/>
      <c r="C764" s="286"/>
      <c r="D764" s="286"/>
      <c r="E764" s="286"/>
      <c r="F764" s="286"/>
      <c r="G764" s="286"/>
      <c r="H764" s="286"/>
      <c r="I764" s="286"/>
      <c r="J764" s="286"/>
      <c r="K764" s="286"/>
      <c r="L764" s="286"/>
      <c r="M764" s="286"/>
      <c r="N764" s="286"/>
      <c r="O764" s="286"/>
      <c r="P764" s="286"/>
      <c r="Q764" s="286"/>
      <c r="R764" s="286"/>
      <c r="S764" s="286"/>
      <c r="T764" s="286"/>
      <c r="U764" s="286"/>
      <c r="V764" s="286"/>
    </row>
    <row r="765" spans="1:22" ht="26.25" customHeight="1" x14ac:dyDescent="0.2">
      <c r="A765" s="286"/>
      <c r="B765" s="286"/>
      <c r="C765" s="286"/>
      <c r="D765" s="286"/>
      <c r="E765" s="286"/>
      <c r="F765" s="286"/>
      <c r="G765" s="286"/>
      <c r="H765" s="286"/>
      <c r="I765" s="286"/>
      <c r="J765" s="286"/>
      <c r="K765" s="286"/>
      <c r="L765" s="286"/>
      <c r="M765" s="286"/>
      <c r="N765" s="286"/>
      <c r="O765" s="286"/>
      <c r="P765" s="286"/>
      <c r="Q765" s="286"/>
      <c r="R765" s="286"/>
      <c r="S765" s="286"/>
      <c r="T765" s="286"/>
      <c r="U765" s="286"/>
      <c r="V765" s="286"/>
    </row>
    <row r="766" spans="1:22" ht="26.25" customHeight="1" x14ac:dyDescent="0.2">
      <c r="A766" s="286"/>
      <c r="B766" s="286"/>
      <c r="C766" s="286"/>
      <c r="D766" s="286"/>
      <c r="E766" s="286"/>
      <c r="F766" s="286"/>
      <c r="G766" s="286"/>
      <c r="H766" s="286"/>
      <c r="I766" s="286"/>
      <c r="J766" s="286"/>
      <c r="K766" s="286"/>
      <c r="L766" s="286"/>
      <c r="M766" s="286"/>
      <c r="N766" s="286"/>
      <c r="O766" s="286"/>
      <c r="P766" s="286"/>
      <c r="Q766" s="286"/>
      <c r="R766" s="286"/>
      <c r="S766" s="286"/>
      <c r="T766" s="286"/>
      <c r="U766" s="286"/>
      <c r="V766" s="286"/>
    </row>
    <row r="767" spans="1:22" ht="26.25" customHeight="1" x14ac:dyDescent="0.2">
      <c r="A767" s="286"/>
      <c r="B767" s="286"/>
      <c r="C767" s="286"/>
      <c r="D767" s="286"/>
      <c r="E767" s="286"/>
      <c r="F767" s="286"/>
      <c r="G767" s="286"/>
      <c r="H767" s="286"/>
      <c r="I767" s="286"/>
      <c r="J767" s="286"/>
      <c r="K767" s="286"/>
      <c r="L767" s="286"/>
      <c r="M767" s="286"/>
      <c r="N767" s="286"/>
      <c r="O767" s="286"/>
      <c r="P767" s="286"/>
      <c r="Q767" s="286"/>
      <c r="R767" s="286"/>
      <c r="S767" s="286"/>
      <c r="T767" s="286"/>
      <c r="U767" s="286"/>
      <c r="V767" s="286"/>
    </row>
    <row r="768" spans="1:22" ht="26.25" customHeight="1" x14ac:dyDescent="0.2">
      <c r="A768" s="286"/>
      <c r="B768" s="286"/>
      <c r="C768" s="286"/>
      <c r="D768" s="286"/>
      <c r="E768" s="286"/>
      <c r="F768" s="286"/>
      <c r="G768" s="286"/>
      <c r="H768" s="286"/>
      <c r="I768" s="286"/>
      <c r="J768" s="286"/>
      <c r="K768" s="286"/>
      <c r="L768" s="286"/>
      <c r="M768" s="286"/>
      <c r="N768" s="286"/>
      <c r="O768" s="286"/>
      <c r="P768" s="286"/>
      <c r="Q768" s="286"/>
      <c r="R768" s="286"/>
      <c r="S768" s="286"/>
      <c r="T768" s="286"/>
      <c r="U768" s="286"/>
      <c r="V768" s="286"/>
    </row>
    <row r="769" spans="1:22" ht="26.25" customHeight="1" x14ac:dyDescent="0.2">
      <c r="A769" s="286"/>
      <c r="B769" s="286"/>
      <c r="C769" s="286"/>
      <c r="D769" s="286"/>
      <c r="E769" s="286"/>
      <c r="F769" s="286"/>
      <c r="G769" s="286"/>
      <c r="H769" s="286"/>
      <c r="I769" s="286"/>
      <c r="J769" s="286"/>
      <c r="K769" s="286"/>
      <c r="L769" s="286"/>
      <c r="M769" s="286"/>
      <c r="N769" s="286"/>
      <c r="O769" s="286"/>
      <c r="P769" s="286"/>
      <c r="Q769" s="286"/>
      <c r="R769" s="286"/>
      <c r="S769" s="286"/>
      <c r="T769" s="286"/>
      <c r="U769" s="286"/>
      <c r="V769" s="286"/>
    </row>
    <row r="770" spans="1:22" ht="26.25" customHeight="1" x14ac:dyDescent="0.2">
      <c r="A770" s="286"/>
      <c r="B770" s="286"/>
      <c r="C770" s="286"/>
      <c r="D770" s="286"/>
      <c r="E770" s="286"/>
      <c r="F770" s="286"/>
      <c r="G770" s="286"/>
      <c r="H770" s="286"/>
      <c r="I770" s="286"/>
      <c r="J770" s="286"/>
      <c r="K770" s="286"/>
      <c r="L770" s="286"/>
      <c r="M770" s="286"/>
      <c r="N770" s="286"/>
      <c r="O770" s="286"/>
      <c r="P770" s="286"/>
      <c r="Q770" s="286"/>
      <c r="R770" s="286"/>
      <c r="S770" s="286"/>
      <c r="T770" s="286"/>
      <c r="U770" s="286"/>
      <c r="V770" s="286"/>
    </row>
    <row r="771" spans="1:22" ht="26.25" customHeight="1" x14ac:dyDescent="0.2">
      <c r="A771" s="286"/>
      <c r="B771" s="286"/>
      <c r="C771" s="286"/>
      <c r="D771" s="286"/>
      <c r="E771" s="286"/>
      <c r="F771" s="286"/>
      <c r="G771" s="286"/>
      <c r="H771" s="286"/>
      <c r="I771" s="286"/>
      <c r="J771" s="286"/>
      <c r="K771" s="286"/>
      <c r="L771" s="286"/>
      <c r="M771" s="286"/>
      <c r="N771" s="286"/>
      <c r="O771" s="286"/>
      <c r="P771" s="286"/>
      <c r="Q771" s="286"/>
      <c r="R771" s="286"/>
      <c r="S771" s="286"/>
      <c r="T771" s="286"/>
      <c r="U771" s="286"/>
      <c r="V771" s="286"/>
    </row>
    <row r="772" spans="1:22" ht="26.25" customHeight="1" x14ac:dyDescent="0.2">
      <c r="A772" s="286"/>
      <c r="B772" s="286"/>
      <c r="C772" s="286"/>
      <c r="D772" s="286"/>
      <c r="E772" s="286"/>
      <c r="F772" s="286"/>
      <c r="G772" s="286"/>
      <c r="H772" s="286"/>
      <c r="I772" s="286"/>
      <c r="J772" s="286"/>
      <c r="K772" s="286"/>
      <c r="L772" s="286"/>
      <c r="M772" s="286"/>
      <c r="N772" s="286"/>
      <c r="O772" s="286"/>
      <c r="P772" s="286"/>
      <c r="Q772" s="286"/>
      <c r="R772" s="286"/>
      <c r="S772" s="286"/>
      <c r="T772" s="286"/>
      <c r="U772" s="286"/>
      <c r="V772" s="286"/>
    </row>
    <row r="773" spans="1:22" ht="26.25" customHeight="1" x14ac:dyDescent="0.2">
      <c r="A773" s="286"/>
      <c r="B773" s="286"/>
      <c r="C773" s="286"/>
      <c r="D773" s="286"/>
      <c r="E773" s="286"/>
      <c r="F773" s="286"/>
      <c r="G773" s="286"/>
      <c r="H773" s="286"/>
      <c r="I773" s="286"/>
      <c r="J773" s="286"/>
      <c r="K773" s="286"/>
      <c r="L773" s="286"/>
      <c r="M773" s="286"/>
      <c r="N773" s="286"/>
      <c r="O773" s="286"/>
      <c r="P773" s="286"/>
      <c r="Q773" s="286"/>
      <c r="R773" s="286"/>
      <c r="S773" s="286"/>
      <c r="T773" s="286"/>
      <c r="U773" s="286"/>
      <c r="V773" s="286"/>
    </row>
    <row r="774" spans="1:22" ht="26.25" customHeight="1" x14ac:dyDescent="0.2">
      <c r="A774" s="286"/>
      <c r="B774" s="286"/>
      <c r="C774" s="286"/>
      <c r="D774" s="286"/>
      <c r="E774" s="286"/>
      <c r="F774" s="286"/>
      <c r="G774" s="286"/>
      <c r="H774" s="286"/>
      <c r="I774" s="286"/>
      <c r="J774" s="286"/>
      <c r="K774" s="286"/>
      <c r="L774" s="286"/>
      <c r="M774" s="286"/>
      <c r="N774" s="286"/>
      <c r="O774" s="286"/>
      <c r="P774" s="286"/>
      <c r="Q774" s="286"/>
      <c r="R774" s="286"/>
      <c r="S774" s="286"/>
      <c r="T774" s="286"/>
      <c r="U774" s="286"/>
      <c r="V774" s="286"/>
    </row>
    <row r="775" spans="1:22" ht="26.25" customHeight="1" x14ac:dyDescent="0.2">
      <c r="A775" s="286"/>
      <c r="B775" s="286"/>
      <c r="C775" s="286"/>
      <c r="D775" s="286"/>
      <c r="E775" s="286"/>
      <c r="F775" s="286"/>
      <c r="G775" s="286"/>
      <c r="H775" s="286"/>
      <c r="I775" s="286"/>
      <c r="J775" s="286"/>
      <c r="K775" s="286"/>
      <c r="L775" s="286"/>
      <c r="M775" s="286"/>
      <c r="N775" s="286"/>
      <c r="O775" s="286"/>
      <c r="P775" s="286"/>
      <c r="Q775" s="286"/>
      <c r="R775" s="286"/>
      <c r="S775" s="286"/>
      <c r="T775" s="286"/>
      <c r="U775" s="286"/>
      <c r="V775" s="286"/>
    </row>
    <row r="776" spans="1:22" ht="26.25" customHeight="1" x14ac:dyDescent="0.2">
      <c r="A776" s="286"/>
      <c r="B776" s="286"/>
      <c r="C776" s="286"/>
      <c r="D776" s="286"/>
      <c r="E776" s="286"/>
      <c r="F776" s="286"/>
      <c r="G776" s="286"/>
      <c r="H776" s="286"/>
      <c r="I776" s="286"/>
      <c r="J776" s="286"/>
      <c r="K776" s="286"/>
      <c r="L776" s="286"/>
      <c r="M776" s="286"/>
      <c r="N776" s="286"/>
      <c r="O776" s="286"/>
      <c r="P776" s="286"/>
      <c r="Q776" s="286"/>
      <c r="R776" s="286"/>
      <c r="S776" s="286"/>
      <c r="T776" s="286"/>
      <c r="U776" s="286"/>
      <c r="V776" s="286"/>
    </row>
    <row r="777" spans="1:22" ht="26.25" customHeight="1" x14ac:dyDescent="0.2">
      <c r="A777" s="286"/>
      <c r="B777" s="286"/>
      <c r="C777" s="286"/>
      <c r="D777" s="286"/>
      <c r="E777" s="286"/>
      <c r="F777" s="286"/>
      <c r="G777" s="286"/>
      <c r="H777" s="286"/>
      <c r="I777" s="286"/>
      <c r="J777" s="286"/>
      <c r="K777" s="286"/>
      <c r="L777" s="286"/>
      <c r="M777" s="286"/>
      <c r="N777" s="286"/>
      <c r="O777" s="286"/>
      <c r="P777" s="286"/>
      <c r="Q777" s="286"/>
      <c r="R777" s="286"/>
      <c r="S777" s="286"/>
      <c r="T777" s="286"/>
      <c r="U777" s="286"/>
      <c r="V777" s="286"/>
    </row>
    <row r="778" spans="1:22" ht="26.25" customHeight="1" x14ac:dyDescent="0.2">
      <c r="A778" s="286"/>
      <c r="B778" s="286"/>
      <c r="C778" s="286"/>
      <c r="D778" s="286"/>
      <c r="E778" s="286"/>
      <c r="F778" s="286"/>
      <c r="G778" s="286"/>
      <c r="H778" s="286"/>
      <c r="I778" s="286"/>
      <c r="J778" s="286"/>
      <c r="K778" s="286"/>
      <c r="L778" s="286"/>
      <c r="M778" s="286"/>
      <c r="N778" s="286"/>
      <c r="O778" s="286"/>
      <c r="P778" s="286"/>
      <c r="Q778" s="286"/>
      <c r="R778" s="286"/>
      <c r="S778" s="286"/>
      <c r="T778" s="286"/>
      <c r="U778" s="286"/>
      <c r="V778" s="286"/>
    </row>
    <row r="779" spans="1:22" ht="26.25" customHeight="1" x14ac:dyDescent="0.2">
      <c r="A779" s="286"/>
      <c r="B779" s="286"/>
      <c r="C779" s="286"/>
      <c r="D779" s="286"/>
      <c r="E779" s="286"/>
      <c r="F779" s="286"/>
      <c r="G779" s="286"/>
      <c r="H779" s="286"/>
      <c r="I779" s="286"/>
      <c r="J779" s="286"/>
      <c r="K779" s="286"/>
      <c r="L779" s="286"/>
      <c r="M779" s="286"/>
      <c r="N779" s="286"/>
      <c r="O779" s="286"/>
      <c r="P779" s="286"/>
      <c r="Q779" s="286"/>
      <c r="R779" s="286"/>
      <c r="S779" s="286"/>
      <c r="T779" s="286"/>
      <c r="U779" s="286"/>
      <c r="V779" s="286"/>
    </row>
    <row r="780" spans="1:22" ht="26.25" customHeight="1" x14ac:dyDescent="0.2">
      <c r="A780" s="286"/>
      <c r="B780" s="286"/>
      <c r="C780" s="286"/>
      <c r="D780" s="286"/>
      <c r="E780" s="286"/>
      <c r="F780" s="286"/>
      <c r="G780" s="286"/>
      <c r="H780" s="286"/>
      <c r="I780" s="286"/>
      <c r="J780" s="286"/>
      <c r="K780" s="286"/>
      <c r="L780" s="286"/>
      <c r="M780" s="286"/>
      <c r="N780" s="286"/>
      <c r="O780" s="286"/>
      <c r="P780" s="286"/>
      <c r="Q780" s="286"/>
      <c r="R780" s="286"/>
      <c r="S780" s="286"/>
      <c r="T780" s="286"/>
      <c r="U780" s="286"/>
      <c r="V780" s="286"/>
    </row>
    <row r="781" spans="1:22" ht="26.25" customHeight="1" x14ac:dyDescent="0.2">
      <c r="A781" s="286"/>
      <c r="B781" s="286"/>
      <c r="C781" s="286"/>
      <c r="D781" s="286"/>
      <c r="E781" s="286"/>
      <c r="F781" s="286"/>
      <c r="G781" s="286"/>
      <c r="H781" s="286"/>
      <c r="I781" s="286"/>
      <c r="J781" s="286"/>
      <c r="K781" s="286"/>
      <c r="L781" s="286"/>
      <c r="M781" s="286"/>
      <c r="N781" s="286"/>
      <c r="O781" s="286"/>
      <c r="P781" s="286"/>
      <c r="Q781" s="286"/>
      <c r="R781" s="286"/>
      <c r="S781" s="286"/>
      <c r="T781" s="286"/>
      <c r="U781" s="286"/>
      <c r="V781" s="286"/>
    </row>
    <row r="782" spans="1:22" ht="26.25" customHeight="1" x14ac:dyDescent="0.2">
      <c r="A782" s="286"/>
      <c r="B782" s="286"/>
      <c r="C782" s="286"/>
      <c r="D782" s="286"/>
      <c r="E782" s="286"/>
      <c r="F782" s="286"/>
      <c r="G782" s="286"/>
      <c r="H782" s="286"/>
      <c r="I782" s="286"/>
      <c r="J782" s="286"/>
      <c r="K782" s="286"/>
      <c r="L782" s="286"/>
      <c r="M782" s="286"/>
      <c r="N782" s="286"/>
      <c r="O782" s="286"/>
      <c r="P782" s="286"/>
      <c r="Q782" s="286"/>
      <c r="R782" s="286"/>
      <c r="S782" s="286"/>
      <c r="T782" s="286"/>
      <c r="U782" s="286"/>
      <c r="V782" s="286"/>
    </row>
    <row r="783" spans="1:22" ht="26.25" customHeight="1" x14ac:dyDescent="0.2">
      <c r="A783" s="286"/>
      <c r="B783" s="286"/>
      <c r="C783" s="286"/>
      <c r="D783" s="286"/>
      <c r="E783" s="286"/>
      <c r="F783" s="286"/>
      <c r="G783" s="286"/>
      <c r="H783" s="286"/>
      <c r="I783" s="286"/>
      <c r="J783" s="286"/>
      <c r="K783" s="286"/>
      <c r="L783" s="286"/>
      <c r="M783" s="286"/>
      <c r="N783" s="286"/>
      <c r="O783" s="286"/>
      <c r="P783" s="286"/>
      <c r="Q783" s="286"/>
      <c r="R783" s="286"/>
      <c r="S783" s="286"/>
      <c r="T783" s="286"/>
      <c r="U783" s="286"/>
      <c r="V783" s="286"/>
    </row>
    <row r="784" spans="1:22" ht="26.25" customHeight="1" x14ac:dyDescent="0.2">
      <c r="A784" s="286"/>
      <c r="B784" s="286"/>
      <c r="C784" s="286"/>
      <c r="D784" s="286"/>
      <c r="E784" s="286"/>
      <c r="F784" s="286"/>
      <c r="G784" s="286"/>
      <c r="H784" s="286"/>
      <c r="I784" s="286"/>
      <c r="J784" s="286"/>
      <c r="K784" s="286"/>
      <c r="L784" s="286"/>
      <c r="M784" s="286"/>
      <c r="N784" s="286"/>
      <c r="O784" s="286"/>
      <c r="P784" s="286"/>
      <c r="Q784" s="286"/>
      <c r="R784" s="286"/>
      <c r="S784" s="286"/>
      <c r="T784" s="286"/>
      <c r="U784" s="286"/>
      <c r="V784" s="286"/>
    </row>
    <row r="785" spans="1:22" ht="26.25" customHeight="1" x14ac:dyDescent="0.2">
      <c r="A785" s="286"/>
      <c r="B785" s="286"/>
      <c r="C785" s="286"/>
      <c r="D785" s="286"/>
      <c r="E785" s="286"/>
      <c r="F785" s="286"/>
      <c r="G785" s="286"/>
      <c r="H785" s="286"/>
      <c r="I785" s="286"/>
      <c r="J785" s="286"/>
      <c r="K785" s="286"/>
      <c r="L785" s="286"/>
      <c r="M785" s="286"/>
      <c r="N785" s="286"/>
      <c r="O785" s="286"/>
      <c r="P785" s="286"/>
      <c r="Q785" s="286"/>
      <c r="R785" s="286"/>
      <c r="S785" s="286"/>
      <c r="T785" s="286"/>
      <c r="U785" s="286"/>
      <c r="V785" s="286"/>
    </row>
    <row r="786" spans="1:22" ht="26.25" customHeight="1" x14ac:dyDescent="0.2">
      <c r="A786" s="286"/>
      <c r="B786" s="286"/>
      <c r="C786" s="286"/>
      <c r="D786" s="286"/>
      <c r="E786" s="286"/>
      <c r="F786" s="286"/>
      <c r="G786" s="286"/>
      <c r="H786" s="286"/>
      <c r="I786" s="286"/>
      <c r="J786" s="286"/>
      <c r="K786" s="286"/>
      <c r="L786" s="286"/>
      <c r="M786" s="286"/>
      <c r="N786" s="286"/>
      <c r="O786" s="286"/>
      <c r="P786" s="286"/>
      <c r="Q786" s="286"/>
      <c r="R786" s="286"/>
      <c r="S786" s="286"/>
      <c r="T786" s="286"/>
      <c r="U786" s="286"/>
      <c r="V786" s="286"/>
    </row>
    <row r="787" spans="1:22" ht="26.25" customHeight="1" x14ac:dyDescent="0.2">
      <c r="A787" s="286"/>
      <c r="B787" s="286"/>
      <c r="C787" s="286"/>
      <c r="D787" s="286"/>
      <c r="E787" s="286"/>
      <c r="F787" s="286"/>
      <c r="G787" s="286"/>
      <c r="H787" s="286"/>
      <c r="I787" s="286"/>
      <c r="J787" s="286"/>
      <c r="K787" s="286"/>
      <c r="L787" s="286"/>
      <c r="M787" s="286"/>
      <c r="N787" s="286"/>
      <c r="O787" s="286"/>
      <c r="P787" s="286"/>
      <c r="Q787" s="286"/>
      <c r="R787" s="286"/>
      <c r="S787" s="286"/>
      <c r="T787" s="286"/>
      <c r="U787" s="286"/>
      <c r="V787" s="286"/>
    </row>
    <row r="788" spans="1:22" ht="26.25" customHeight="1" x14ac:dyDescent="0.2">
      <c r="A788" s="286"/>
      <c r="B788" s="286"/>
      <c r="C788" s="286"/>
      <c r="D788" s="286"/>
      <c r="E788" s="286"/>
      <c r="F788" s="286"/>
      <c r="G788" s="286"/>
      <c r="H788" s="286"/>
      <c r="I788" s="286"/>
      <c r="J788" s="286"/>
      <c r="K788" s="286"/>
      <c r="L788" s="286"/>
      <c r="M788" s="286"/>
      <c r="N788" s="286"/>
      <c r="O788" s="286"/>
      <c r="P788" s="286"/>
      <c r="Q788" s="286"/>
      <c r="R788" s="286"/>
      <c r="S788" s="286"/>
      <c r="T788" s="286"/>
      <c r="U788" s="286"/>
      <c r="V788" s="286"/>
    </row>
    <row r="789" spans="1:22" ht="26.25" customHeight="1" x14ac:dyDescent="0.2">
      <c r="A789" s="286"/>
      <c r="B789" s="286"/>
      <c r="C789" s="286"/>
      <c r="D789" s="286"/>
      <c r="E789" s="286"/>
      <c r="F789" s="286"/>
      <c r="G789" s="286"/>
      <c r="H789" s="286"/>
      <c r="I789" s="286"/>
      <c r="J789" s="286"/>
      <c r="K789" s="286"/>
      <c r="L789" s="286"/>
      <c r="M789" s="286"/>
      <c r="N789" s="286"/>
      <c r="O789" s="286"/>
      <c r="P789" s="286"/>
      <c r="Q789" s="286"/>
      <c r="R789" s="286"/>
      <c r="S789" s="286"/>
      <c r="T789" s="286"/>
      <c r="U789" s="286"/>
      <c r="V789" s="286"/>
    </row>
    <row r="790" spans="1:22" ht="26.25" customHeight="1" x14ac:dyDescent="0.2">
      <c r="A790" s="286"/>
      <c r="B790" s="286"/>
      <c r="C790" s="286"/>
      <c r="D790" s="286"/>
      <c r="E790" s="286"/>
      <c r="F790" s="286"/>
      <c r="G790" s="286"/>
      <c r="H790" s="286"/>
      <c r="I790" s="286"/>
      <c r="J790" s="286"/>
      <c r="K790" s="286"/>
      <c r="L790" s="286"/>
      <c r="M790" s="286"/>
      <c r="N790" s="286"/>
      <c r="O790" s="286"/>
      <c r="P790" s="286"/>
      <c r="Q790" s="286"/>
      <c r="R790" s="286"/>
      <c r="S790" s="286"/>
      <c r="T790" s="286"/>
      <c r="U790" s="286"/>
      <c r="V790" s="286"/>
    </row>
    <row r="791" spans="1:22" ht="26.25" customHeight="1" x14ac:dyDescent="0.2">
      <c r="A791" s="286"/>
      <c r="B791" s="286"/>
      <c r="C791" s="286"/>
      <c r="D791" s="286"/>
      <c r="E791" s="286"/>
      <c r="F791" s="286"/>
      <c r="G791" s="286"/>
      <c r="H791" s="286"/>
      <c r="I791" s="286"/>
      <c r="J791" s="286"/>
      <c r="K791" s="286"/>
      <c r="L791" s="286"/>
      <c r="M791" s="286"/>
      <c r="N791" s="286"/>
      <c r="O791" s="286"/>
      <c r="P791" s="286"/>
      <c r="Q791" s="286"/>
      <c r="R791" s="286"/>
      <c r="S791" s="286"/>
      <c r="T791" s="286"/>
      <c r="U791" s="286"/>
      <c r="V791" s="286"/>
    </row>
    <row r="792" spans="1:22" ht="26.25" customHeight="1" x14ac:dyDescent="0.2">
      <c r="A792" s="286"/>
      <c r="B792" s="286"/>
      <c r="C792" s="286"/>
      <c r="D792" s="286"/>
      <c r="E792" s="286"/>
      <c r="F792" s="286"/>
      <c r="G792" s="286"/>
      <c r="H792" s="286"/>
      <c r="I792" s="286"/>
      <c r="J792" s="286"/>
      <c r="K792" s="286"/>
      <c r="L792" s="286"/>
      <c r="M792" s="286"/>
      <c r="N792" s="286"/>
      <c r="O792" s="286"/>
      <c r="P792" s="286"/>
      <c r="Q792" s="286"/>
      <c r="R792" s="286"/>
      <c r="S792" s="286"/>
      <c r="T792" s="286"/>
      <c r="U792" s="286"/>
      <c r="V792" s="286"/>
    </row>
    <row r="793" spans="1:22" ht="26.25" customHeight="1" x14ac:dyDescent="0.2">
      <c r="A793" s="286"/>
      <c r="B793" s="286"/>
      <c r="C793" s="286"/>
      <c r="D793" s="286"/>
      <c r="E793" s="286"/>
      <c r="F793" s="286"/>
      <c r="G793" s="286"/>
      <c r="H793" s="286"/>
      <c r="I793" s="286"/>
      <c r="J793" s="286"/>
      <c r="K793" s="286"/>
      <c r="L793" s="286"/>
      <c r="M793" s="286"/>
      <c r="N793" s="286"/>
      <c r="O793" s="286"/>
      <c r="P793" s="286"/>
      <c r="Q793" s="286"/>
      <c r="R793" s="286"/>
      <c r="S793" s="286"/>
      <c r="T793" s="286"/>
      <c r="U793" s="286"/>
      <c r="V793" s="286"/>
    </row>
    <row r="794" spans="1:22" ht="26.25" customHeight="1" x14ac:dyDescent="0.2">
      <c r="A794" s="286"/>
      <c r="B794" s="286"/>
      <c r="C794" s="286"/>
      <c r="D794" s="286"/>
      <c r="E794" s="286"/>
      <c r="F794" s="286"/>
      <c r="G794" s="286"/>
      <c r="H794" s="286"/>
      <c r="I794" s="286"/>
      <c r="J794" s="286"/>
      <c r="K794" s="286"/>
      <c r="L794" s="286"/>
      <c r="M794" s="286"/>
      <c r="N794" s="286"/>
      <c r="O794" s="286"/>
      <c r="P794" s="286"/>
      <c r="Q794" s="286"/>
      <c r="R794" s="286"/>
      <c r="S794" s="286"/>
      <c r="T794" s="286"/>
      <c r="U794" s="286"/>
      <c r="V794" s="286"/>
    </row>
    <row r="795" spans="1:22" ht="26.25" customHeight="1" x14ac:dyDescent="0.2">
      <c r="A795" s="286"/>
      <c r="B795" s="286"/>
      <c r="C795" s="286"/>
      <c r="D795" s="286"/>
      <c r="E795" s="286"/>
      <c r="F795" s="286"/>
      <c r="G795" s="286"/>
      <c r="H795" s="286"/>
      <c r="I795" s="286"/>
      <c r="J795" s="286"/>
      <c r="K795" s="286"/>
      <c r="L795" s="286"/>
      <c r="M795" s="286"/>
      <c r="N795" s="286"/>
      <c r="O795" s="286"/>
      <c r="P795" s="286"/>
      <c r="Q795" s="286"/>
      <c r="R795" s="286"/>
      <c r="S795" s="286"/>
      <c r="T795" s="286"/>
      <c r="U795" s="286"/>
      <c r="V795" s="286"/>
    </row>
    <row r="796" spans="1:22" ht="26.25" customHeight="1" x14ac:dyDescent="0.2">
      <c r="A796" s="286"/>
      <c r="B796" s="286"/>
      <c r="C796" s="286"/>
      <c r="D796" s="286"/>
      <c r="E796" s="286"/>
      <c r="F796" s="286"/>
      <c r="G796" s="286"/>
      <c r="H796" s="286"/>
      <c r="I796" s="286"/>
      <c r="J796" s="286"/>
      <c r="K796" s="286"/>
      <c r="L796" s="286"/>
      <c r="M796" s="286"/>
      <c r="N796" s="286"/>
      <c r="O796" s="286"/>
      <c r="P796" s="286"/>
      <c r="Q796" s="286"/>
      <c r="R796" s="286"/>
      <c r="S796" s="286"/>
      <c r="T796" s="286"/>
      <c r="U796" s="286"/>
      <c r="V796" s="286"/>
    </row>
    <row r="797" spans="1:22" ht="26.25" customHeight="1" x14ac:dyDescent="0.2">
      <c r="A797" s="286"/>
      <c r="B797" s="286"/>
      <c r="C797" s="286"/>
      <c r="D797" s="286"/>
      <c r="E797" s="286"/>
      <c r="F797" s="286"/>
      <c r="G797" s="286"/>
      <c r="H797" s="286"/>
      <c r="I797" s="286"/>
      <c r="J797" s="286"/>
      <c r="K797" s="286"/>
      <c r="L797" s="286"/>
      <c r="M797" s="286"/>
      <c r="N797" s="286"/>
      <c r="O797" s="286"/>
      <c r="P797" s="286"/>
      <c r="Q797" s="286"/>
      <c r="R797" s="286"/>
      <c r="S797" s="286"/>
      <c r="T797" s="286"/>
      <c r="U797" s="286"/>
      <c r="V797" s="286"/>
    </row>
    <row r="798" spans="1:22" ht="26.25" customHeight="1" x14ac:dyDescent="0.2">
      <c r="A798" s="286"/>
      <c r="B798" s="286"/>
      <c r="C798" s="286"/>
      <c r="D798" s="286"/>
      <c r="E798" s="286"/>
      <c r="F798" s="286"/>
      <c r="G798" s="286"/>
      <c r="H798" s="286"/>
      <c r="I798" s="286"/>
      <c r="J798" s="286"/>
      <c r="K798" s="286"/>
      <c r="L798" s="286"/>
      <c r="M798" s="286"/>
      <c r="N798" s="286"/>
      <c r="O798" s="286"/>
      <c r="P798" s="286"/>
      <c r="Q798" s="286"/>
      <c r="R798" s="286"/>
      <c r="S798" s="286"/>
      <c r="T798" s="286"/>
      <c r="U798" s="286"/>
      <c r="V798" s="286"/>
    </row>
    <row r="799" spans="1:22" ht="26.25" customHeight="1" x14ac:dyDescent="0.2">
      <c r="A799" s="286"/>
      <c r="B799" s="286"/>
      <c r="C799" s="286"/>
      <c r="D799" s="286"/>
      <c r="E799" s="286"/>
      <c r="F799" s="286"/>
      <c r="G799" s="286"/>
      <c r="H799" s="286"/>
      <c r="I799" s="286"/>
      <c r="J799" s="286"/>
      <c r="K799" s="286"/>
      <c r="L799" s="286"/>
      <c r="M799" s="286"/>
      <c r="N799" s="286"/>
      <c r="O799" s="286"/>
      <c r="P799" s="286"/>
      <c r="Q799" s="286"/>
      <c r="R799" s="286"/>
      <c r="S799" s="286"/>
      <c r="T799" s="286"/>
      <c r="U799" s="286"/>
      <c r="V799" s="286"/>
    </row>
    <row r="800" spans="1:22" ht="26.25" customHeight="1" x14ac:dyDescent="0.2">
      <c r="A800" s="286"/>
      <c r="B800" s="286"/>
      <c r="C800" s="286"/>
      <c r="D800" s="286"/>
      <c r="E800" s="286"/>
      <c r="F800" s="286"/>
      <c r="G800" s="286"/>
      <c r="H800" s="286"/>
      <c r="I800" s="286"/>
      <c r="J800" s="286"/>
      <c r="K800" s="286"/>
      <c r="L800" s="286"/>
      <c r="M800" s="286"/>
      <c r="N800" s="286"/>
      <c r="O800" s="286"/>
      <c r="P800" s="286"/>
      <c r="Q800" s="286"/>
      <c r="R800" s="286"/>
      <c r="S800" s="286"/>
      <c r="T800" s="286"/>
      <c r="U800" s="286"/>
      <c r="V800" s="286"/>
    </row>
    <row r="801" spans="1:22" ht="26.25" customHeight="1" x14ac:dyDescent="0.2">
      <c r="A801" s="286"/>
      <c r="B801" s="286"/>
      <c r="C801" s="286"/>
      <c r="D801" s="286"/>
      <c r="E801" s="286"/>
      <c r="F801" s="286"/>
      <c r="G801" s="286"/>
      <c r="H801" s="286"/>
      <c r="I801" s="286"/>
      <c r="J801" s="286"/>
      <c r="K801" s="286"/>
      <c r="L801" s="286"/>
      <c r="M801" s="286"/>
      <c r="N801" s="286"/>
      <c r="O801" s="286"/>
      <c r="P801" s="286"/>
      <c r="Q801" s="286"/>
      <c r="R801" s="286"/>
      <c r="S801" s="286"/>
      <c r="T801" s="286"/>
      <c r="U801" s="286"/>
      <c r="V801" s="286"/>
    </row>
    <row r="802" spans="1:22" ht="26.25" customHeight="1" x14ac:dyDescent="0.2">
      <c r="A802" s="286"/>
      <c r="B802" s="286"/>
      <c r="C802" s="286"/>
      <c r="D802" s="286"/>
      <c r="E802" s="286"/>
      <c r="F802" s="286"/>
      <c r="G802" s="286"/>
      <c r="H802" s="286"/>
      <c r="I802" s="286"/>
      <c r="J802" s="286"/>
      <c r="K802" s="286"/>
      <c r="L802" s="286"/>
      <c r="M802" s="286"/>
      <c r="N802" s="286"/>
      <c r="O802" s="286"/>
      <c r="P802" s="286"/>
      <c r="Q802" s="286"/>
      <c r="R802" s="286"/>
      <c r="S802" s="286"/>
      <c r="T802" s="286"/>
      <c r="U802" s="286"/>
      <c r="V802" s="286"/>
    </row>
    <row r="803" spans="1:22" ht="26.25" customHeight="1" x14ac:dyDescent="0.2">
      <c r="A803" s="286"/>
      <c r="B803" s="286"/>
      <c r="C803" s="286"/>
      <c r="D803" s="286"/>
      <c r="E803" s="286"/>
      <c r="F803" s="286"/>
      <c r="G803" s="286"/>
      <c r="H803" s="286"/>
      <c r="I803" s="286"/>
      <c r="J803" s="286"/>
      <c r="K803" s="286"/>
      <c r="L803" s="286"/>
      <c r="M803" s="286"/>
      <c r="N803" s="286"/>
      <c r="O803" s="286"/>
      <c r="P803" s="286"/>
      <c r="Q803" s="286"/>
      <c r="R803" s="286"/>
      <c r="S803" s="286"/>
      <c r="T803" s="286"/>
      <c r="U803" s="286"/>
      <c r="V803" s="286"/>
    </row>
    <row r="804" spans="1:22" ht="26.25" customHeight="1" x14ac:dyDescent="0.2">
      <c r="A804" s="286"/>
      <c r="B804" s="286"/>
      <c r="C804" s="286"/>
      <c r="D804" s="286"/>
      <c r="E804" s="286"/>
      <c r="F804" s="286"/>
      <c r="G804" s="286"/>
      <c r="H804" s="286"/>
      <c r="I804" s="286"/>
      <c r="J804" s="286"/>
      <c r="K804" s="286"/>
      <c r="L804" s="286"/>
      <c r="M804" s="286"/>
      <c r="N804" s="286"/>
      <c r="O804" s="286"/>
      <c r="P804" s="286"/>
      <c r="Q804" s="286"/>
      <c r="R804" s="286"/>
      <c r="S804" s="286"/>
      <c r="T804" s="286"/>
      <c r="U804" s="286"/>
      <c r="V804" s="286"/>
    </row>
    <row r="805" spans="1:22" ht="26.25" customHeight="1" x14ac:dyDescent="0.2">
      <c r="A805" s="286"/>
      <c r="B805" s="286"/>
      <c r="C805" s="286"/>
      <c r="D805" s="286"/>
      <c r="E805" s="286"/>
      <c r="F805" s="286"/>
      <c r="G805" s="286"/>
      <c r="H805" s="286"/>
      <c r="I805" s="286"/>
      <c r="J805" s="286"/>
      <c r="K805" s="286"/>
      <c r="L805" s="286"/>
      <c r="M805" s="286"/>
      <c r="N805" s="286"/>
      <c r="O805" s="286"/>
      <c r="P805" s="286"/>
      <c r="Q805" s="286"/>
      <c r="R805" s="286"/>
      <c r="S805" s="286"/>
      <c r="T805" s="286"/>
      <c r="U805" s="286"/>
      <c r="V805" s="286"/>
    </row>
    <row r="806" spans="1:22" ht="26.25" customHeight="1" x14ac:dyDescent="0.2">
      <c r="A806" s="286"/>
      <c r="B806" s="286"/>
      <c r="C806" s="286"/>
      <c r="D806" s="286"/>
      <c r="E806" s="286"/>
      <c r="F806" s="286"/>
      <c r="G806" s="286"/>
      <c r="H806" s="286"/>
      <c r="I806" s="286"/>
      <c r="J806" s="286"/>
      <c r="K806" s="286"/>
      <c r="L806" s="286"/>
      <c r="M806" s="286"/>
      <c r="N806" s="286"/>
      <c r="O806" s="286"/>
      <c r="P806" s="286"/>
      <c r="Q806" s="286"/>
      <c r="R806" s="286"/>
      <c r="S806" s="286"/>
      <c r="T806" s="286"/>
      <c r="U806" s="286"/>
      <c r="V806" s="286"/>
    </row>
    <row r="807" spans="1:22" ht="26.25" customHeight="1" x14ac:dyDescent="0.2">
      <c r="A807" s="286"/>
      <c r="B807" s="286"/>
      <c r="C807" s="286"/>
      <c r="D807" s="286"/>
      <c r="E807" s="286"/>
      <c r="F807" s="286"/>
      <c r="G807" s="286"/>
      <c r="H807" s="286"/>
      <c r="I807" s="286"/>
      <c r="J807" s="286"/>
      <c r="K807" s="286"/>
      <c r="L807" s="286"/>
      <c r="M807" s="286"/>
      <c r="N807" s="286"/>
      <c r="O807" s="286"/>
      <c r="P807" s="286"/>
      <c r="Q807" s="286"/>
      <c r="R807" s="286"/>
      <c r="S807" s="286"/>
      <c r="T807" s="286"/>
      <c r="U807" s="286"/>
      <c r="V807" s="286"/>
    </row>
    <row r="808" spans="1:22" ht="26.25" customHeight="1" x14ac:dyDescent="0.2">
      <c r="A808" s="286"/>
      <c r="B808" s="286"/>
      <c r="C808" s="286"/>
      <c r="D808" s="286"/>
      <c r="E808" s="286"/>
      <c r="F808" s="286"/>
      <c r="G808" s="286"/>
      <c r="H808" s="286"/>
      <c r="I808" s="286"/>
      <c r="J808" s="286"/>
      <c r="K808" s="286"/>
      <c r="L808" s="286"/>
      <c r="M808" s="286"/>
      <c r="N808" s="286"/>
      <c r="O808" s="286"/>
      <c r="P808" s="286"/>
      <c r="Q808" s="286"/>
      <c r="R808" s="286"/>
      <c r="S808" s="286"/>
      <c r="T808" s="286"/>
      <c r="U808" s="286"/>
      <c r="V808" s="286"/>
    </row>
    <row r="809" spans="1:22" ht="26.25" customHeight="1" x14ac:dyDescent="0.2">
      <c r="A809" s="286"/>
      <c r="B809" s="286"/>
      <c r="C809" s="286"/>
      <c r="D809" s="286"/>
      <c r="E809" s="286"/>
      <c r="F809" s="286"/>
      <c r="G809" s="286"/>
      <c r="H809" s="286"/>
      <c r="I809" s="286"/>
      <c r="J809" s="286"/>
      <c r="K809" s="286"/>
      <c r="L809" s="286"/>
      <c r="M809" s="286"/>
      <c r="N809" s="286"/>
      <c r="O809" s="286"/>
      <c r="P809" s="286"/>
      <c r="Q809" s="286"/>
      <c r="R809" s="286"/>
      <c r="S809" s="286"/>
      <c r="T809" s="286"/>
      <c r="U809" s="286"/>
      <c r="V809" s="286"/>
    </row>
    <row r="810" spans="1:22" ht="26.25" customHeight="1" x14ac:dyDescent="0.2">
      <c r="A810" s="286"/>
      <c r="B810" s="286"/>
      <c r="C810" s="286"/>
      <c r="D810" s="286"/>
      <c r="E810" s="286"/>
      <c r="F810" s="286"/>
      <c r="G810" s="286"/>
      <c r="H810" s="286"/>
      <c r="I810" s="286"/>
      <c r="J810" s="286"/>
      <c r="K810" s="286"/>
      <c r="L810" s="286"/>
      <c r="M810" s="286"/>
      <c r="N810" s="286"/>
      <c r="O810" s="286"/>
      <c r="P810" s="286"/>
      <c r="Q810" s="286"/>
      <c r="R810" s="286"/>
      <c r="S810" s="286"/>
      <c r="T810" s="286"/>
      <c r="U810" s="286"/>
      <c r="V810" s="286"/>
    </row>
    <row r="811" spans="1:22" ht="26.25" customHeight="1" x14ac:dyDescent="0.2">
      <c r="A811" s="286"/>
      <c r="B811" s="286"/>
      <c r="C811" s="286"/>
      <c r="D811" s="286"/>
      <c r="E811" s="286"/>
      <c r="F811" s="286"/>
      <c r="G811" s="286"/>
      <c r="H811" s="286"/>
      <c r="I811" s="286"/>
      <c r="J811" s="286"/>
      <c r="K811" s="286"/>
      <c r="L811" s="286"/>
      <c r="M811" s="286"/>
      <c r="N811" s="286"/>
      <c r="O811" s="286"/>
      <c r="P811" s="286"/>
      <c r="Q811" s="286"/>
      <c r="R811" s="286"/>
      <c r="S811" s="286"/>
      <c r="T811" s="286"/>
      <c r="U811" s="286"/>
      <c r="V811" s="286"/>
    </row>
    <row r="812" spans="1:22" ht="26.25" customHeight="1" x14ac:dyDescent="0.2">
      <c r="A812" s="286"/>
      <c r="B812" s="286"/>
      <c r="C812" s="286"/>
      <c r="D812" s="286"/>
      <c r="E812" s="286"/>
      <c r="F812" s="286"/>
      <c r="G812" s="286"/>
      <c r="H812" s="286"/>
      <c r="I812" s="286"/>
      <c r="J812" s="286"/>
      <c r="K812" s="286"/>
      <c r="L812" s="286"/>
      <c r="M812" s="286"/>
      <c r="N812" s="286"/>
      <c r="O812" s="286"/>
      <c r="P812" s="286"/>
      <c r="Q812" s="286"/>
      <c r="R812" s="286"/>
      <c r="S812" s="286"/>
      <c r="T812" s="286"/>
      <c r="U812" s="286"/>
      <c r="V812" s="286"/>
    </row>
    <row r="813" spans="1:22" ht="26.25" customHeight="1" x14ac:dyDescent="0.2">
      <c r="A813" s="286"/>
      <c r="B813" s="286"/>
      <c r="C813" s="286"/>
      <c r="D813" s="286"/>
      <c r="E813" s="286"/>
      <c r="F813" s="286"/>
      <c r="G813" s="286"/>
      <c r="H813" s="286"/>
      <c r="I813" s="286"/>
      <c r="J813" s="286"/>
      <c r="K813" s="286"/>
      <c r="L813" s="286"/>
      <c r="M813" s="286"/>
      <c r="N813" s="286"/>
      <c r="O813" s="286"/>
      <c r="P813" s="286"/>
      <c r="Q813" s="286"/>
      <c r="R813" s="286"/>
      <c r="S813" s="286"/>
      <c r="T813" s="286"/>
      <c r="U813" s="286"/>
      <c r="V813" s="286"/>
    </row>
    <row r="814" spans="1:22" ht="26.25" customHeight="1" x14ac:dyDescent="0.2">
      <c r="A814" s="286"/>
      <c r="B814" s="286"/>
      <c r="C814" s="286"/>
      <c r="D814" s="286"/>
      <c r="E814" s="286"/>
      <c r="F814" s="286"/>
      <c r="G814" s="286"/>
      <c r="H814" s="286"/>
      <c r="I814" s="286"/>
      <c r="J814" s="286"/>
      <c r="K814" s="286"/>
      <c r="L814" s="286"/>
      <c r="M814" s="286"/>
      <c r="N814" s="286"/>
      <c r="O814" s="286"/>
      <c r="P814" s="286"/>
      <c r="Q814" s="286"/>
      <c r="R814" s="286"/>
      <c r="S814" s="286"/>
      <c r="T814" s="286"/>
      <c r="U814" s="286"/>
      <c r="V814" s="286"/>
    </row>
    <row r="815" spans="1:22" ht="26.25" customHeight="1" x14ac:dyDescent="0.2">
      <c r="A815" s="286"/>
      <c r="B815" s="286"/>
      <c r="C815" s="286"/>
      <c r="D815" s="286"/>
      <c r="E815" s="286"/>
      <c r="F815" s="286"/>
      <c r="G815" s="286"/>
      <c r="H815" s="286"/>
      <c r="I815" s="286"/>
      <c r="J815" s="286"/>
      <c r="K815" s="286"/>
      <c r="L815" s="286"/>
      <c r="M815" s="286"/>
      <c r="N815" s="286"/>
      <c r="O815" s="286"/>
      <c r="P815" s="286"/>
      <c r="Q815" s="286"/>
      <c r="R815" s="286"/>
      <c r="S815" s="286"/>
      <c r="T815" s="286"/>
      <c r="U815" s="286"/>
      <c r="V815" s="286"/>
    </row>
    <row r="816" spans="1:22" ht="26.25" customHeight="1" x14ac:dyDescent="0.2">
      <c r="A816" s="286"/>
      <c r="B816" s="286"/>
      <c r="C816" s="286"/>
      <c r="D816" s="286"/>
      <c r="E816" s="286"/>
      <c r="F816" s="286"/>
      <c r="G816" s="286"/>
      <c r="H816" s="286"/>
      <c r="I816" s="286"/>
      <c r="J816" s="286"/>
      <c r="K816" s="286"/>
      <c r="L816" s="286"/>
      <c r="M816" s="286"/>
      <c r="N816" s="286"/>
      <c r="O816" s="286"/>
      <c r="P816" s="286"/>
      <c r="Q816" s="286"/>
      <c r="R816" s="286"/>
      <c r="S816" s="286"/>
      <c r="T816" s="286"/>
      <c r="U816" s="286"/>
      <c r="V816" s="286"/>
    </row>
    <row r="817" spans="1:22" ht="26.25" customHeight="1" x14ac:dyDescent="0.2">
      <c r="A817" s="286"/>
      <c r="B817" s="286"/>
      <c r="C817" s="286"/>
      <c r="D817" s="286"/>
      <c r="E817" s="286"/>
      <c r="F817" s="286"/>
      <c r="G817" s="286"/>
      <c r="H817" s="286"/>
      <c r="I817" s="286"/>
      <c r="J817" s="286"/>
      <c r="K817" s="286"/>
      <c r="L817" s="286"/>
      <c r="M817" s="286"/>
      <c r="N817" s="286"/>
      <c r="O817" s="286"/>
      <c r="P817" s="286"/>
      <c r="Q817" s="286"/>
      <c r="R817" s="286"/>
      <c r="S817" s="286"/>
      <c r="T817" s="286"/>
      <c r="U817" s="286"/>
      <c r="V817" s="286"/>
    </row>
    <row r="818" spans="1:22" ht="26.25" customHeight="1" x14ac:dyDescent="0.2">
      <c r="A818" s="286"/>
      <c r="B818" s="286"/>
      <c r="C818" s="286"/>
      <c r="D818" s="286"/>
      <c r="E818" s="286"/>
      <c r="F818" s="286"/>
      <c r="G818" s="286"/>
      <c r="H818" s="286"/>
      <c r="I818" s="286"/>
      <c r="J818" s="286"/>
      <c r="K818" s="286"/>
      <c r="L818" s="286"/>
      <c r="M818" s="286"/>
      <c r="N818" s="286"/>
      <c r="O818" s="286"/>
      <c r="P818" s="286"/>
      <c r="Q818" s="286"/>
      <c r="R818" s="286"/>
      <c r="S818" s="286"/>
      <c r="T818" s="286"/>
      <c r="U818" s="286"/>
      <c r="V818" s="286"/>
    </row>
    <row r="819" spans="1:22" ht="26.25" customHeight="1" x14ac:dyDescent="0.2">
      <c r="A819" s="286"/>
      <c r="B819" s="286"/>
      <c r="C819" s="286"/>
      <c r="D819" s="286"/>
      <c r="E819" s="286"/>
      <c r="F819" s="286"/>
      <c r="G819" s="286"/>
      <c r="H819" s="286"/>
      <c r="I819" s="286"/>
      <c r="J819" s="286"/>
      <c r="K819" s="286"/>
      <c r="L819" s="286"/>
      <c r="M819" s="286"/>
      <c r="N819" s="286"/>
      <c r="O819" s="286"/>
      <c r="P819" s="286"/>
      <c r="Q819" s="286"/>
      <c r="R819" s="286"/>
      <c r="S819" s="286"/>
      <c r="T819" s="286"/>
      <c r="U819" s="286"/>
      <c r="V819" s="286"/>
    </row>
    <row r="820" spans="1:22" ht="26.25" customHeight="1" x14ac:dyDescent="0.2">
      <c r="A820" s="286"/>
      <c r="B820" s="286"/>
      <c r="C820" s="286"/>
      <c r="D820" s="286"/>
      <c r="E820" s="286"/>
      <c r="F820" s="286"/>
      <c r="G820" s="286"/>
      <c r="H820" s="286"/>
      <c r="I820" s="286"/>
      <c r="J820" s="286"/>
      <c r="K820" s="286"/>
      <c r="L820" s="286"/>
      <c r="M820" s="286"/>
      <c r="N820" s="286"/>
      <c r="O820" s="286"/>
      <c r="P820" s="286"/>
      <c r="Q820" s="286"/>
      <c r="R820" s="286"/>
      <c r="S820" s="286"/>
      <c r="T820" s="286"/>
      <c r="U820" s="286"/>
      <c r="V820" s="286"/>
    </row>
    <row r="821" spans="1:22" ht="26.25" customHeight="1" x14ac:dyDescent="0.2">
      <c r="A821" s="286"/>
      <c r="B821" s="286"/>
      <c r="C821" s="286"/>
      <c r="D821" s="286"/>
      <c r="E821" s="286"/>
      <c r="F821" s="286"/>
      <c r="G821" s="286"/>
      <c r="H821" s="286"/>
      <c r="I821" s="286"/>
      <c r="J821" s="286"/>
      <c r="K821" s="286"/>
      <c r="L821" s="286"/>
      <c r="M821" s="286"/>
      <c r="N821" s="286"/>
      <c r="O821" s="286"/>
      <c r="P821" s="286"/>
      <c r="Q821" s="286"/>
      <c r="R821" s="286"/>
      <c r="S821" s="286"/>
      <c r="T821" s="286"/>
      <c r="U821" s="286"/>
      <c r="V821" s="286"/>
    </row>
    <row r="822" spans="1:22" ht="26.25" customHeight="1" x14ac:dyDescent="0.2">
      <c r="A822" s="286"/>
      <c r="B822" s="286"/>
      <c r="C822" s="286"/>
      <c r="D822" s="286"/>
      <c r="E822" s="286"/>
      <c r="F822" s="286"/>
      <c r="G822" s="286"/>
      <c r="H822" s="286"/>
      <c r="I822" s="286"/>
      <c r="J822" s="286"/>
      <c r="K822" s="286"/>
      <c r="L822" s="286"/>
      <c r="M822" s="286"/>
      <c r="N822" s="286"/>
      <c r="O822" s="286"/>
      <c r="P822" s="286"/>
      <c r="Q822" s="286"/>
      <c r="R822" s="286"/>
      <c r="S822" s="286"/>
      <c r="T822" s="286"/>
      <c r="U822" s="286"/>
      <c r="V822" s="286"/>
    </row>
    <row r="823" spans="1:22" ht="26.25" customHeight="1" x14ac:dyDescent="0.2">
      <c r="A823" s="286"/>
      <c r="B823" s="286"/>
      <c r="C823" s="286"/>
      <c r="D823" s="286"/>
      <c r="E823" s="286"/>
      <c r="F823" s="286"/>
      <c r="G823" s="286"/>
      <c r="H823" s="286"/>
      <c r="I823" s="286"/>
      <c r="J823" s="286"/>
      <c r="K823" s="286"/>
      <c r="L823" s="286"/>
      <c r="M823" s="286"/>
      <c r="N823" s="286"/>
      <c r="O823" s="286"/>
      <c r="P823" s="286"/>
      <c r="Q823" s="286"/>
      <c r="R823" s="286"/>
      <c r="S823" s="286"/>
      <c r="T823" s="286"/>
      <c r="U823" s="286"/>
      <c r="V823" s="286"/>
    </row>
    <row r="824" spans="1:22" ht="26.25" customHeight="1" x14ac:dyDescent="0.2">
      <c r="A824" s="286"/>
      <c r="B824" s="286"/>
      <c r="C824" s="286"/>
      <c r="D824" s="286"/>
      <c r="E824" s="286"/>
      <c r="F824" s="286"/>
      <c r="G824" s="286"/>
      <c r="H824" s="286"/>
      <c r="I824" s="286"/>
      <c r="J824" s="286"/>
      <c r="K824" s="286"/>
      <c r="L824" s="286"/>
      <c r="M824" s="286"/>
      <c r="N824" s="286"/>
      <c r="O824" s="286"/>
      <c r="P824" s="286"/>
      <c r="Q824" s="286"/>
      <c r="R824" s="286"/>
      <c r="S824" s="286"/>
      <c r="T824" s="286"/>
      <c r="U824" s="286"/>
      <c r="V824" s="286"/>
    </row>
    <row r="825" spans="1:22" ht="26.25" customHeight="1" x14ac:dyDescent="0.2">
      <c r="A825" s="286"/>
      <c r="B825" s="286"/>
      <c r="C825" s="286"/>
      <c r="D825" s="286"/>
      <c r="E825" s="286"/>
      <c r="F825" s="286"/>
      <c r="G825" s="286"/>
      <c r="H825" s="286"/>
      <c r="I825" s="286"/>
      <c r="J825" s="286"/>
      <c r="K825" s="286"/>
      <c r="L825" s="286"/>
      <c r="M825" s="286"/>
      <c r="N825" s="286"/>
      <c r="O825" s="286"/>
      <c r="P825" s="286"/>
      <c r="Q825" s="286"/>
      <c r="R825" s="286"/>
      <c r="S825" s="286"/>
      <c r="T825" s="286"/>
      <c r="U825" s="286"/>
      <c r="V825" s="286"/>
    </row>
    <row r="826" spans="1:22" ht="26.25" customHeight="1" x14ac:dyDescent="0.2">
      <c r="A826" s="286"/>
      <c r="B826" s="286"/>
      <c r="C826" s="286"/>
      <c r="D826" s="286"/>
      <c r="E826" s="286"/>
      <c r="F826" s="286"/>
      <c r="G826" s="286"/>
      <c r="H826" s="286"/>
      <c r="I826" s="286"/>
      <c r="J826" s="286"/>
      <c r="K826" s="286"/>
      <c r="L826" s="286"/>
      <c r="M826" s="286"/>
      <c r="N826" s="286"/>
      <c r="O826" s="286"/>
      <c r="P826" s="286"/>
      <c r="Q826" s="286"/>
      <c r="R826" s="286"/>
      <c r="S826" s="286"/>
      <c r="T826" s="286"/>
      <c r="U826" s="286"/>
      <c r="V826" s="286"/>
    </row>
    <row r="827" spans="1:22" ht="26.25" customHeight="1" x14ac:dyDescent="0.2">
      <c r="A827" s="286"/>
      <c r="B827" s="286"/>
      <c r="C827" s="286"/>
      <c r="D827" s="286"/>
      <c r="E827" s="286"/>
      <c r="F827" s="286"/>
      <c r="G827" s="286"/>
      <c r="H827" s="286"/>
      <c r="I827" s="286"/>
      <c r="J827" s="286"/>
      <c r="K827" s="286"/>
      <c r="L827" s="286"/>
      <c r="M827" s="286"/>
      <c r="N827" s="286"/>
      <c r="O827" s="286"/>
      <c r="P827" s="286"/>
      <c r="Q827" s="286"/>
      <c r="R827" s="286"/>
      <c r="S827" s="286"/>
      <c r="T827" s="286"/>
      <c r="U827" s="286"/>
      <c r="V827" s="286"/>
    </row>
    <row r="828" spans="1:22" ht="26.25" customHeight="1" x14ac:dyDescent="0.2">
      <c r="A828" s="286"/>
      <c r="B828" s="286"/>
      <c r="C828" s="286"/>
      <c r="D828" s="286"/>
      <c r="E828" s="286"/>
      <c r="F828" s="286"/>
      <c r="G828" s="286"/>
      <c r="H828" s="286"/>
      <c r="I828" s="286"/>
      <c r="J828" s="286"/>
      <c r="K828" s="286"/>
      <c r="L828" s="286"/>
      <c r="M828" s="286"/>
      <c r="N828" s="286"/>
      <c r="O828" s="286"/>
      <c r="P828" s="286"/>
      <c r="Q828" s="286"/>
      <c r="R828" s="286"/>
      <c r="S828" s="286"/>
      <c r="T828" s="286"/>
      <c r="U828" s="286"/>
      <c r="V828" s="286"/>
    </row>
    <row r="829" spans="1:22" ht="26.25" customHeight="1" x14ac:dyDescent="0.2">
      <c r="A829" s="286"/>
      <c r="B829" s="286"/>
      <c r="C829" s="286"/>
      <c r="D829" s="286"/>
      <c r="E829" s="286"/>
      <c r="F829" s="286"/>
      <c r="G829" s="286"/>
      <c r="H829" s="286"/>
      <c r="I829" s="286"/>
      <c r="J829" s="286"/>
      <c r="K829" s="286"/>
      <c r="L829" s="286"/>
      <c r="M829" s="286"/>
      <c r="N829" s="286"/>
      <c r="O829" s="286"/>
      <c r="P829" s="286"/>
      <c r="Q829" s="286"/>
      <c r="R829" s="286"/>
      <c r="S829" s="286"/>
      <c r="T829" s="286"/>
      <c r="U829" s="286"/>
      <c r="V829" s="286"/>
    </row>
    <row r="830" spans="1:22" ht="26.25" customHeight="1" x14ac:dyDescent="0.2">
      <c r="A830" s="286"/>
      <c r="B830" s="286"/>
      <c r="C830" s="286"/>
      <c r="D830" s="286"/>
      <c r="E830" s="286"/>
      <c r="F830" s="286"/>
      <c r="G830" s="286"/>
      <c r="H830" s="286"/>
      <c r="I830" s="286"/>
      <c r="J830" s="286"/>
      <c r="K830" s="286"/>
      <c r="L830" s="286"/>
      <c r="M830" s="286"/>
      <c r="N830" s="286"/>
      <c r="O830" s="286"/>
      <c r="P830" s="286"/>
      <c r="Q830" s="286"/>
      <c r="R830" s="286"/>
      <c r="S830" s="286"/>
      <c r="T830" s="286"/>
      <c r="U830" s="286"/>
      <c r="V830" s="286"/>
    </row>
    <row r="831" spans="1:22" ht="26.25" customHeight="1" x14ac:dyDescent="0.2">
      <c r="A831" s="286"/>
      <c r="B831" s="286"/>
      <c r="C831" s="286"/>
      <c r="D831" s="286"/>
      <c r="E831" s="286"/>
      <c r="F831" s="286"/>
      <c r="G831" s="286"/>
      <c r="H831" s="286"/>
      <c r="I831" s="286"/>
      <c r="J831" s="286"/>
      <c r="K831" s="286"/>
      <c r="L831" s="286"/>
      <c r="M831" s="286"/>
      <c r="N831" s="286"/>
      <c r="O831" s="286"/>
      <c r="P831" s="286"/>
      <c r="Q831" s="286"/>
      <c r="R831" s="286"/>
      <c r="S831" s="286"/>
      <c r="T831" s="286"/>
      <c r="U831" s="286"/>
      <c r="V831" s="286"/>
    </row>
    <row r="832" spans="1:22" ht="26.25" customHeight="1" x14ac:dyDescent="0.2">
      <c r="A832" s="286"/>
      <c r="B832" s="286"/>
      <c r="C832" s="286"/>
      <c r="D832" s="286"/>
      <c r="E832" s="286"/>
      <c r="F832" s="286"/>
      <c r="G832" s="286"/>
      <c r="H832" s="286"/>
      <c r="I832" s="286"/>
      <c r="J832" s="286"/>
      <c r="K832" s="286"/>
      <c r="L832" s="286"/>
      <c r="M832" s="286"/>
      <c r="N832" s="286"/>
      <c r="O832" s="286"/>
      <c r="P832" s="286"/>
      <c r="Q832" s="286"/>
      <c r="R832" s="286"/>
      <c r="S832" s="286"/>
      <c r="T832" s="286"/>
      <c r="U832" s="286"/>
      <c r="V832" s="286"/>
    </row>
    <row r="833" spans="1:22" ht="26.25" customHeight="1" x14ac:dyDescent="0.2">
      <c r="A833" s="286"/>
      <c r="B833" s="286"/>
      <c r="C833" s="286"/>
      <c r="D833" s="286"/>
      <c r="E833" s="286"/>
      <c r="F833" s="286"/>
      <c r="G833" s="286"/>
      <c r="H833" s="286"/>
      <c r="I833" s="286"/>
      <c r="J833" s="286"/>
      <c r="K833" s="286"/>
      <c r="L833" s="286"/>
      <c r="M833" s="286"/>
      <c r="N833" s="286"/>
      <c r="O833" s="286"/>
      <c r="P833" s="286"/>
      <c r="Q833" s="286"/>
      <c r="R833" s="286"/>
      <c r="S833" s="286"/>
      <c r="T833" s="286"/>
      <c r="U833" s="286"/>
      <c r="V833" s="286"/>
    </row>
    <row r="834" spans="1:22" ht="26.25" customHeight="1" x14ac:dyDescent="0.2">
      <c r="A834" s="286"/>
      <c r="B834" s="286"/>
      <c r="C834" s="286"/>
      <c r="D834" s="286"/>
      <c r="E834" s="286"/>
      <c r="F834" s="286"/>
      <c r="G834" s="286"/>
      <c r="H834" s="286"/>
      <c r="I834" s="286"/>
      <c r="J834" s="286"/>
      <c r="K834" s="286"/>
      <c r="L834" s="286"/>
      <c r="M834" s="286"/>
      <c r="N834" s="286"/>
      <c r="O834" s="286"/>
      <c r="P834" s="286"/>
      <c r="Q834" s="286"/>
      <c r="R834" s="286"/>
      <c r="S834" s="286"/>
      <c r="T834" s="286"/>
      <c r="U834" s="286"/>
      <c r="V834" s="286"/>
    </row>
    <row r="835" spans="1:22" ht="26.25" customHeight="1" x14ac:dyDescent="0.2">
      <c r="A835" s="286"/>
      <c r="B835" s="286"/>
      <c r="C835" s="286"/>
      <c r="D835" s="286"/>
      <c r="E835" s="286"/>
      <c r="F835" s="286"/>
      <c r="G835" s="286"/>
      <c r="H835" s="286"/>
      <c r="I835" s="286"/>
      <c r="J835" s="286"/>
      <c r="K835" s="286"/>
      <c r="L835" s="286"/>
      <c r="M835" s="286"/>
      <c r="N835" s="286"/>
      <c r="O835" s="286"/>
      <c r="P835" s="286"/>
      <c r="Q835" s="286"/>
      <c r="R835" s="286"/>
      <c r="S835" s="286"/>
      <c r="T835" s="286"/>
      <c r="U835" s="286"/>
      <c r="V835" s="286"/>
    </row>
    <row r="836" spans="1:22" ht="26.25" customHeight="1" x14ac:dyDescent="0.2">
      <c r="A836" s="286"/>
      <c r="B836" s="286"/>
      <c r="C836" s="286"/>
      <c r="D836" s="286"/>
      <c r="E836" s="286"/>
      <c r="F836" s="286"/>
      <c r="G836" s="286"/>
      <c r="H836" s="286"/>
      <c r="I836" s="286"/>
      <c r="J836" s="286"/>
      <c r="K836" s="286"/>
      <c r="L836" s="286"/>
      <c r="M836" s="286"/>
      <c r="N836" s="286"/>
      <c r="O836" s="286"/>
      <c r="P836" s="286"/>
      <c r="Q836" s="286"/>
      <c r="R836" s="286"/>
      <c r="S836" s="286"/>
      <c r="T836" s="286"/>
      <c r="U836" s="286"/>
      <c r="V836" s="286"/>
    </row>
    <row r="837" spans="1:22" ht="26.25" customHeight="1" x14ac:dyDescent="0.2">
      <c r="A837" s="286"/>
      <c r="B837" s="286"/>
      <c r="C837" s="286"/>
      <c r="D837" s="286"/>
      <c r="E837" s="286"/>
      <c r="F837" s="286"/>
      <c r="G837" s="286"/>
      <c r="H837" s="286"/>
      <c r="I837" s="286"/>
      <c r="J837" s="286"/>
      <c r="K837" s="286"/>
      <c r="L837" s="286"/>
      <c r="M837" s="286"/>
      <c r="N837" s="286"/>
      <c r="O837" s="286"/>
      <c r="P837" s="286"/>
      <c r="Q837" s="286"/>
      <c r="R837" s="286"/>
      <c r="S837" s="286"/>
      <c r="T837" s="286"/>
      <c r="U837" s="286"/>
      <c r="V837" s="286"/>
    </row>
    <row r="838" spans="1:22" ht="26.25" customHeight="1" x14ac:dyDescent="0.2">
      <c r="A838" s="286"/>
      <c r="B838" s="286"/>
      <c r="C838" s="286"/>
      <c r="D838" s="286"/>
      <c r="E838" s="286"/>
      <c r="F838" s="286"/>
      <c r="G838" s="286"/>
      <c r="H838" s="286"/>
      <c r="I838" s="286"/>
      <c r="J838" s="286"/>
      <c r="K838" s="286"/>
      <c r="L838" s="286"/>
      <c r="M838" s="286"/>
      <c r="N838" s="286"/>
      <c r="O838" s="286"/>
      <c r="P838" s="286"/>
      <c r="Q838" s="286"/>
      <c r="R838" s="286"/>
      <c r="S838" s="286"/>
      <c r="T838" s="286"/>
      <c r="U838" s="286"/>
      <c r="V838" s="286"/>
    </row>
    <row r="839" spans="1:22" ht="26.25" customHeight="1" x14ac:dyDescent="0.2">
      <c r="A839" s="286"/>
      <c r="B839" s="286"/>
      <c r="C839" s="286"/>
      <c r="D839" s="286"/>
      <c r="E839" s="286"/>
      <c r="F839" s="286"/>
      <c r="G839" s="286"/>
      <c r="H839" s="286"/>
      <c r="I839" s="286"/>
      <c r="J839" s="286"/>
      <c r="K839" s="286"/>
      <c r="L839" s="286"/>
      <c r="M839" s="286"/>
      <c r="N839" s="286"/>
      <c r="O839" s="286"/>
      <c r="P839" s="286"/>
      <c r="Q839" s="286"/>
      <c r="R839" s="286"/>
      <c r="S839" s="286"/>
      <c r="T839" s="286"/>
      <c r="U839" s="286"/>
      <c r="V839" s="286"/>
    </row>
    <row r="840" spans="1:22" ht="26.25" customHeight="1" x14ac:dyDescent="0.2">
      <c r="A840" s="286"/>
      <c r="B840" s="286"/>
      <c r="C840" s="286"/>
      <c r="D840" s="286"/>
      <c r="E840" s="286"/>
      <c r="F840" s="286"/>
      <c r="G840" s="286"/>
      <c r="H840" s="286"/>
      <c r="I840" s="286"/>
      <c r="J840" s="286"/>
      <c r="K840" s="286"/>
      <c r="L840" s="286"/>
      <c r="M840" s="286"/>
      <c r="N840" s="286"/>
      <c r="O840" s="286"/>
      <c r="P840" s="286"/>
      <c r="Q840" s="286"/>
      <c r="R840" s="286"/>
      <c r="S840" s="286"/>
      <c r="T840" s="286"/>
      <c r="U840" s="286"/>
      <c r="V840" s="286"/>
    </row>
    <row r="841" spans="1:22" ht="26.25" customHeight="1" x14ac:dyDescent="0.2">
      <c r="A841" s="286"/>
      <c r="B841" s="286"/>
      <c r="C841" s="286"/>
      <c r="D841" s="286"/>
      <c r="E841" s="286"/>
      <c r="F841" s="286"/>
      <c r="G841" s="286"/>
      <c r="H841" s="286"/>
      <c r="I841" s="286"/>
      <c r="J841" s="286"/>
      <c r="K841" s="286"/>
      <c r="L841" s="286"/>
      <c r="M841" s="286"/>
      <c r="N841" s="286"/>
      <c r="O841" s="286"/>
      <c r="P841" s="286"/>
      <c r="Q841" s="286"/>
      <c r="R841" s="286"/>
      <c r="S841" s="286"/>
      <c r="T841" s="286"/>
      <c r="U841" s="286"/>
      <c r="V841" s="286"/>
    </row>
    <row r="842" spans="1:22" ht="26.25" customHeight="1" x14ac:dyDescent="0.2">
      <c r="A842" s="286"/>
      <c r="B842" s="286"/>
      <c r="C842" s="286"/>
      <c r="D842" s="286"/>
      <c r="E842" s="286"/>
      <c r="F842" s="286"/>
      <c r="G842" s="286"/>
      <c r="H842" s="286"/>
      <c r="I842" s="286"/>
      <c r="J842" s="286"/>
      <c r="K842" s="286"/>
      <c r="L842" s="286"/>
      <c r="M842" s="286"/>
      <c r="N842" s="286"/>
      <c r="O842" s="286"/>
      <c r="P842" s="286"/>
      <c r="Q842" s="286"/>
      <c r="R842" s="286"/>
      <c r="S842" s="286"/>
      <c r="T842" s="286"/>
      <c r="U842" s="286"/>
      <c r="V842" s="286"/>
    </row>
    <row r="843" spans="1:22" ht="26.25" customHeight="1" x14ac:dyDescent="0.2">
      <c r="A843" s="286"/>
      <c r="B843" s="286"/>
      <c r="C843" s="286"/>
      <c r="D843" s="286"/>
      <c r="E843" s="286"/>
      <c r="F843" s="286"/>
      <c r="G843" s="286"/>
      <c r="H843" s="286"/>
      <c r="I843" s="286"/>
      <c r="J843" s="286"/>
      <c r="K843" s="286"/>
      <c r="L843" s="286"/>
      <c r="M843" s="286"/>
      <c r="N843" s="286"/>
      <c r="O843" s="286"/>
      <c r="P843" s="286"/>
      <c r="Q843" s="286"/>
      <c r="R843" s="286"/>
      <c r="S843" s="286"/>
      <c r="T843" s="286"/>
      <c r="U843" s="286"/>
      <c r="V843" s="286"/>
    </row>
    <row r="844" spans="1:22" ht="26.25" customHeight="1" x14ac:dyDescent="0.2">
      <c r="A844" s="286"/>
      <c r="B844" s="286"/>
      <c r="C844" s="286"/>
      <c r="D844" s="286"/>
      <c r="E844" s="286"/>
      <c r="F844" s="286"/>
      <c r="G844" s="286"/>
      <c r="H844" s="286"/>
      <c r="I844" s="286"/>
      <c r="J844" s="286"/>
      <c r="K844" s="286"/>
      <c r="L844" s="286"/>
      <c r="M844" s="286"/>
      <c r="N844" s="286"/>
      <c r="O844" s="286"/>
      <c r="P844" s="286"/>
      <c r="Q844" s="286"/>
      <c r="R844" s="286"/>
      <c r="S844" s="286"/>
      <c r="T844" s="286"/>
      <c r="U844" s="286"/>
      <c r="V844" s="286"/>
    </row>
    <row r="845" spans="1:22" ht="26.25" customHeight="1" x14ac:dyDescent="0.2">
      <c r="A845" s="286"/>
      <c r="B845" s="286"/>
      <c r="C845" s="286"/>
      <c r="D845" s="286"/>
      <c r="E845" s="286"/>
      <c r="F845" s="286"/>
      <c r="G845" s="286"/>
      <c r="H845" s="286"/>
      <c r="I845" s="286"/>
      <c r="J845" s="286"/>
      <c r="K845" s="286"/>
      <c r="L845" s="286"/>
      <c r="M845" s="286"/>
      <c r="N845" s="286"/>
      <c r="O845" s="286"/>
      <c r="P845" s="286"/>
      <c r="Q845" s="286"/>
      <c r="R845" s="286"/>
      <c r="S845" s="286"/>
      <c r="T845" s="286"/>
      <c r="U845" s="286"/>
      <c r="V845" s="286"/>
    </row>
    <row r="846" spans="1:22" ht="26.25" customHeight="1" x14ac:dyDescent="0.2">
      <c r="A846" s="286"/>
      <c r="B846" s="286"/>
      <c r="C846" s="286"/>
      <c r="D846" s="286"/>
      <c r="E846" s="286"/>
      <c r="F846" s="286"/>
      <c r="G846" s="286"/>
      <c r="H846" s="286"/>
      <c r="I846" s="286"/>
      <c r="J846" s="286"/>
      <c r="K846" s="286"/>
      <c r="L846" s="286"/>
      <c r="M846" s="286"/>
      <c r="N846" s="286"/>
      <c r="O846" s="286"/>
      <c r="P846" s="286"/>
      <c r="Q846" s="286"/>
      <c r="R846" s="286"/>
      <c r="S846" s="286"/>
      <c r="T846" s="286"/>
      <c r="U846" s="286"/>
      <c r="V846" s="286"/>
    </row>
    <row r="847" spans="1:22" ht="26.25" customHeight="1" x14ac:dyDescent="0.2">
      <c r="A847" s="286"/>
      <c r="B847" s="286"/>
      <c r="C847" s="286"/>
      <c r="D847" s="286"/>
      <c r="E847" s="286"/>
      <c r="F847" s="286"/>
      <c r="G847" s="286"/>
      <c r="H847" s="286"/>
      <c r="I847" s="286"/>
      <c r="J847" s="286"/>
      <c r="K847" s="286"/>
      <c r="L847" s="286"/>
      <c r="M847" s="286"/>
      <c r="N847" s="286"/>
      <c r="O847" s="286"/>
      <c r="P847" s="286"/>
      <c r="Q847" s="286"/>
      <c r="R847" s="286"/>
      <c r="S847" s="286"/>
      <c r="T847" s="286"/>
      <c r="U847" s="286"/>
      <c r="V847" s="286"/>
    </row>
    <row r="848" spans="1:22" ht="26.25" customHeight="1" x14ac:dyDescent="0.2">
      <c r="A848" s="286"/>
      <c r="B848" s="286"/>
      <c r="C848" s="286"/>
      <c r="D848" s="286"/>
      <c r="E848" s="286"/>
      <c r="F848" s="286"/>
      <c r="G848" s="286"/>
      <c r="H848" s="286"/>
      <c r="I848" s="286"/>
      <c r="J848" s="286"/>
      <c r="K848" s="286"/>
      <c r="L848" s="286"/>
      <c r="M848" s="286"/>
      <c r="N848" s="286"/>
      <c r="O848" s="286"/>
      <c r="P848" s="286"/>
      <c r="Q848" s="286"/>
      <c r="R848" s="286"/>
      <c r="S848" s="286"/>
      <c r="T848" s="286"/>
      <c r="U848" s="286"/>
      <c r="V848" s="286"/>
    </row>
    <row r="849" spans="1:22" ht="26.25" customHeight="1" x14ac:dyDescent="0.2">
      <c r="A849" s="286"/>
      <c r="B849" s="286"/>
      <c r="C849" s="286"/>
      <c r="D849" s="286"/>
      <c r="E849" s="286"/>
      <c r="F849" s="286"/>
      <c r="G849" s="286"/>
      <c r="H849" s="286"/>
      <c r="I849" s="286"/>
      <c r="J849" s="286"/>
      <c r="K849" s="286"/>
      <c r="L849" s="286"/>
      <c r="M849" s="286"/>
      <c r="N849" s="286"/>
      <c r="O849" s="286"/>
      <c r="P849" s="286"/>
      <c r="Q849" s="286"/>
      <c r="R849" s="286"/>
      <c r="S849" s="286"/>
      <c r="T849" s="286"/>
      <c r="U849" s="286"/>
      <c r="V849" s="286"/>
    </row>
    <row r="850" spans="1:22" ht="26.25" customHeight="1" x14ac:dyDescent="0.2">
      <c r="A850" s="286"/>
      <c r="B850" s="286"/>
      <c r="C850" s="286"/>
      <c r="D850" s="286"/>
      <c r="E850" s="286"/>
      <c r="F850" s="286"/>
      <c r="G850" s="286"/>
      <c r="H850" s="286"/>
      <c r="I850" s="286"/>
      <c r="J850" s="286"/>
      <c r="K850" s="286"/>
      <c r="L850" s="286"/>
      <c r="M850" s="286"/>
      <c r="N850" s="286"/>
      <c r="O850" s="286"/>
      <c r="P850" s="286"/>
      <c r="Q850" s="286"/>
      <c r="R850" s="286"/>
      <c r="S850" s="286"/>
      <c r="T850" s="286"/>
      <c r="U850" s="286"/>
      <c r="V850" s="286"/>
    </row>
    <row r="851" spans="1:22" ht="26.25" customHeight="1" x14ac:dyDescent="0.2">
      <c r="A851" s="286"/>
      <c r="B851" s="286"/>
      <c r="C851" s="286"/>
      <c r="D851" s="286"/>
      <c r="E851" s="286"/>
      <c r="F851" s="286"/>
      <c r="G851" s="286"/>
      <c r="H851" s="286"/>
      <c r="I851" s="286"/>
      <c r="J851" s="286"/>
      <c r="K851" s="286"/>
      <c r="L851" s="286"/>
      <c r="M851" s="286"/>
      <c r="N851" s="286"/>
      <c r="O851" s="286"/>
      <c r="P851" s="286"/>
      <c r="Q851" s="286"/>
      <c r="R851" s="286"/>
      <c r="S851" s="286"/>
      <c r="T851" s="286"/>
      <c r="U851" s="286"/>
      <c r="V851" s="286"/>
    </row>
    <row r="852" spans="1:22" ht="26.25" customHeight="1" x14ac:dyDescent="0.2">
      <c r="A852" s="286"/>
      <c r="B852" s="286"/>
      <c r="C852" s="286"/>
      <c r="D852" s="286"/>
      <c r="E852" s="286"/>
      <c r="F852" s="286"/>
      <c r="G852" s="286"/>
      <c r="H852" s="286"/>
      <c r="I852" s="286"/>
      <c r="J852" s="286"/>
      <c r="K852" s="286"/>
      <c r="L852" s="286"/>
      <c r="M852" s="286"/>
      <c r="N852" s="286"/>
      <c r="O852" s="286"/>
      <c r="P852" s="286"/>
      <c r="Q852" s="286"/>
      <c r="R852" s="286"/>
      <c r="S852" s="286"/>
      <c r="T852" s="286"/>
      <c r="U852" s="286"/>
      <c r="V852" s="286"/>
    </row>
    <row r="853" spans="1:22" ht="26.25" customHeight="1" x14ac:dyDescent="0.2">
      <c r="A853" s="286"/>
      <c r="B853" s="286"/>
      <c r="C853" s="286"/>
      <c r="D853" s="286"/>
      <c r="E853" s="286"/>
      <c r="F853" s="286"/>
      <c r="G853" s="286"/>
      <c r="H853" s="286"/>
      <c r="I853" s="286"/>
      <c r="J853" s="286"/>
      <c r="K853" s="286"/>
      <c r="L853" s="286"/>
      <c r="M853" s="286"/>
      <c r="N853" s="286"/>
      <c r="O853" s="286"/>
      <c r="P853" s="286"/>
      <c r="Q853" s="286"/>
      <c r="R853" s="286"/>
      <c r="S853" s="286"/>
      <c r="T853" s="286"/>
      <c r="U853" s="286"/>
      <c r="V853" s="286"/>
    </row>
    <row r="854" spans="1:22" ht="26.25" customHeight="1" x14ac:dyDescent="0.2">
      <c r="A854" s="286"/>
      <c r="B854" s="286"/>
      <c r="C854" s="286"/>
      <c r="D854" s="286"/>
      <c r="E854" s="286"/>
      <c r="F854" s="286"/>
      <c r="G854" s="286"/>
      <c r="H854" s="286"/>
      <c r="I854" s="286"/>
      <c r="J854" s="286"/>
      <c r="K854" s="286"/>
      <c r="L854" s="286"/>
      <c r="M854" s="286"/>
      <c r="N854" s="286"/>
      <c r="O854" s="286"/>
      <c r="P854" s="286"/>
      <c r="Q854" s="286"/>
      <c r="R854" s="286"/>
      <c r="S854" s="286"/>
      <c r="T854" s="286"/>
      <c r="U854" s="286"/>
      <c r="V854" s="286"/>
    </row>
    <row r="855" spans="1:22" ht="26.25" customHeight="1" x14ac:dyDescent="0.2">
      <c r="A855" s="286"/>
      <c r="B855" s="286"/>
      <c r="C855" s="286"/>
      <c r="D855" s="286"/>
      <c r="E855" s="286"/>
      <c r="F855" s="286"/>
      <c r="G855" s="286"/>
      <c r="H855" s="286"/>
      <c r="I855" s="286"/>
      <c r="J855" s="286"/>
      <c r="K855" s="286"/>
      <c r="L855" s="286"/>
      <c r="M855" s="286"/>
      <c r="N855" s="286"/>
      <c r="O855" s="286"/>
      <c r="P855" s="286"/>
      <c r="Q855" s="286"/>
      <c r="R855" s="286"/>
      <c r="S855" s="286"/>
      <c r="T855" s="286"/>
      <c r="U855" s="286"/>
      <c r="V855" s="286"/>
    </row>
    <row r="856" spans="1:22" ht="26.25" customHeight="1" x14ac:dyDescent="0.2">
      <c r="A856" s="286"/>
      <c r="B856" s="286"/>
      <c r="C856" s="286"/>
      <c r="D856" s="286"/>
      <c r="E856" s="286"/>
      <c r="F856" s="286"/>
      <c r="G856" s="286"/>
      <c r="H856" s="286"/>
      <c r="I856" s="286"/>
      <c r="J856" s="286"/>
      <c r="K856" s="286"/>
      <c r="L856" s="286"/>
      <c r="M856" s="286"/>
      <c r="N856" s="286"/>
      <c r="O856" s="286"/>
      <c r="P856" s="286"/>
      <c r="Q856" s="286"/>
      <c r="R856" s="286"/>
      <c r="S856" s="286"/>
      <c r="T856" s="286"/>
      <c r="U856" s="286"/>
      <c r="V856" s="286"/>
    </row>
    <row r="857" spans="1:22" ht="26.25" customHeight="1" x14ac:dyDescent="0.2">
      <c r="A857" s="286"/>
      <c r="B857" s="286"/>
      <c r="C857" s="286"/>
      <c r="D857" s="286"/>
      <c r="E857" s="286"/>
      <c r="F857" s="286"/>
      <c r="G857" s="286"/>
      <c r="H857" s="286"/>
      <c r="I857" s="286"/>
      <c r="J857" s="286"/>
      <c r="K857" s="286"/>
      <c r="L857" s="286"/>
      <c r="M857" s="286"/>
      <c r="N857" s="286"/>
      <c r="O857" s="286"/>
      <c r="P857" s="286"/>
      <c r="Q857" s="286"/>
      <c r="R857" s="286"/>
      <c r="S857" s="286"/>
      <c r="T857" s="286"/>
      <c r="U857" s="286"/>
      <c r="V857" s="286"/>
    </row>
    <row r="858" spans="1:22" ht="26.25" customHeight="1" x14ac:dyDescent="0.2">
      <c r="A858" s="286"/>
      <c r="B858" s="286"/>
      <c r="C858" s="286"/>
      <c r="D858" s="286"/>
      <c r="E858" s="286"/>
      <c r="F858" s="286"/>
      <c r="G858" s="286"/>
      <c r="H858" s="286"/>
      <c r="I858" s="286"/>
      <c r="J858" s="286"/>
      <c r="K858" s="286"/>
      <c r="L858" s="286"/>
      <c r="M858" s="286"/>
      <c r="N858" s="286"/>
      <c r="O858" s="286"/>
      <c r="P858" s="286"/>
      <c r="Q858" s="286"/>
      <c r="R858" s="286"/>
      <c r="S858" s="286"/>
      <c r="T858" s="286"/>
      <c r="U858" s="286"/>
      <c r="V858" s="286"/>
    </row>
    <row r="859" spans="1:22" ht="26.25" customHeight="1" x14ac:dyDescent="0.2">
      <c r="A859" s="286"/>
      <c r="B859" s="286"/>
      <c r="C859" s="286"/>
      <c r="D859" s="286"/>
      <c r="E859" s="286"/>
      <c r="F859" s="286"/>
      <c r="G859" s="286"/>
      <c r="H859" s="286"/>
      <c r="I859" s="286"/>
      <c r="J859" s="286"/>
      <c r="K859" s="286"/>
      <c r="L859" s="286"/>
      <c r="M859" s="286"/>
      <c r="N859" s="286"/>
      <c r="O859" s="286"/>
      <c r="P859" s="286"/>
      <c r="Q859" s="286"/>
      <c r="R859" s="286"/>
      <c r="S859" s="286"/>
      <c r="T859" s="286"/>
      <c r="U859" s="286"/>
      <c r="V859" s="286"/>
    </row>
    <row r="860" spans="1:22" ht="26.25" customHeight="1" x14ac:dyDescent="0.2">
      <c r="A860" s="286"/>
      <c r="B860" s="286"/>
      <c r="C860" s="286"/>
      <c r="D860" s="286"/>
      <c r="E860" s="286"/>
      <c r="F860" s="286"/>
      <c r="G860" s="286"/>
      <c r="H860" s="286"/>
      <c r="I860" s="286"/>
      <c r="J860" s="286"/>
      <c r="K860" s="286"/>
      <c r="L860" s="286"/>
      <c r="M860" s="286"/>
      <c r="N860" s="286"/>
      <c r="O860" s="286"/>
      <c r="P860" s="286"/>
      <c r="Q860" s="286"/>
      <c r="R860" s="286"/>
      <c r="S860" s="286"/>
      <c r="T860" s="286"/>
      <c r="U860" s="286"/>
      <c r="V860" s="286"/>
    </row>
    <row r="861" spans="1:22" ht="26.25" customHeight="1" x14ac:dyDescent="0.2">
      <c r="A861" s="286"/>
      <c r="B861" s="286"/>
      <c r="C861" s="286"/>
      <c r="D861" s="286"/>
      <c r="E861" s="286"/>
      <c r="F861" s="286"/>
      <c r="G861" s="286"/>
      <c r="H861" s="286"/>
      <c r="I861" s="286"/>
      <c r="J861" s="286"/>
      <c r="K861" s="286"/>
      <c r="L861" s="286"/>
      <c r="M861" s="286"/>
      <c r="N861" s="286"/>
      <c r="O861" s="286"/>
      <c r="P861" s="286"/>
      <c r="Q861" s="286"/>
      <c r="R861" s="286"/>
      <c r="S861" s="286"/>
      <c r="T861" s="286"/>
      <c r="U861" s="286"/>
      <c r="V861" s="286"/>
    </row>
    <row r="862" spans="1:22" ht="26.25" customHeight="1" x14ac:dyDescent="0.2">
      <c r="A862" s="286"/>
      <c r="B862" s="286"/>
      <c r="C862" s="286"/>
      <c r="D862" s="286"/>
      <c r="E862" s="286"/>
      <c r="F862" s="286"/>
      <c r="G862" s="286"/>
      <c r="H862" s="286"/>
      <c r="I862" s="286"/>
      <c r="J862" s="286"/>
      <c r="K862" s="286"/>
      <c r="L862" s="286"/>
      <c r="M862" s="286"/>
      <c r="N862" s="286"/>
      <c r="O862" s="286"/>
      <c r="P862" s="286"/>
      <c r="Q862" s="286"/>
      <c r="R862" s="286"/>
      <c r="S862" s="286"/>
      <c r="T862" s="286"/>
      <c r="U862" s="286"/>
      <c r="V862" s="286"/>
    </row>
    <row r="863" spans="1:22" ht="26.25" customHeight="1" x14ac:dyDescent="0.2">
      <c r="A863" s="286"/>
      <c r="B863" s="286"/>
      <c r="C863" s="286"/>
      <c r="D863" s="286"/>
      <c r="E863" s="286"/>
      <c r="F863" s="286"/>
      <c r="G863" s="286"/>
      <c r="H863" s="286"/>
      <c r="I863" s="286"/>
      <c r="J863" s="286"/>
      <c r="K863" s="286"/>
      <c r="L863" s="286"/>
      <c r="M863" s="286"/>
      <c r="N863" s="286"/>
      <c r="O863" s="286"/>
      <c r="P863" s="286"/>
      <c r="Q863" s="286"/>
      <c r="R863" s="286"/>
      <c r="S863" s="286"/>
      <c r="T863" s="286"/>
      <c r="U863" s="286"/>
      <c r="V863" s="286"/>
    </row>
    <row r="864" spans="1:22" ht="26.25" customHeight="1" x14ac:dyDescent="0.2">
      <c r="A864" s="286"/>
      <c r="B864" s="286"/>
      <c r="C864" s="286"/>
      <c r="D864" s="286"/>
      <c r="E864" s="286"/>
      <c r="F864" s="286"/>
      <c r="G864" s="286"/>
      <c r="H864" s="286"/>
      <c r="I864" s="286"/>
      <c r="J864" s="286"/>
      <c r="K864" s="286"/>
      <c r="L864" s="286"/>
      <c r="M864" s="286"/>
      <c r="N864" s="286"/>
      <c r="O864" s="286"/>
      <c r="P864" s="286"/>
      <c r="Q864" s="286"/>
      <c r="R864" s="286"/>
      <c r="S864" s="286"/>
      <c r="T864" s="286"/>
      <c r="U864" s="286"/>
      <c r="V864" s="286"/>
    </row>
    <row r="865" spans="1:22" ht="26.25" customHeight="1" x14ac:dyDescent="0.2">
      <c r="A865" s="286"/>
      <c r="B865" s="286"/>
      <c r="C865" s="286"/>
      <c r="D865" s="286"/>
      <c r="E865" s="286"/>
      <c r="F865" s="286"/>
      <c r="G865" s="286"/>
      <c r="H865" s="286"/>
      <c r="I865" s="286"/>
      <c r="J865" s="286"/>
      <c r="K865" s="286"/>
      <c r="L865" s="286"/>
      <c r="M865" s="286"/>
      <c r="N865" s="286"/>
      <c r="O865" s="286"/>
      <c r="P865" s="286"/>
      <c r="Q865" s="286"/>
      <c r="R865" s="286"/>
      <c r="S865" s="286"/>
      <c r="T865" s="286"/>
      <c r="U865" s="286"/>
      <c r="V865" s="286"/>
    </row>
    <row r="866" spans="1:22" ht="26.25" customHeight="1" x14ac:dyDescent="0.2">
      <c r="A866" s="286"/>
      <c r="B866" s="286"/>
      <c r="C866" s="286"/>
      <c r="D866" s="286"/>
      <c r="E866" s="286"/>
      <c r="F866" s="286"/>
      <c r="G866" s="286"/>
      <c r="H866" s="286"/>
      <c r="I866" s="286"/>
      <c r="J866" s="286"/>
      <c r="K866" s="286"/>
      <c r="L866" s="286"/>
      <c r="M866" s="286"/>
      <c r="N866" s="286"/>
      <c r="O866" s="286"/>
      <c r="P866" s="286"/>
      <c r="Q866" s="286"/>
      <c r="R866" s="286"/>
      <c r="S866" s="286"/>
      <c r="T866" s="286"/>
      <c r="U866" s="286"/>
      <c r="V866" s="286"/>
    </row>
    <row r="867" spans="1:22" ht="26.25" customHeight="1" x14ac:dyDescent="0.2">
      <c r="A867" s="286"/>
      <c r="B867" s="286"/>
      <c r="C867" s="286"/>
      <c r="D867" s="286"/>
      <c r="E867" s="286"/>
      <c r="F867" s="286"/>
      <c r="G867" s="286"/>
      <c r="H867" s="286"/>
      <c r="I867" s="286"/>
      <c r="J867" s="286"/>
      <c r="K867" s="286"/>
      <c r="L867" s="286"/>
      <c r="M867" s="286"/>
      <c r="N867" s="286"/>
      <c r="O867" s="286"/>
      <c r="P867" s="286"/>
      <c r="Q867" s="286"/>
      <c r="R867" s="286"/>
      <c r="S867" s="286"/>
      <c r="T867" s="286"/>
      <c r="U867" s="286"/>
      <c r="V867" s="286"/>
    </row>
    <row r="868" spans="1:22" ht="26.25" customHeight="1" x14ac:dyDescent="0.2">
      <c r="A868" s="286"/>
      <c r="B868" s="286"/>
      <c r="C868" s="286"/>
      <c r="D868" s="286"/>
      <c r="E868" s="286"/>
      <c r="F868" s="286"/>
      <c r="G868" s="286"/>
      <c r="H868" s="286"/>
      <c r="I868" s="286"/>
      <c r="J868" s="286"/>
      <c r="K868" s="286"/>
      <c r="L868" s="286"/>
      <c r="M868" s="286"/>
      <c r="N868" s="286"/>
      <c r="O868" s="286"/>
      <c r="P868" s="286"/>
      <c r="Q868" s="286"/>
      <c r="R868" s="286"/>
      <c r="S868" s="286"/>
      <c r="T868" s="286"/>
      <c r="U868" s="286"/>
      <c r="V868" s="286"/>
    </row>
    <row r="869" spans="1:22" ht="26.25" customHeight="1" x14ac:dyDescent="0.2">
      <c r="A869" s="286"/>
      <c r="B869" s="286"/>
      <c r="C869" s="286"/>
      <c r="D869" s="286"/>
      <c r="E869" s="286"/>
      <c r="F869" s="286"/>
      <c r="G869" s="286"/>
      <c r="H869" s="286"/>
      <c r="I869" s="286"/>
      <c r="J869" s="286"/>
      <c r="K869" s="286"/>
      <c r="L869" s="286"/>
      <c r="M869" s="286"/>
      <c r="N869" s="286"/>
      <c r="O869" s="286"/>
      <c r="P869" s="286"/>
      <c r="Q869" s="286"/>
      <c r="R869" s="286"/>
      <c r="S869" s="286"/>
      <c r="T869" s="286"/>
      <c r="U869" s="286"/>
      <c r="V869" s="286"/>
    </row>
    <row r="870" spans="1:22" ht="26.25" customHeight="1" x14ac:dyDescent="0.2">
      <c r="A870" s="286"/>
      <c r="B870" s="286"/>
      <c r="C870" s="286"/>
      <c r="D870" s="286"/>
      <c r="E870" s="286"/>
      <c r="F870" s="286"/>
      <c r="G870" s="286"/>
      <c r="H870" s="286"/>
      <c r="I870" s="286"/>
      <c r="J870" s="286"/>
      <c r="K870" s="286"/>
      <c r="L870" s="286"/>
      <c r="M870" s="286"/>
      <c r="N870" s="286"/>
      <c r="O870" s="286"/>
      <c r="P870" s="286"/>
      <c r="Q870" s="286"/>
      <c r="R870" s="286"/>
      <c r="S870" s="286"/>
      <c r="T870" s="286"/>
      <c r="U870" s="286"/>
      <c r="V870" s="286"/>
    </row>
    <row r="871" spans="1:22" ht="26.25" customHeight="1" x14ac:dyDescent="0.2">
      <c r="A871" s="286"/>
      <c r="B871" s="286"/>
      <c r="C871" s="286"/>
      <c r="D871" s="286"/>
      <c r="E871" s="286"/>
      <c r="F871" s="286"/>
      <c r="G871" s="286"/>
      <c r="H871" s="286"/>
      <c r="I871" s="286"/>
      <c r="J871" s="286"/>
      <c r="K871" s="286"/>
      <c r="L871" s="286"/>
      <c r="M871" s="286"/>
      <c r="N871" s="286"/>
      <c r="O871" s="286"/>
      <c r="P871" s="286"/>
      <c r="Q871" s="286"/>
      <c r="R871" s="286"/>
      <c r="S871" s="286"/>
      <c r="T871" s="286"/>
      <c r="U871" s="286"/>
      <c r="V871" s="286"/>
    </row>
    <row r="872" spans="1:22" ht="26.25" customHeight="1" x14ac:dyDescent="0.2">
      <c r="A872" s="286"/>
      <c r="B872" s="286"/>
      <c r="C872" s="286"/>
      <c r="D872" s="286"/>
      <c r="E872" s="286"/>
      <c r="F872" s="286"/>
      <c r="G872" s="286"/>
      <c r="H872" s="286"/>
      <c r="I872" s="286"/>
      <c r="J872" s="286"/>
      <c r="K872" s="286"/>
      <c r="L872" s="286"/>
      <c r="M872" s="286"/>
      <c r="N872" s="286"/>
      <c r="O872" s="286"/>
      <c r="P872" s="286"/>
      <c r="Q872" s="286"/>
      <c r="R872" s="286"/>
      <c r="S872" s="286"/>
      <c r="T872" s="286"/>
      <c r="U872" s="286"/>
      <c r="V872" s="286"/>
    </row>
    <row r="873" spans="1:22" ht="26.25" customHeight="1" x14ac:dyDescent="0.2">
      <c r="A873" s="286"/>
      <c r="B873" s="286"/>
      <c r="C873" s="286"/>
      <c r="D873" s="286"/>
      <c r="E873" s="286"/>
      <c r="F873" s="286"/>
      <c r="G873" s="286"/>
      <c r="H873" s="286"/>
      <c r="I873" s="286"/>
      <c r="J873" s="286"/>
      <c r="K873" s="286"/>
      <c r="L873" s="286"/>
      <c r="M873" s="286"/>
      <c r="N873" s="286"/>
      <c r="O873" s="286"/>
      <c r="P873" s="286"/>
      <c r="Q873" s="286"/>
      <c r="R873" s="286"/>
      <c r="S873" s="286"/>
      <c r="T873" s="286"/>
      <c r="U873" s="286"/>
      <c r="V873" s="286"/>
    </row>
    <row r="874" spans="1:22" ht="26.25" customHeight="1" x14ac:dyDescent="0.2">
      <c r="A874" s="286"/>
      <c r="B874" s="286"/>
      <c r="C874" s="286"/>
      <c r="D874" s="286"/>
      <c r="E874" s="286"/>
      <c r="F874" s="286"/>
      <c r="G874" s="286"/>
      <c r="H874" s="286"/>
      <c r="I874" s="286"/>
      <c r="J874" s="286"/>
      <c r="K874" s="286"/>
      <c r="L874" s="286"/>
      <c r="M874" s="286"/>
      <c r="N874" s="286"/>
      <c r="O874" s="286"/>
      <c r="P874" s="286"/>
      <c r="Q874" s="286"/>
      <c r="R874" s="286"/>
      <c r="S874" s="286"/>
      <c r="T874" s="286"/>
      <c r="U874" s="286"/>
      <c r="V874" s="286"/>
    </row>
    <row r="875" spans="1:22" ht="26.25" customHeight="1" x14ac:dyDescent="0.2">
      <c r="A875" s="286"/>
      <c r="B875" s="286"/>
      <c r="C875" s="286"/>
      <c r="D875" s="286"/>
      <c r="E875" s="286"/>
      <c r="F875" s="286"/>
      <c r="G875" s="286"/>
      <c r="H875" s="286"/>
      <c r="I875" s="286"/>
      <c r="J875" s="286"/>
      <c r="K875" s="286"/>
      <c r="L875" s="286"/>
      <c r="M875" s="286"/>
      <c r="N875" s="286"/>
      <c r="O875" s="286"/>
      <c r="P875" s="286"/>
      <c r="Q875" s="286"/>
      <c r="R875" s="286"/>
      <c r="S875" s="286"/>
      <c r="T875" s="286"/>
      <c r="U875" s="286"/>
      <c r="V875" s="286"/>
    </row>
    <row r="876" spans="1:22" ht="26.25" customHeight="1" x14ac:dyDescent="0.2">
      <c r="A876" s="286"/>
      <c r="B876" s="286"/>
      <c r="C876" s="286"/>
      <c r="D876" s="286"/>
      <c r="E876" s="286"/>
      <c r="F876" s="286"/>
      <c r="G876" s="286"/>
      <c r="H876" s="286"/>
      <c r="I876" s="286"/>
      <c r="J876" s="286"/>
      <c r="K876" s="286"/>
      <c r="L876" s="286"/>
      <c r="M876" s="286"/>
      <c r="N876" s="286"/>
      <c r="O876" s="286"/>
      <c r="P876" s="286"/>
      <c r="Q876" s="286"/>
      <c r="R876" s="286"/>
      <c r="S876" s="286"/>
      <c r="T876" s="286"/>
      <c r="U876" s="286"/>
      <c r="V876" s="286"/>
    </row>
    <row r="877" spans="1:22" ht="26.25" customHeight="1" x14ac:dyDescent="0.2">
      <c r="A877" s="286"/>
      <c r="B877" s="286"/>
      <c r="C877" s="286"/>
      <c r="D877" s="286"/>
      <c r="E877" s="286"/>
      <c r="F877" s="286"/>
      <c r="G877" s="286"/>
      <c r="H877" s="286"/>
      <c r="I877" s="286"/>
      <c r="J877" s="286"/>
      <c r="K877" s="286"/>
      <c r="L877" s="286"/>
      <c r="M877" s="286"/>
      <c r="N877" s="286"/>
      <c r="O877" s="286"/>
      <c r="P877" s="286"/>
      <c r="Q877" s="286"/>
      <c r="R877" s="286"/>
      <c r="S877" s="286"/>
      <c r="T877" s="286"/>
      <c r="U877" s="286"/>
      <c r="V877" s="286"/>
    </row>
    <row r="878" spans="1:22" ht="26.25" customHeight="1" x14ac:dyDescent="0.2">
      <c r="A878" s="286"/>
      <c r="B878" s="286"/>
      <c r="C878" s="286"/>
      <c r="D878" s="286"/>
      <c r="E878" s="286"/>
      <c r="F878" s="286"/>
      <c r="G878" s="286"/>
      <c r="H878" s="286"/>
      <c r="I878" s="286"/>
      <c r="J878" s="286"/>
      <c r="K878" s="286"/>
      <c r="L878" s="286"/>
      <c r="M878" s="286"/>
      <c r="N878" s="286"/>
      <c r="O878" s="286"/>
      <c r="P878" s="286"/>
      <c r="Q878" s="286"/>
      <c r="R878" s="286"/>
      <c r="S878" s="286"/>
      <c r="T878" s="286"/>
      <c r="U878" s="286"/>
      <c r="V878" s="286"/>
    </row>
    <row r="879" spans="1:22" ht="26.25" customHeight="1" x14ac:dyDescent="0.2">
      <c r="A879" s="286"/>
      <c r="B879" s="286"/>
      <c r="C879" s="286"/>
      <c r="D879" s="286"/>
      <c r="E879" s="286"/>
      <c r="F879" s="286"/>
      <c r="G879" s="286"/>
      <c r="H879" s="286"/>
      <c r="I879" s="286"/>
      <c r="J879" s="286"/>
      <c r="K879" s="286"/>
      <c r="L879" s="286"/>
      <c r="M879" s="286"/>
      <c r="N879" s="286"/>
      <c r="O879" s="286"/>
      <c r="P879" s="286"/>
      <c r="Q879" s="286"/>
      <c r="R879" s="286"/>
      <c r="S879" s="286"/>
      <c r="T879" s="286"/>
      <c r="U879" s="286"/>
      <c r="V879" s="286"/>
    </row>
    <row r="880" spans="1:22" ht="26.25" customHeight="1" x14ac:dyDescent="0.2">
      <c r="A880" s="286"/>
      <c r="B880" s="286"/>
      <c r="C880" s="286"/>
      <c r="D880" s="286"/>
      <c r="E880" s="286"/>
      <c r="F880" s="286"/>
      <c r="G880" s="286"/>
      <c r="H880" s="286"/>
      <c r="I880" s="286"/>
      <c r="J880" s="286"/>
      <c r="K880" s="286"/>
      <c r="L880" s="286"/>
      <c r="M880" s="286"/>
      <c r="N880" s="286"/>
      <c r="O880" s="286"/>
      <c r="P880" s="286"/>
      <c r="Q880" s="286"/>
      <c r="R880" s="286"/>
      <c r="S880" s="286"/>
      <c r="T880" s="286"/>
      <c r="U880" s="286"/>
      <c r="V880" s="286"/>
    </row>
    <row r="881" spans="1:22" ht="26.25" customHeight="1" x14ac:dyDescent="0.2">
      <c r="A881" s="286"/>
      <c r="B881" s="286"/>
      <c r="C881" s="286"/>
      <c r="D881" s="286"/>
      <c r="E881" s="286"/>
      <c r="F881" s="286"/>
      <c r="G881" s="286"/>
      <c r="H881" s="286"/>
      <c r="I881" s="286"/>
      <c r="J881" s="286"/>
      <c r="K881" s="286"/>
      <c r="L881" s="286"/>
      <c r="M881" s="286"/>
      <c r="N881" s="286"/>
      <c r="O881" s="286"/>
      <c r="P881" s="286"/>
      <c r="Q881" s="286"/>
      <c r="R881" s="286"/>
      <c r="S881" s="286"/>
      <c r="T881" s="286"/>
      <c r="U881" s="286"/>
      <c r="V881" s="286"/>
    </row>
    <row r="882" spans="1:22" ht="26.25" customHeight="1" x14ac:dyDescent="0.2">
      <c r="A882" s="286"/>
      <c r="B882" s="286"/>
      <c r="C882" s="286"/>
      <c r="D882" s="286"/>
      <c r="E882" s="286"/>
      <c r="F882" s="286"/>
      <c r="G882" s="286"/>
      <c r="H882" s="286"/>
      <c r="I882" s="286"/>
      <c r="J882" s="286"/>
      <c r="K882" s="286"/>
      <c r="L882" s="286"/>
      <c r="M882" s="286"/>
      <c r="N882" s="286"/>
      <c r="O882" s="286"/>
      <c r="P882" s="286"/>
      <c r="Q882" s="286"/>
      <c r="R882" s="286"/>
      <c r="S882" s="286"/>
      <c r="T882" s="286"/>
      <c r="U882" s="286"/>
      <c r="V882" s="286"/>
    </row>
    <row r="883" spans="1:22" ht="26.25" customHeight="1" x14ac:dyDescent="0.2">
      <c r="A883" s="286"/>
      <c r="B883" s="286"/>
      <c r="C883" s="286"/>
      <c r="D883" s="286"/>
      <c r="E883" s="286"/>
      <c r="F883" s="286"/>
      <c r="G883" s="286"/>
      <c r="H883" s="286"/>
      <c r="I883" s="286"/>
      <c r="J883" s="286"/>
      <c r="K883" s="286"/>
      <c r="L883" s="286"/>
      <c r="M883" s="286"/>
      <c r="N883" s="286"/>
      <c r="O883" s="286"/>
      <c r="P883" s="286"/>
      <c r="Q883" s="286"/>
      <c r="R883" s="286"/>
      <c r="S883" s="286"/>
      <c r="T883" s="286"/>
      <c r="U883" s="286"/>
      <c r="V883" s="286"/>
    </row>
    <row r="884" spans="1:22" ht="26.25" customHeight="1" x14ac:dyDescent="0.2">
      <c r="A884" s="286"/>
      <c r="B884" s="286"/>
      <c r="C884" s="286"/>
      <c r="D884" s="286"/>
      <c r="E884" s="286"/>
      <c r="F884" s="286"/>
      <c r="G884" s="286"/>
      <c r="H884" s="286"/>
      <c r="I884" s="286"/>
      <c r="J884" s="286"/>
      <c r="K884" s="286"/>
      <c r="L884" s="286"/>
      <c r="M884" s="286"/>
      <c r="N884" s="286"/>
      <c r="O884" s="286"/>
      <c r="P884" s="286"/>
      <c r="Q884" s="286"/>
      <c r="R884" s="286"/>
      <c r="S884" s="286"/>
      <c r="T884" s="286"/>
      <c r="U884" s="286"/>
      <c r="V884" s="286"/>
    </row>
    <row r="885" spans="1:22" ht="26.25" customHeight="1" x14ac:dyDescent="0.2">
      <c r="A885" s="286"/>
      <c r="B885" s="286"/>
      <c r="C885" s="286"/>
      <c r="D885" s="286"/>
      <c r="E885" s="286"/>
      <c r="F885" s="286"/>
      <c r="G885" s="286"/>
      <c r="H885" s="286"/>
      <c r="I885" s="286"/>
      <c r="J885" s="286"/>
      <c r="K885" s="286"/>
      <c r="L885" s="286"/>
      <c r="M885" s="286"/>
      <c r="N885" s="286"/>
      <c r="O885" s="286"/>
      <c r="P885" s="286"/>
      <c r="Q885" s="286"/>
      <c r="R885" s="286"/>
      <c r="S885" s="286"/>
      <c r="T885" s="286"/>
      <c r="U885" s="286"/>
      <c r="V885" s="286"/>
    </row>
    <row r="886" spans="1:22" ht="26.25" customHeight="1" x14ac:dyDescent="0.2">
      <c r="A886" s="286"/>
      <c r="B886" s="286"/>
      <c r="C886" s="286"/>
      <c r="D886" s="286"/>
      <c r="E886" s="286"/>
      <c r="F886" s="286"/>
      <c r="G886" s="286"/>
      <c r="H886" s="286"/>
      <c r="I886" s="286"/>
      <c r="J886" s="286"/>
      <c r="K886" s="286"/>
      <c r="L886" s="286"/>
      <c r="M886" s="286"/>
      <c r="N886" s="286"/>
      <c r="O886" s="286"/>
      <c r="P886" s="286"/>
      <c r="Q886" s="286"/>
      <c r="R886" s="286"/>
      <c r="S886" s="286"/>
      <c r="T886" s="286"/>
      <c r="U886" s="286"/>
      <c r="V886" s="286"/>
    </row>
    <row r="887" spans="1:22" ht="26.25" customHeight="1" x14ac:dyDescent="0.2">
      <c r="A887" s="286"/>
      <c r="B887" s="286"/>
      <c r="C887" s="286"/>
      <c r="D887" s="286"/>
      <c r="E887" s="286"/>
      <c r="F887" s="286"/>
      <c r="G887" s="286"/>
      <c r="H887" s="286"/>
      <c r="I887" s="286"/>
      <c r="J887" s="286"/>
      <c r="K887" s="286"/>
      <c r="L887" s="286"/>
      <c r="M887" s="286"/>
      <c r="N887" s="286"/>
      <c r="O887" s="286"/>
      <c r="P887" s="286"/>
      <c r="Q887" s="286"/>
      <c r="R887" s="286"/>
      <c r="S887" s="286"/>
      <c r="T887" s="286"/>
      <c r="U887" s="286"/>
      <c r="V887" s="286"/>
    </row>
    <row r="888" spans="1:22" ht="26.25" customHeight="1" x14ac:dyDescent="0.2">
      <c r="A888" s="286"/>
      <c r="B888" s="286"/>
      <c r="C888" s="286"/>
      <c r="D888" s="286"/>
      <c r="E888" s="286"/>
      <c r="F888" s="286"/>
      <c r="G888" s="286"/>
      <c r="H888" s="286"/>
      <c r="I888" s="286"/>
      <c r="J888" s="286"/>
      <c r="K888" s="286"/>
      <c r="L888" s="286"/>
      <c r="M888" s="286"/>
      <c r="N888" s="286"/>
      <c r="O888" s="286"/>
      <c r="P888" s="286"/>
      <c r="Q888" s="286"/>
      <c r="R888" s="286"/>
      <c r="S888" s="286"/>
      <c r="T888" s="286"/>
      <c r="U888" s="286"/>
      <c r="V888" s="286"/>
    </row>
    <row r="889" spans="1:22" ht="26.25" customHeight="1" x14ac:dyDescent="0.2">
      <c r="A889" s="286"/>
      <c r="B889" s="286"/>
      <c r="C889" s="286"/>
      <c r="D889" s="286"/>
      <c r="E889" s="286"/>
      <c r="F889" s="286"/>
      <c r="G889" s="286"/>
      <c r="H889" s="286"/>
      <c r="I889" s="286"/>
      <c r="J889" s="286"/>
      <c r="K889" s="286"/>
      <c r="L889" s="286"/>
      <c r="M889" s="286"/>
      <c r="N889" s="286"/>
      <c r="O889" s="286"/>
      <c r="P889" s="286"/>
      <c r="Q889" s="286"/>
      <c r="R889" s="286"/>
      <c r="S889" s="286"/>
      <c r="T889" s="286"/>
      <c r="U889" s="286"/>
      <c r="V889" s="286"/>
    </row>
    <row r="890" spans="1:22" ht="26.25" customHeight="1" x14ac:dyDescent="0.2">
      <c r="A890" s="286"/>
      <c r="B890" s="286"/>
      <c r="C890" s="286"/>
      <c r="D890" s="286"/>
      <c r="E890" s="286"/>
      <c r="F890" s="286"/>
      <c r="G890" s="286"/>
      <c r="H890" s="286"/>
      <c r="I890" s="286"/>
      <c r="J890" s="286"/>
      <c r="K890" s="286"/>
      <c r="L890" s="286"/>
      <c r="M890" s="286"/>
      <c r="N890" s="286"/>
      <c r="O890" s="286"/>
      <c r="P890" s="286"/>
      <c r="Q890" s="286"/>
      <c r="R890" s="286"/>
      <c r="S890" s="286"/>
      <c r="T890" s="286"/>
      <c r="U890" s="286"/>
      <c r="V890" s="286"/>
    </row>
    <row r="891" spans="1:22" ht="26.25" customHeight="1" x14ac:dyDescent="0.2">
      <c r="A891" s="286"/>
      <c r="B891" s="286"/>
      <c r="C891" s="286"/>
      <c r="D891" s="286"/>
      <c r="E891" s="286"/>
      <c r="F891" s="286"/>
      <c r="G891" s="286"/>
      <c r="H891" s="286"/>
      <c r="I891" s="286"/>
      <c r="J891" s="286"/>
      <c r="K891" s="286"/>
      <c r="L891" s="286"/>
      <c r="M891" s="286"/>
      <c r="N891" s="286"/>
      <c r="O891" s="286"/>
      <c r="P891" s="286"/>
      <c r="Q891" s="286"/>
      <c r="R891" s="286"/>
      <c r="S891" s="286"/>
      <c r="T891" s="286"/>
      <c r="U891" s="286"/>
      <c r="V891" s="286"/>
    </row>
    <row r="892" spans="1:22" ht="26.25" customHeight="1" x14ac:dyDescent="0.2">
      <c r="A892" s="286"/>
      <c r="B892" s="286"/>
      <c r="C892" s="286"/>
      <c r="D892" s="286"/>
      <c r="E892" s="286"/>
      <c r="F892" s="286"/>
      <c r="G892" s="286"/>
      <c r="H892" s="286"/>
      <c r="I892" s="286"/>
      <c r="J892" s="286"/>
      <c r="K892" s="286"/>
      <c r="L892" s="286"/>
      <c r="M892" s="286"/>
      <c r="N892" s="286"/>
      <c r="O892" s="286"/>
      <c r="P892" s="286"/>
      <c r="Q892" s="286"/>
      <c r="R892" s="286"/>
      <c r="S892" s="286"/>
      <c r="T892" s="286"/>
      <c r="U892" s="286"/>
      <c r="V892" s="286"/>
    </row>
    <row r="893" spans="1:22" ht="26.25" customHeight="1" x14ac:dyDescent="0.2">
      <c r="A893" s="286"/>
      <c r="B893" s="286"/>
      <c r="C893" s="286"/>
      <c r="D893" s="286"/>
      <c r="E893" s="286"/>
      <c r="F893" s="286"/>
      <c r="G893" s="286"/>
      <c r="H893" s="286"/>
      <c r="I893" s="286"/>
      <c r="J893" s="286"/>
      <c r="K893" s="286"/>
      <c r="L893" s="286"/>
      <c r="M893" s="286"/>
      <c r="N893" s="286"/>
      <c r="O893" s="286"/>
      <c r="P893" s="286"/>
      <c r="Q893" s="286"/>
      <c r="R893" s="286"/>
      <c r="S893" s="286"/>
      <c r="T893" s="286"/>
      <c r="U893" s="286"/>
      <c r="V893" s="286"/>
    </row>
    <row r="894" spans="1:22" ht="26.25" customHeight="1" x14ac:dyDescent="0.2">
      <c r="A894" s="286"/>
      <c r="B894" s="286"/>
      <c r="C894" s="286"/>
      <c r="D894" s="286"/>
      <c r="E894" s="286"/>
      <c r="F894" s="286"/>
      <c r="G894" s="286"/>
      <c r="H894" s="286"/>
      <c r="I894" s="286"/>
      <c r="J894" s="286"/>
      <c r="K894" s="286"/>
      <c r="L894" s="286"/>
      <c r="M894" s="286"/>
      <c r="N894" s="286"/>
      <c r="O894" s="286"/>
      <c r="P894" s="286"/>
      <c r="Q894" s="286"/>
      <c r="R894" s="286"/>
      <c r="S894" s="286"/>
      <c r="T894" s="286"/>
      <c r="U894" s="286"/>
      <c r="V894" s="286"/>
    </row>
    <row r="895" spans="1:22" ht="26.25" customHeight="1" x14ac:dyDescent="0.2">
      <c r="A895" s="286"/>
      <c r="B895" s="286"/>
      <c r="C895" s="286"/>
      <c r="D895" s="286"/>
      <c r="E895" s="286"/>
      <c r="F895" s="286"/>
      <c r="G895" s="286"/>
      <c r="H895" s="286"/>
      <c r="I895" s="286"/>
      <c r="J895" s="286"/>
      <c r="K895" s="286"/>
      <c r="L895" s="286"/>
      <c r="M895" s="286"/>
      <c r="N895" s="286"/>
      <c r="O895" s="286"/>
      <c r="P895" s="286"/>
      <c r="Q895" s="286"/>
      <c r="R895" s="286"/>
      <c r="S895" s="286"/>
      <c r="T895" s="286"/>
      <c r="U895" s="286"/>
      <c r="V895" s="286"/>
    </row>
    <row r="896" spans="1:22" ht="26.25" customHeight="1" x14ac:dyDescent="0.2">
      <c r="A896" s="286"/>
      <c r="B896" s="286"/>
      <c r="C896" s="286"/>
      <c r="D896" s="286"/>
      <c r="E896" s="286"/>
      <c r="F896" s="286"/>
      <c r="G896" s="286"/>
      <c r="H896" s="286"/>
      <c r="I896" s="286"/>
      <c r="J896" s="286"/>
      <c r="K896" s="286"/>
      <c r="L896" s="286"/>
      <c r="M896" s="286"/>
      <c r="N896" s="286"/>
      <c r="O896" s="286"/>
      <c r="P896" s="286"/>
      <c r="Q896" s="286"/>
      <c r="R896" s="286"/>
      <c r="S896" s="286"/>
      <c r="T896" s="286"/>
      <c r="U896" s="286"/>
      <c r="V896" s="286"/>
    </row>
    <row r="897" spans="1:22" ht="26.25" customHeight="1" x14ac:dyDescent="0.2">
      <c r="A897" s="286"/>
      <c r="B897" s="286"/>
      <c r="C897" s="286"/>
      <c r="D897" s="286"/>
      <c r="E897" s="286"/>
      <c r="F897" s="286"/>
      <c r="G897" s="286"/>
      <c r="H897" s="286"/>
      <c r="I897" s="286"/>
      <c r="J897" s="286"/>
      <c r="K897" s="286"/>
      <c r="L897" s="286"/>
      <c r="M897" s="286"/>
      <c r="N897" s="286"/>
      <c r="O897" s="286"/>
      <c r="P897" s="286"/>
      <c r="Q897" s="286"/>
      <c r="R897" s="286"/>
      <c r="S897" s="286"/>
      <c r="T897" s="286"/>
      <c r="U897" s="286"/>
      <c r="V897" s="286"/>
    </row>
    <row r="898" spans="1:22" ht="26.25" customHeight="1" x14ac:dyDescent="0.2">
      <c r="A898" s="286"/>
      <c r="B898" s="286"/>
      <c r="C898" s="286"/>
      <c r="D898" s="286"/>
      <c r="E898" s="286"/>
      <c r="F898" s="286"/>
      <c r="G898" s="286"/>
      <c r="H898" s="286"/>
      <c r="I898" s="286"/>
      <c r="J898" s="286"/>
      <c r="K898" s="286"/>
      <c r="L898" s="286"/>
      <c r="M898" s="286"/>
      <c r="N898" s="286"/>
      <c r="O898" s="286"/>
      <c r="P898" s="286"/>
      <c r="Q898" s="286"/>
      <c r="R898" s="286"/>
      <c r="S898" s="286"/>
      <c r="T898" s="286"/>
      <c r="U898" s="286"/>
      <c r="V898" s="286"/>
    </row>
    <row r="899" spans="1:22" ht="26.25" customHeight="1" x14ac:dyDescent="0.2">
      <c r="A899" s="286"/>
      <c r="B899" s="286"/>
      <c r="C899" s="286"/>
      <c r="D899" s="286"/>
      <c r="E899" s="286"/>
      <c r="F899" s="286"/>
      <c r="G899" s="286"/>
      <c r="H899" s="286"/>
      <c r="I899" s="286"/>
      <c r="J899" s="286"/>
      <c r="K899" s="286"/>
      <c r="L899" s="286"/>
      <c r="M899" s="286"/>
      <c r="N899" s="286"/>
      <c r="O899" s="286"/>
      <c r="P899" s="286"/>
      <c r="Q899" s="286"/>
      <c r="R899" s="286"/>
      <c r="S899" s="286"/>
      <c r="T899" s="286"/>
      <c r="U899" s="286"/>
      <c r="V899" s="286"/>
    </row>
    <row r="900" spans="1:22" ht="26.25" customHeight="1" x14ac:dyDescent="0.2">
      <c r="A900" s="286"/>
      <c r="B900" s="286"/>
      <c r="C900" s="286"/>
      <c r="D900" s="286"/>
      <c r="E900" s="286"/>
      <c r="F900" s="286"/>
      <c r="G900" s="286"/>
      <c r="H900" s="286"/>
      <c r="I900" s="286"/>
      <c r="J900" s="286"/>
      <c r="K900" s="286"/>
      <c r="L900" s="286"/>
      <c r="M900" s="286"/>
      <c r="N900" s="286"/>
      <c r="O900" s="286"/>
      <c r="P900" s="286"/>
      <c r="Q900" s="286"/>
      <c r="R900" s="286"/>
      <c r="S900" s="286"/>
      <c r="T900" s="286"/>
      <c r="U900" s="286"/>
      <c r="V900" s="286"/>
    </row>
    <row r="901" spans="1:22" ht="26.25" customHeight="1" x14ac:dyDescent="0.2">
      <c r="A901" s="286"/>
      <c r="B901" s="286"/>
      <c r="C901" s="286"/>
      <c r="D901" s="286"/>
      <c r="E901" s="286"/>
      <c r="F901" s="286"/>
      <c r="G901" s="286"/>
      <c r="H901" s="286"/>
      <c r="I901" s="286"/>
      <c r="J901" s="286"/>
      <c r="K901" s="286"/>
      <c r="L901" s="286"/>
      <c r="M901" s="286"/>
      <c r="N901" s="286"/>
      <c r="O901" s="286"/>
      <c r="P901" s="286"/>
      <c r="Q901" s="286"/>
      <c r="R901" s="286"/>
      <c r="S901" s="286"/>
      <c r="T901" s="286"/>
      <c r="U901" s="286"/>
      <c r="V901" s="286"/>
    </row>
    <row r="902" spans="1:22" ht="26.25" customHeight="1" x14ac:dyDescent="0.2">
      <c r="A902" s="286"/>
      <c r="B902" s="286"/>
      <c r="C902" s="286"/>
      <c r="D902" s="286"/>
      <c r="E902" s="286"/>
      <c r="F902" s="286"/>
      <c r="G902" s="286"/>
      <c r="H902" s="286"/>
      <c r="I902" s="286"/>
      <c r="J902" s="286"/>
      <c r="K902" s="286"/>
      <c r="L902" s="286"/>
      <c r="M902" s="286"/>
      <c r="N902" s="286"/>
      <c r="O902" s="286"/>
      <c r="P902" s="286"/>
      <c r="Q902" s="286"/>
      <c r="R902" s="286"/>
      <c r="S902" s="286"/>
      <c r="T902" s="286"/>
      <c r="U902" s="286"/>
      <c r="V902" s="286"/>
    </row>
    <row r="903" spans="1:22" ht="26.25" customHeight="1" x14ac:dyDescent="0.2">
      <c r="A903" s="286"/>
      <c r="B903" s="286"/>
      <c r="C903" s="286"/>
      <c r="D903" s="286"/>
      <c r="E903" s="286"/>
      <c r="F903" s="286"/>
      <c r="G903" s="286"/>
      <c r="H903" s="286"/>
      <c r="I903" s="286"/>
      <c r="J903" s="286"/>
      <c r="K903" s="286"/>
      <c r="L903" s="286"/>
      <c r="M903" s="286"/>
      <c r="N903" s="286"/>
      <c r="O903" s="286"/>
      <c r="P903" s="286"/>
      <c r="Q903" s="286"/>
      <c r="R903" s="286"/>
      <c r="S903" s="286"/>
      <c r="T903" s="286"/>
      <c r="U903" s="286"/>
      <c r="V903" s="286"/>
    </row>
    <row r="904" spans="1:22" ht="26.25" customHeight="1" x14ac:dyDescent="0.2">
      <c r="A904" s="286"/>
      <c r="B904" s="286"/>
      <c r="C904" s="286"/>
      <c r="D904" s="286"/>
      <c r="E904" s="286"/>
      <c r="F904" s="286"/>
      <c r="G904" s="286"/>
      <c r="H904" s="286"/>
      <c r="I904" s="286"/>
      <c r="J904" s="286"/>
      <c r="K904" s="286"/>
      <c r="L904" s="286"/>
      <c r="M904" s="286"/>
      <c r="N904" s="286"/>
      <c r="O904" s="286"/>
      <c r="P904" s="286"/>
      <c r="Q904" s="286"/>
      <c r="R904" s="286"/>
      <c r="S904" s="286"/>
      <c r="T904" s="286"/>
      <c r="U904" s="286"/>
      <c r="V904" s="286"/>
    </row>
    <row r="905" spans="1:22" ht="26.25" customHeight="1" x14ac:dyDescent="0.2">
      <c r="A905" s="286"/>
      <c r="B905" s="286"/>
      <c r="C905" s="286"/>
      <c r="D905" s="286"/>
      <c r="E905" s="286"/>
      <c r="F905" s="286"/>
      <c r="G905" s="286"/>
      <c r="H905" s="286"/>
      <c r="I905" s="286"/>
      <c r="J905" s="286"/>
      <c r="K905" s="286"/>
      <c r="L905" s="286"/>
      <c r="M905" s="286"/>
      <c r="N905" s="286"/>
      <c r="O905" s="286"/>
      <c r="P905" s="286"/>
      <c r="Q905" s="286"/>
      <c r="R905" s="286"/>
      <c r="S905" s="286"/>
      <c r="T905" s="286"/>
      <c r="U905" s="286"/>
      <c r="V905" s="286"/>
    </row>
    <row r="906" spans="1:22" ht="26.25" customHeight="1" x14ac:dyDescent="0.2">
      <c r="A906" s="286"/>
      <c r="B906" s="286"/>
      <c r="C906" s="286"/>
      <c r="D906" s="286"/>
      <c r="E906" s="286"/>
      <c r="F906" s="286"/>
      <c r="G906" s="286"/>
      <c r="H906" s="286"/>
      <c r="I906" s="286"/>
      <c r="J906" s="286"/>
      <c r="K906" s="286"/>
      <c r="L906" s="286"/>
      <c r="M906" s="286"/>
      <c r="N906" s="286"/>
      <c r="O906" s="286"/>
      <c r="P906" s="286"/>
      <c r="Q906" s="286"/>
      <c r="R906" s="286"/>
      <c r="S906" s="286"/>
      <c r="T906" s="286"/>
      <c r="U906" s="286"/>
      <c r="V906" s="286"/>
    </row>
    <row r="907" spans="1:22" ht="26.25" customHeight="1" x14ac:dyDescent="0.2">
      <c r="A907" s="286"/>
      <c r="B907" s="286"/>
      <c r="C907" s="286"/>
      <c r="D907" s="286"/>
      <c r="E907" s="286"/>
      <c r="F907" s="286"/>
      <c r="G907" s="286"/>
      <c r="H907" s="286"/>
      <c r="I907" s="286"/>
      <c r="J907" s="286"/>
      <c r="K907" s="286"/>
      <c r="L907" s="286"/>
      <c r="M907" s="286"/>
      <c r="N907" s="286"/>
      <c r="O907" s="286"/>
      <c r="P907" s="286"/>
      <c r="Q907" s="286"/>
      <c r="R907" s="286"/>
      <c r="S907" s="286"/>
      <c r="T907" s="286"/>
      <c r="U907" s="286"/>
      <c r="V907" s="286"/>
    </row>
    <row r="908" spans="1:22" ht="26.25" customHeight="1" x14ac:dyDescent="0.2">
      <c r="A908" s="286"/>
      <c r="B908" s="286"/>
      <c r="C908" s="286"/>
      <c r="D908" s="286"/>
      <c r="E908" s="286"/>
      <c r="F908" s="286"/>
      <c r="G908" s="286"/>
      <c r="H908" s="286"/>
      <c r="I908" s="286"/>
      <c r="J908" s="286"/>
      <c r="K908" s="286"/>
      <c r="L908" s="286"/>
      <c r="M908" s="286"/>
      <c r="N908" s="286"/>
      <c r="O908" s="286"/>
      <c r="P908" s="286"/>
      <c r="Q908" s="286"/>
      <c r="R908" s="286"/>
      <c r="S908" s="286"/>
      <c r="T908" s="286"/>
      <c r="U908" s="286"/>
      <c r="V908" s="286"/>
    </row>
    <row r="909" spans="1:22" ht="26.25" customHeight="1" x14ac:dyDescent="0.2">
      <c r="A909" s="286"/>
      <c r="B909" s="286"/>
      <c r="C909" s="286"/>
      <c r="D909" s="286"/>
      <c r="E909" s="286"/>
      <c r="F909" s="286"/>
      <c r="G909" s="286"/>
      <c r="H909" s="286"/>
      <c r="I909" s="286"/>
      <c r="J909" s="286"/>
      <c r="K909" s="286"/>
      <c r="L909" s="286"/>
      <c r="M909" s="286"/>
      <c r="N909" s="286"/>
      <c r="O909" s="286"/>
      <c r="P909" s="286"/>
      <c r="Q909" s="286"/>
      <c r="R909" s="286"/>
      <c r="S909" s="286"/>
      <c r="T909" s="286"/>
      <c r="U909" s="286"/>
      <c r="V909" s="286"/>
    </row>
    <row r="910" spans="1:22" ht="26.25" customHeight="1" x14ac:dyDescent="0.2">
      <c r="A910" s="286"/>
      <c r="B910" s="286"/>
      <c r="C910" s="286"/>
      <c r="D910" s="286"/>
      <c r="E910" s="286"/>
      <c r="F910" s="286"/>
      <c r="G910" s="286"/>
      <c r="H910" s="286"/>
      <c r="I910" s="286"/>
      <c r="J910" s="286"/>
      <c r="K910" s="286"/>
      <c r="L910" s="286"/>
      <c r="M910" s="286"/>
      <c r="N910" s="286"/>
      <c r="O910" s="286"/>
      <c r="P910" s="286"/>
      <c r="Q910" s="286"/>
      <c r="R910" s="286"/>
      <c r="S910" s="286"/>
      <c r="T910" s="286"/>
      <c r="U910" s="286"/>
      <c r="V910" s="286"/>
    </row>
    <row r="911" spans="1:22" ht="26.25" customHeight="1" x14ac:dyDescent="0.2">
      <c r="A911" s="286"/>
      <c r="B911" s="286"/>
      <c r="C911" s="286"/>
      <c r="D911" s="286"/>
      <c r="E911" s="286"/>
      <c r="F911" s="286"/>
      <c r="G911" s="286"/>
      <c r="H911" s="286"/>
      <c r="I911" s="286"/>
      <c r="J911" s="286"/>
      <c r="K911" s="286"/>
      <c r="L911" s="286"/>
      <c r="M911" s="286"/>
      <c r="N911" s="286"/>
      <c r="O911" s="286"/>
      <c r="P911" s="286"/>
      <c r="Q911" s="286"/>
      <c r="R911" s="286"/>
      <c r="S911" s="286"/>
      <c r="T911" s="286"/>
      <c r="U911" s="286"/>
      <c r="V911" s="286"/>
    </row>
    <row r="912" spans="1:22" ht="26.25" customHeight="1" x14ac:dyDescent="0.2">
      <c r="A912" s="286"/>
      <c r="B912" s="286"/>
      <c r="C912" s="286"/>
      <c r="D912" s="286"/>
      <c r="E912" s="286"/>
      <c r="F912" s="286"/>
      <c r="G912" s="286"/>
      <c r="H912" s="286"/>
      <c r="I912" s="286"/>
      <c r="J912" s="286"/>
      <c r="K912" s="286"/>
      <c r="L912" s="286"/>
      <c r="M912" s="286"/>
      <c r="N912" s="286"/>
      <c r="O912" s="286"/>
      <c r="P912" s="286"/>
      <c r="Q912" s="286"/>
      <c r="R912" s="286"/>
      <c r="S912" s="286"/>
      <c r="T912" s="286"/>
      <c r="U912" s="286"/>
      <c r="V912" s="286"/>
    </row>
    <row r="913" spans="1:22" ht="26.25" customHeight="1" x14ac:dyDescent="0.2">
      <c r="A913" s="286"/>
      <c r="B913" s="286"/>
      <c r="C913" s="286"/>
      <c r="D913" s="286"/>
      <c r="E913" s="286"/>
      <c r="F913" s="286"/>
      <c r="G913" s="286"/>
      <c r="H913" s="286"/>
      <c r="I913" s="286"/>
      <c r="J913" s="286"/>
      <c r="K913" s="286"/>
      <c r="L913" s="286"/>
      <c r="M913" s="286"/>
      <c r="N913" s="286"/>
      <c r="O913" s="286"/>
      <c r="P913" s="286"/>
      <c r="Q913" s="286"/>
      <c r="R913" s="286"/>
      <c r="S913" s="286"/>
      <c r="T913" s="286"/>
      <c r="U913" s="286"/>
      <c r="V913" s="286"/>
    </row>
    <row r="914" spans="1:22" ht="26.25" customHeight="1" x14ac:dyDescent="0.2">
      <c r="A914" s="286"/>
      <c r="B914" s="286"/>
      <c r="C914" s="286"/>
      <c r="D914" s="286"/>
      <c r="E914" s="286"/>
      <c r="F914" s="286"/>
      <c r="G914" s="286"/>
      <c r="H914" s="286"/>
      <c r="I914" s="286"/>
      <c r="J914" s="286"/>
      <c r="K914" s="286"/>
      <c r="L914" s="286"/>
      <c r="M914" s="286"/>
      <c r="N914" s="286"/>
      <c r="O914" s="286"/>
      <c r="P914" s="286"/>
      <c r="Q914" s="286"/>
      <c r="R914" s="286"/>
      <c r="S914" s="286"/>
      <c r="T914" s="286"/>
      <c r="U914" s="286"/>
      <c r="V914" s="286"/>
    </row>
    <row r="915" spans="1:22" ht="26.25" customHeight="1" x14ac:dyDescent="0.2">
      <c r="A915" s="286"/>
      <c r="B915" s="286"/>
      <c r="C915" s="286"/>
      <c r="D915" s="286"/>
      <c r="E915" s="286"/>
      <c r="F915" s="286"/>
      <c r="G915" s="286"/>
      <c r="H915" s="286"/>
      <c r="I915" s="286"/>
      <c r="J915" s="286"/>
      <c r="K915" s="286"/>
      <c r="L915" s="286"/>
      <c r="M915" s="286"/>
      <c r="N915" s="286"/>
      <c r="O915" s="286"/>
      <c r="P915" s="286"/>
      <c r="Q915" s="286"/>
      <c r="R915" s="286"/>
      <c r="S915" s="286"/>
      <c r="T915" s="286"/>
      <c r="U915" s="286"/>
      <c r="V915" s="286"/>
    </row>
    <row r="916" spans="1:22" ht="26.25" customHeight="1" x14ac:dyDescent="0.2">
      <c r="A916" s="286"/>
      <c r="B916" s="286"/>
      <c r="C916" s="286"/>
      <c r="D916" s="286"/>
      <c r="E916" s="286"/>
      <c r="F916" s="286"/>
      <c r="G916" s="286"/>
      <c r="H916" s="286"/>
      <c r="I916" s="286"/>
      <c r="J916" s="286"/>
      <c r="K916" s="286"/>
      <c r="L916" s="286"/>
      <c r="M916" s="286"/>
      <c r="N916" s="286"/>
      <c r="O916" s="286"/>
      <c r="P916" s="286"/>
      <c r="Q916" s="286"/>
      <c r="R916" s="286"/>
      <c r="S916" s="286"/>
      <c r="T916" s="286"/>
      <c r="U916" s="286"/>
      <c r="V916" s="286"/>
    </row>
    <row r="917" spans="1:22" ht="26.25" customHeight="1" x14ac:dyDescent="0.2">
      <c r="A917" s="286"/>
      <c r="B917" s="286"/>
      <c r="C917" s="286"/>
      <c r="D917" s="286"/>
      <c r="E917" s="286"/>
      <c r="F917" s="286"/>
      <c r="G917" s="286"/>
      <c r="H917" s="286"/>
      <c r="I917" s="286"/>
      <c r="J917" s="286"/>
      <c r="K917" s="286"/>
      <c r="L917" s="286"/>
      <c r="M917" s="286"/>
      <c r="N917" s="286"/>
      <c r="O917" s="286"/>
      <c r="P917" s="286"/>
      <c r="Q917" s="286"/>
      <c r="R917" s="286"/>
      <c r="S917" s="286"/>
      <c r="T917" s="286"/>
      <c r="U917" s="286"/>
      <c r="V917" s="286"/>
    </row>
    <row r="918" spans="1:22" ht="26.25" customHeight="1" x14ac:dyDescent="0.2">
      <c r="A918" s="286"/>
      <c r="B918" s="286"/>
      <c r="C918" s="286"/>
      <c r="D918" s="286"/>
      <c r="E918" s="286"/>
      <c r="F918" s="286"/>
      <c r="G918" s="286"/>
      <c r="H918" s="286"/>
      <c r="I918" s="286"/>
      <c r="J918" s="286"/>
      <c r="K918" s="286"/>
      <c r="L918" s="286"/>
      <c r="M918" s="286"/>
      <c r="N918" s="286"/>
      <c r="O918" s="286"/>
      <c r="P918" s="286"/>
      <c r="Q918" s="286"/>
      <c r="R918" s="286"/>
      <c r="S918" s="286"/>
      <c r="T918" s="286"/>
      <c r="U918" s="286"/>
      <c r="V918" s="286"/>
    </row>
    <row r="919" spans="1:22" ht="26.25" customHeight="1" x14ac:dyDescent="0.2">
      <c r="A919" s="286"/>
      <c r="B919" s="286"/>
      <c r="C919" s="286"/>
      <c r="D919" s="286"/>
      <c r="E919" s="286"/>
      <c r="F919" s="286"/>
      <c r="G919" s="286"/>
      <c r="H919" s="286"/>
      <c r="I919" s="286"/>
      <c r="J919" s="286"/>
      <c r="K919" s="286"/>
      <c r="L919" s="286"/>
      <c r="M919" s="286"/>
      <c r="N919" s="286"/>
      <c r="O919" s="286"/>
      <c r="P919" s="286"/>
      <c r="Q919" s="286"/>
      <c r="R919" s="286"/>
      <c r="S919" s="286"/>
      <c r="T919" s="286"/>
      <c r="U919" s="286"/>
      <c r="V919" s="286"/>
    </row>
    <row r="920" spans="1:22" ht="26.25" customHeight="1" x14ac:dyDescent="0.2">
      <c r="A920" s="286"/>
      <c r="B920" s="286"/>
      <c r="C920" s="286"/>
      <c r="D920" s="286"/>
      <c r="E920" s="286"/>
      <c r="F920" s="286"/>
      <c r="G920" s="286"/>
      <c r="H920" s="286"/>
      <c r="I920" s="286"/>
      <c r="J920" s="286"/>
      <c r="K920" s="286"/>
      <c r="L920" s="286"/>
      <c r="M920" s="286"/>
      <c r="N920" s="286"/>
      <c r="O920" s="286"/>
      <c r="P920" s="286"/>
      <c r="Q920" s="286"/>
      <c r="R920" s="286"/>
      <c r="S920" s="286"/>
      <c r="T920" s="286"/>
      <c r="U920" s="286"/>
      <c r="V920" s="286"/>
    </row>
    <row r="921" spans="1:22" ht="26.25" customHeight="1" x14ac:dyDescent="0.2">
      <c r="A921" s="286"/>
      <c r="B921" s="286"/>
      <c r="C921" s="286"/>
      <c r="D921" s="286"/>
      <c r="E921" s="286"/>
      <c r="F921" s="286"/>
      <c r="G921" s="286"/>
      <c r="H921" s="286"/>
      <c r="I921" s="286"/>
      <c r="J921" s="286"/>
      <c r="K921" s="286"/>
      <c r="L921" s="286"/>
      <c r="M921" s="286"/>
      <c r="N921" s="286"/>
      <c r="O921" s="286"/>
      <c r="P921" s="286"/>
      <c r="Q921" s="286"/>
      <c r="R921" s="286"/>
      <c r="S921" s="286"/>
      <c r="T921" s="286"/>
      <c r="U921" s="286"/>
      <c r="V921" s="286"/>
    </row>
    <row r="922" spans="1:22" ht="26.25" customHeight="1" x14ac:dyDescent="0.2">
      <c r="A922" s="286"/>
      <c r="B922" s="286"/>
      <c r="C922" s="286"/>
      <c r="D922" s="286"/>
      <c r="E922" s="286"/>
      <c r="F922" s="286"/>
      <c r="G922" s="286"/>
      <c r="H922" s="286"/>
      <c r="I922" s="286"/>
      <c r="J922" s="286"/>
      <c r="K922" s="286"/>
      <c r="L922" s="286"/>
      <c r="M922" s="286"/>
      <c r="N922" s="286"/>
      <c r="O922" s="286"/>
      <c r="P922" s="286"/>
      <c r="Q922" s="286"/>
      <c r="R922" s="286"/>
      <c r="S922" s="286"/>
      <c r="T922" s="286"/>
      <c r="U922" s="286"/>
      <c r="V922" s="286"/>
    </row>
    <row r="923" spans="1:22" ht="26.25" customHeight="1" x14ac:dyDescent="0.2">
      <c r="A923" s="286"/>
      <c r="B923" s="286"/>
      <c r="C923" s="286"/>
      <c r="D923" s="286"/>
      <c r="E923" s="286"/>
      <c r="F923" s="286"/>
      <c r="G923" s="286"/>
      <c r="H923" s="286"/>
      <c r="I923" s="286"/>
      <c r="J923" s="286"/>
      <c r="K923" s="286"/>
      <c r="L923" s="286"/>
      <c r="M923" s="286"/>
      <c r="N923" s="286"/>
      <c r="O923" s="286"/>
      <c r="P923" s="286"/>
      <c r="Q923" s="286"/>
      <c r="R923" s="286"/>
      <c r="S923" s="286"/>
      <c r="T923" s="286"/>
      <c r="U923" s="286"/>
      <c r="V923" s="286"/>
    </row>
    <row r="924" spans="1:22" ht="26.25" customHeight="1" x14ac:dyDescent="0.2">
      <c r="A924" s="286"/>
      <c r="B924" s="286"/>
      <c r="C924" s="286"/>
      <c r="D924" s="286"/>
      <c r="E924" s="286"/>
      <c r="F924" s="286"/>
      <c r="G924" s="286"/>
      <c r="H924" s="286"/>
      <c r="I924" s="286"/>
      <c r="J924" s="286"/>
      <c r="K924" s="286"/>
      <c r="L924" s="286"/>
      <c r="M924" s="286"/>
      <c r="N924" s="286"/>
      <c r="O924" s="286"/>
      <c r="P924" s="286"/>
      <c r="Q924" s="286"/>
      <c r="R924" s="286"/>
      <c r="S924" s="286"/>
      <c r="T924" s="286"/>
      <c r="U924" s="286"/>
      <c r="V924" s="286"/>
    </row>
    <row r="925" spans="1:22" ht="26.25" customHeight="1" x14ac:dyDescent="0.2">
      <c r="A925" s="286"/>
      <c r="B925" s="286"/>
      <c r="C925" s="286"/>
      <c r="D925" s="286"/>
      <c r="E925" s="286"/>
      <c r="F925" s="286"/>
      <c r="G925" s="286"/>
      <c r="H925" s="286"/>
      <c r="I925" s="286"/>
      <c r="J925" s="286"/>
      <c r="K925" s="286"/>
      <c r="L925" s="286"/>
      <c r="M925" s="286"/>
      <c r="N925" s="286"/>
      <c r="O925" s="286"/>
      <c r="P925" s="286"/>
      <c r="Q925" s="286"/>
      <c r="R925" s="286"/>
      <c r="S925" s="286"/>
      <c r="T925" s="286"/>
      <c r="U925" s="286"/>
      <c r="V925" s="286"/>
    </row>
    <row r="926" spans="1:22" ht="26.25" customHeight="1" x14ac:dyDescent="0.2">
      <c r="A926" s="286"/>
      <c r="B926" s="286"/>
      <c r="C926" s="286"/>
      <c r="D926" s="286"/>
      <c r="E926" s="286"/>
      <c r="F926" s="286"/>
      <c r="G926" s="286"/>
      <c r="H926" s="286"/>
      <c r="I926" s="286"/>
      <c r="J926" s="286"/>
      <c r="K926" s="286"/>
      <c r="L926" s="286"/>
      <c r="M926" s="286"/>
      <c r="N926" s="286"/>
      <c r="O926" s="286"/>
      <c r="P926" s="286"/>
      <c r="Q926" s="286"/>
      <c r="R926" s="286"/>
      <c r="S926" s="286"/>
      <c r="T926" s="286"/>
      <c r="U926" s="286"/>
      <c r="V926" s="286"/>
    </row>
    <row r="927" spans="1:22" ht="26.25" customHeight="1" x14ac:dyDescent="0.2">
      <c r="A927" s="286"/>
      <c r="B927" s="286"/>
      <c r="C927" s="286"/>
      <c r="D927" s="286"/>
      <c r="E927" s="286"/>
      <c r="F927" s="286"/>
      <c r="G927" s="286"/>
      <c r="H927" s="286"/>
      <c r="I927" s="286"/>
      <c r="J927" s="286"/>
      <c r="K927" s="286"/>
      <c r="L927" s="286"/>
      <c r="M927" s="286"/>
      <c r="N927" s="286"/>
      <c r="O927" s="286"/>
      <c r="P927" s="286"/>
      <c r="Q927" s="286"/>
      <c r="R927" s="286"/>
      <c r="S927" s="286"/>
      <c r="T927" s="286"/>
      <c r="U927" s="286"/>
      <c r="V927" s="286"/>
    </row>
    <row r="928" spans="1:22" ht="26.25" customHeight="1" x14ac:dyDescent="0.2">
      <c r="A928" s="286"/>
      <c r="B928" s="286"/>
      <c r="C928" s="286"/>
      <c r="D928" s="286"/>
      <c r="E928" s="286"/>
      <c r="F928" s="286"/>
      <c r="G928" s="286"/>
      <c r="H928" s="286"/>
      <c r="I928" s="286"/>
      <c r="J928" s="286"/>
      <c r="K928" s="286"/>
      <c r="L928" s="286"/>
      <c r="M928" s="286"/>
      <c r="N928" s="286"/>
      <c r="O928" s="286"/>
      <c r="P928" s="286"/>
      <c r="Q928" s="286"/>
      <c r="R928" s="286"/>
      <c r="S928" s="286"/>
      <c r="T928" s="286"/>
      <c r="U928" s="286"/>
      <c r="V928" s="286"/>
    </row>
    <row r="929" spans="1:22" ht="26.25" customHeight="1" x14ac:dyDescent="0.2">
      <c r="A929" s="286"/>
      <c r="B929" s="286"/>
      <c r="C929" s="286"/>
      <c r="D929" s="286"/>
      <c r="E929" s="286"/>
      <c r="F929" s="286"/>
      <c r="G929" s="286"/>
      <c r="H929" s="286"/>
      <c r="I929" s="286"/>
      <c r="J929" s="286"/>
      <c r="K929" s="286"/>
      <c r="L929" s="286"/>
      <c r="M929" s="286"/>
      <c r="N929" s="286"/>
      <c r="O929" s="286"/>
      <c r="P929" s="286"/>
      <c r="Q929" s="286"/>
      <c r="R929" s="286"/>
      <c r="S929" s="286"/>
      <c r="T929" s="286"/>
      <c r="U929" s="286"/>
      <c r="V929" s="286"/>
    </row>
    <row r="930" spans="1:22" ht="26.25" customHeight="1" x14ac:dyDescent="0.2">
      <c r="A930" s="286"/>
      <c r="B930" s="286"/>
      <c r="C930" s="286"/>
      <c r="D930" s="286"/>
      <c r="E930" s="286"/>
      <c r="F930" s="286"/>
      <c r="G930" s="286"/>
      <c r="H930" s="286"/>
      <c r="I930" s="286"/>
      <c r="J930" s="286"/>
      <c r="K930" s="286"/>
      <c r="L930" s="286"/>
      <c r="M930" s="286"/>
      <c r="N930" s="286"/>
      <c r="O930" s="286"/>
      <c r="P930" s="286"/>
      <c r="Q930" s="286"/>
      <c r="R930" s="286"/>
      <c r="S930" s="286"/>
      <c r="T930" s="286"/>
      <c r="U930" s="286"/>
      <c r="V930" s="286"/>
    </row>
    <row r="931" spans="1:22" ht="26.25" customHeight="1" x14ac:dyDescent="0.2">
      <c r="A931" s="286"/>
      <c r="B931" s="286"/>
      <c r="C931" s="286"/>
      <c r="D931" s="286"/>
      <c r="E931" s="286"/>
      <c r="F931" s="286"/>
      <c r="G931" s="286"/>
      <c r="H931" s="286"/>
      <c r="I931" s="286"/>
      <c r="J931" s="286"/>
      <c r="K931" s="286"/>
      <c r="L931" s="286"/>
      <c r="M931" s="286"/>
      <c r="N931" s="286"/>
      <c r="O931" s="286"/>
      <c r="P931" s="286"/>
      <c r="Q931" s="286"/>
      <c r="R931" s="286"/>
      <c r="S931" s="286"/>
      <c r="T931" s="286"/>
      <c r="U931" s="286"/>
      <c r="V931" s="286"/>
    </row>
    <row r="932" spans="1:22" ht="26.25" customHeight="1" x14ac:dyDescent="0.2">
      <c r="A932" s="286"/>
      <c r="B932" s="286"/>
      <c r="C932" s="286"/>
      <c r="D932" s="286"/>
      <c r="E932" s="286"/>
      <c r="F932" s="286"/>
      <c r="G932" s="286"/>
      <c r="H932" s="286"/>
      <c r="I932" s="286"/>
      <c r="J932" s="286"/>
      <c r="K932" s="286"/>
      <c r="L932" s="286"/>
      <c r="M932" s="286"/>
      <c r="N932" s="286"/>
      <c r="O932" s="286"/>
      <c r="P932" s="286"/>
      <c r="Q932" s="286"/>
      <c r="R932" s="286"/>
      <c r="S932" s="286"/>
      <c r="T932" s="286"/>
      <c r="U932" s="286"/>
      <c r="V932" s="286"/>
    </row>
    <row r="933" spans="1:22" ht="26.25" customHeight="1" x14ac:dyDescent="0.2">
      <c r="A933" s="286"/>
      <c r="B933" s="286"/>
      <c r="C933" s="286"/>
      <c r="D933" s="286"/>
      <c r="E933" s="286"/>
      <c r="F933" s="286"/>
      <c r="G933" s="286"/>
      <c r="H933" s="286"/>
      <c r="I933" s="286"/>
      <c r="J933" s="286"/>
      <c r="K933" s="286"/>
      <c r="L933" s="286"/>
      <c r="M933" s="286"/>
      <c r="N933" s="286"/>
      <c r="O933" s="286"/>
      <c r="P933" s="286"/>
      <c r="Q933" s="286"/>
      <c r="R933" s="286"/>
      <c r="S933" s="286"/>
      <c r="T933" s="286"/>
      <c r="U933" s="286"/>
      <c r="V933" s="286"/>
    </row>
    <row r="934" spans="1:22" ht="26.25" customHeight="1" x14ac:dyDescent="0.2">
      <c r="A934" s="286"/>
      <c r="B934" s="286"/>
      <c r="C934" s="286"/>
      <c r="D934" s="286"/>
      <c r="E934" s="286"/>
      <c r="F934" s="286"/>
      <c r="G934" s="286"/>
      <c r="H934" s="286"/>
      <c r="I934" s="286"/>
      <c r="J934" s="286"/>
      <c r="K934" s="286"/>
      <c r="L934" s="286"/>
      <c r="M934" s="286"/>
      <c r="N934" s="286"/>
      <c r="O934" s="286"/>
      <c r="P934" s="286"/>
      <c r="Q934" s="286"/>
      <c r="R934" s="286"/>
      <c r="S934" s="286"/>
      <c r="T934" s="286"/>
      <c r="U934" s="286"/>
      <c r="V934" s="286"/>
    </row>
    <row r="935" spans="1:22" ht="26.25" customHeight="1" x14ac:dyDescent="0.2">
      <c r="A935" s="286"/>
      <c r="B935" s="286"/>
      <c r="C935" s="286"/>
      <c r="D935" s="286"/>
      <c r="E935" s="286"/>
      <c r="F935" s="286"/>
      <c r="G935" s="286"/>
      <c r="H935" s="286"/>
      <c r="I935" s="286"/>
      <c r="J935" s="286"/>
      <c r="K935" s="286"/>
      <c r="L935" s="286"/>
      <c r="M935" s="286"/>
      <c r="N935" s="286"/>
      <c r="O935" s="286"/>
      <c r="P935" s="286"/>
      <c r="Q935" s="286"/>
      <c r="R935" s="286"/>
      <c r="S935" s="286"/>
      <c r="T935" s="286"/>
      <c r="U935" s="286"/>
      <c r="V935" s="286"/>
    </row>
    <row r="936" spans="1:22" ht="26.25" customHeight="1" x14ac:dyDescent="0.2">
      <c r="A936" s="286"/>
      <c r="B936" s="286"/>
      <c r="C936" s="286"/>
      <c r="D936" s="286"/>
      <c r="E936" s="286"/>
      <c r="F936" s="286"/>
      <c r="G936" s="286"/>
      <c r="H936" s="286"/>
      <c r="I936" s="286"/>
      <c r="J936" s="286"/>
      <c r="K936" s="286"/>
      <c r="L936" s="286"/>
      <c r="M936" s="286"/>
      <c r="N936" s="286"/>
      <c r="O936" s="286"/>
      <c r="P936" s="286"/>
      <c r="Q936" s="286"/>
      <c r="R936" s="286"/>
      <c r="S936" s="286"/>
      <c r="T936" s="286"/>
      <c r="U936" s="286"/>
      <c r="V936" s="286"/>
    </row>
    <row r="937" spans="1:22" ht="26.25" customHeight="1" x14ac:dyDescent="0.2">
      <c r="A937" s="286"/>
      <c r="B937" s="286"/>
      <c r="C937" s="286"/>
      <c r="D937" s="286"/>
      <c r="E937" s="286"/>
      <c r="F937" s="286"/>
      <c r="G937" s="286"/>
      <c r="H937" s="286"/>
      <c r="I937" s="286"/>
      <c r="J937" s="286"/>
      <c r="K937" s="286"/>
      <c r="L937" s="286"/>
      <c r="M937" s="286"/>
      <c r="N937" s="286"/>
      <c r="O937" s="286"/>
      <c r="P937" s="286"/>
      <c r="Q937" s="286"/>
      <c r="R937" s="286"/>
      <c r="S937" s="286"/>
      <c r="T937" s="286"/>
      <c r="U937" s="286"/>
      <c r="V937" s="286"/>
    </row>
    <row r="938" spans="1:22" ht="26.25" customHeight="1" x14ac:dyDescent="0.2">
      <c r="A938" s="286"/>
      <c r="B938" s="286"/>
      <c r="C938" s="286"/>
      <c r="D938" s="286"/>
      <c r="E938" s="286"/>
      <c r="F938" s="286"/>
      <c r="G938" s="286"/>
      <c r="H938" s="286"/>
      <c r="I938" s="286"/>
      <c r="J938" s="286"/>
      <c r="K938" s="286"/>
      <c r="L938" s="286"/>
      <c r="M938" s="286"/>
      <c r="N938" s="286"/>
      <c r="O938" s="286"/>
      <c r="P938" s="286"/>
      <c r="Q938" s="286"/>
      <c r="R938" s="286"/>
      <c r="S938" s="286"/>
      <c r="T938" s="286"/>
      <c r="U938" s="286"/>
      <c r="V938" s="286"/>
    </row>
    <row r="939" spans="1:22" ht="26.25" customHeight="1" x14ac:dyDescent="0.2">
      <c r="A939" s="286"/>
      <c r="B939" s="286"/>
      <c r="C939" s="286"/>
      <c r="D939" s="286"/>
      <c r="E939" s="286"/>
      <c r="F939" s="286"/>
      <c r="G939" s="286"/>
      <c r="H939" s="286"/>
      <c r="I939" s="286"/>
      <c r="J939" s="286"/>
      <c r="K939" s="286"/>
      <c r="L939" s="286"/>
      <c r="M939" s="286"/>
      <c r="N939" s="286"/>
      <c r="O939" s="286"/>
      <c r="P939" s="286"/>
      <c r="Q939" s="286"/>
      <c r="R939" s="286"/>
      <c r="S939" s="286"/>
      <c r="T939" s="286"/>
      <c r="U939" s="286"/>
      <c r="V939" s="286"/>
    </row>
    <row r="940" spans="1:22" ht="26.25" customHeight="1" x14ac:dyDescent="0.2">
      <c r="A940" s="286"/>
      <c r="B940" s="286"/>
      <c r="C940" s="286"/>
      <c r="D940" s="286"/>
      <c r="E940" s="286"/>
      <c r="F940" s="286"/>
      <c r="G940" s="286"/>
      <c r="H940" s="286"/>
      <c r="I940" s="286"/>
      <c r="J940" s="286"/>
      <c r="K940" s="286"/>
      <c r="L940" s="286"/>
      <c r="M940" s="286"/>
      <c r="N940" s="286"/>
      <c r="O940" s="286"/>
      <c r="P940" s="286"/>
      <c r="Q940" s="286"/>
      <c r="R940" s="286"/>
      <c r="S940" s="286"/>
      <c r="T940" s="286"/>
      <c r="U940" s="286"/>
      <c r="V940" s="286"/>
    </row>
    <row r="941" spans="1:22" ht="26.25" customHeight="1" x14ac:dyDescent="0.2">
      <c r="A941" s="286"/>
      <c r="B941" s="286"/>
      <c r="C941" s="286"/>
      <c r="D941" s="286"/>
      <c r="E941" s="286"/>
      <c r="F941" s="286"/>
      <c r="G941" s="286"/>
      <c r="H941" s="286"/>
      <c r="I941" s="286"/>
      <c r="J941" s="286"/>
      <c r="K941" s="286"/>
      <c r="L941" s="286"/>
      <c r="M941" s="286"/>
      <c r="N941" s="286"/>
      <c r="O941" s="286"/>
      <c r="P941" s="286"/>
      <c r="Q941" s="286"/>
      <c r="R941" s="286"/>
      <c r="S941" s="286"/>
      <c r="T941" s="286"/>
      <c r="U941" s="286"/>
      <c r="V941" s="286"/>
    </row>
    <row r="942" spans="1:22" ht="26.25" customHeight="1" x14ac:dyDescent="0.2">
      <c r="A942" s="286"/>
      <c r="B942" s="286"/>
      <c r="C942" s="286"/>
      <c r="D942" s="286"/>
      <c r="E942" s="286"/>
      <c r="F942" s="286"/>
      <c r="G942" s="286"/>
      <c r="H942" s="286"/>
      <c r="I942" s="286"/>
      <c r="J942" s="286"/>
      <c r="K942" s="286"/>
      <c r="L942" s="286"/>
      <c r="M942" s="286"/>
      <c r="N942" s="286"/>
      <c r="O942" s="286"/>
      <c r="P942" s="286"/>
      <c r="Q942" s="286"/>
      <c r="R942" s="286"/>
      <c r="S942" s="286"/>
      <c r="T942" s="286"/>
      <c r="U942" s="286"/>
      <c r="V942" s="286"/>
    </row>
    <row r="943" spans="1:22" ht="26.25" customHeight="1" x14ac:dyDescent="0.2">
      <c r="A943" s="286"/>
      <c r="B943" s="286"/>
      <c r="C943" s="286"/>
      <c r="D943" s="286"/>
      <c r="E943" s="286"/>
      <c r="F943" s="286"/>
      <c r="G943" s="286"/>
      <c r="H943" s="286"/>
      <c r="I943" s="286"/>
      <c r="J943" s="286"/>
      <c r="K943" s="286"/>
      <c r="L943" s="286"/>
      <c r="M943" s="286"/>
      <c r="N943" s="286"/>
      <c r="O943" s="286"/>
      <c r="P943" s="286"/>
      <c r="Q943" s="286"/>
      <c r="R943" s="286"/>
      <c r="S943" s="286"/>
      <c r="T943" s="286"/>
      <c r="U943" s="286"/>
      <c r="V943" s="286"/>
    </row>
    <row r="944" spans="1:22" ht="26.25" customHeight="1" x14ac:dyDescent="0.2">
      <c r="A944" s="286"/>
      <c r="B944" s="286"/>
      <c r="C944" s="286"/>
      <c r="D944" s="286"/>
      <c r="E944" s="286"/>
      <c r="F944" s="286"/>
      <c r="G944" s="286"/>
      <c r="H944" s="286"/>
      <c r="I944" s="286"/>
      <c r="J944" s="286"/>
      <c r="K944" s="286"/>
      <c r="L944" s="286"/>
      <c r="M944" s="286"/>
      <c r="N944" s="286"/>
      <c r="O944" s="286"/>
      <c r="P944" s="286"/>
      <c r="Q944" s="286"/>
      <c r="R944" s="286"/>
      <c r="S944" s="286"/>
      <c r="T944" s="286"/>
      <c r="U944" s="286"/>
      <c r="V944" s="286"/>
    </row>
    <row r="945" spans="1:22" ht="26.25" customHeight="1" x14ac:dyDescent="0.2">
      <c r="A945" s="286"/>
      <c r="B945" s="286"/>
      <c r="C945" s="286"/>
      <c r="D945" s="286"/>
      <c r="E945" s="286"/>
      <c r="F945" s="286"/>
      <c r="G945" s="286"/>
      <c r="H945" s="286"/>
      <c r="I945" s="286"/>
      <c r="J945" s="286"/>
      <c r="K945" s="286"/>
      <c r="L945" s="286"/>
      <c r="M945" s="286"/>
      <c r="N945" s="286"/>
      <c r="O945" s="286"/>
      <c r="P945" s="286"/>
      <c r="Q945" s="286"/>
      <c r="R945" s="286"/>
      <c r="S945" s="286"/>
      <c r="T945" s="286"/>
      <c r="U945" s="286"/>
      <c r="V945" s="286"/>
    </row>
    <row r="946" spans="1:22" ht="26.25" customHeight="1" x14ac:dyDescent="0.2">
      <c r="A946" s="286"/>
      <c r="B946" s="286"/>
      <c r="C946" s="286"/>
      <c r="D946" s="286"/>
      <c r="E946" s="286"/>
      <c r="F946" s="286"/>
      <c r="G946" s="286"/>
      <c r="H946" s="286"/>
      <c r="I946" s="286"/>
      <c r="J946" s="286"/>
      <c r="K946" s="286"/>
      <c r="L946" s="286"/>
      <c r="M946" s="286"/>
      <c r="N946" s="286"/>
      <c r="O946" s="286"/>
      <c r="P946" s="286"/>
      <c r="Q946" s="286"/>
      <c r="R946" s="286"/>
      <c r="S946" s="286"/>
      <c r="T946" s="286"/>
      <c r="U946" s="286"/>
      <c r="V946" s="286"/>
    </row>
    <row r="947" spans="1:22" ht="26.25" customHeight="1" x14ac:dyDescent="0.2">
      <c r="A947" s="286"/>
      <c r="B947" s="286"/>
      <c r="C947" s="286"/>
      <c r="D947" s="286"/>
      <c r="E947" s="286"/>
      <c r="F947" s="286"/>
      <c r="G947" s="286"/>
      <c r="H947" s="286"/>
      <c r="I947" s="286"/>
      <c r="J947" s="286"/>
      <c r="K947" s="286"/>
      <c r="L947" s="286"/>
      <c r="M947" s="286"/>
      <c r="N947" s="286"/>
      <c r="O947" s="286"/>
      <c r="P947" s="286"/>
      <c r="Q947" s="286"/>
      <c r="R947" s="286"/>
      <c r="S947" s="286"/>
      <c r="T947" s="286"/>
      <c r="U947" s="286"/>
      <c r="V947" s="286"/>
    </row>
    <row r="948" spans="1:22" ht="26.25" customHeight="1" x14ac:dyDescent="0.2">
      <c r="A948" s="286"/>
      <c r="B948" s="286"/>
      <c r="C948" s="286"/>
      <c r="D948" s="286"/>
      <c r="E948" s="286"/>
      <c r="F948" s="286"/>
      <c r="G948" s="286"/>
      <c r="H948" s="286"/>
      <c r="I948" s="286"/>
      <c r="J948" s="286"/>
      <c r="K948" s="286"/>
      <c r="L948" s="286"/>
      <c r="M948" s="286"/>
      <c r="N948" s="286"/>
      <c r="O948" s="286"/>
      <c r="P948" s="286"/>
      <c r="Q948" s="286"/>
      <c r="R948" s="286"/>
      <c r="S948" s="286"/>
      <c r="T948" s="286"/>
      <c r="U948" s="286"/>
      <c r="V948" s="286"/>
    </row>
    <row r="949" spans="1:22" ht="26.25" customHeight="1" x14ac:dyDescent="0.2">
      <c r="A949" s="286"/>
      <c r="B949" s="286"/>
      <c r="C949" s="286"/>
      <c r="D949" s="286"/>
      <c r="E949" s="286"/>
      <c r="F949" s="286"/>
      <c r="G949" s="286"/>
      <c r="H949" s="286"/>
      <c r="I949" s="286"/>
      <c r="J949" s="286"/>
      <c r="K949" s="286"/>
      <c r="L949" s="286"/>
      <c r="M949" s="286"/>
      <c r="N949" s="286"/>
      <c r="O949" s="286"/>
      <c r="P949" s="286"/>
      <c r="Q949" s="286"/>
      <c r="R949" s="286"/>
      <c r="S949" s="286"/>
      <c r="T949" s="286"/>
      <c r="U949" s="286"/>
      <c r="V949" s="286"/>
    </row>
    <row r="950" spans="1:22" ht="26.25" customHeight="1" x14ac:dyDescent="0.2">
      <c r="A950" s="286"/>
      <c r="B950" s="286"/>
      <c r="C950" s="286"/>
      <c r="D950" s="286"/>
      <c r="E950" s="286"/>
      <c r="F950" s="286"/>
      <c r="G950" s="286"/>
      <c r="H950" s="286"/>
      <c r="I950" s="286"/>
      <c r="J950" s="286"/>
      <c r="K950" s="286"/>
      <c r="L950" s="286"/>
      <c r="M950" s="286"/>
      <c r="N950" s="286"/>
      <c r="O950" s="286"/>
      <c r="P950" s="286"/>
      <c r="Q950" s="286"/>
      <c r="R950" s="286"/>
      <c r="S950" s="286"/>
      <c r="T950" s="286"/>
      <c r="U950" s="286"/>
      <c r="V950" s="286"/>
    </row>
    <row r="951" spans="1:22" ht="26.25" customHeight="1" x14ac:dyDescent="0.2">
      <c r="A951" s="286"/>
      <c r="B951" s="286"/>
      <c r="C951" s="286"/>
      <c r="D951" s="286"/>
      <c r="E951" s="286"/>
      <c r="F951" s="286"/>
      <c r="G951" s="286"/>
      <c r="H951" s="286"/>
      <c r="I951" s="286"/>
      <c r="J951" s="286"/>
      <c r="K951" s="286"/>
      <c r="L951" s="286"/>
      <c r="M951" s="286"/>
      <c r="N951" s="286"/>
      <c r="O951" s="286"/>
      <c r="P951" s="286"/>
      <c r="Q951" s="286"/>
      <c r="R951" s="286"/>
      <c r="S951" s="286"/>
      <c r="T951" s="286"/>
      <c r="U951" s="286"/>
      <c r="V951" s="286"/>
    </row>
    <row r="952" spans="1:22" ht="26.25" customHeight="1" x14ac:dyDescent="0.2">
      <c r="A952" s="286"/>
      <c r="B952" s="286"/>
      <c r="C952" s="286"/>
      <c r="D952" s="286"/>
      <c r="E952" s="286"/>
      <c r="F952" s="286"/>
      <c r="G952" s="286"/>
      <c r="H952" s="286"/>
      <c r="I952" s="286"/>
      <c r="J952" s="286"/>
      <c r="K952" s="286"/>
      <c r="L952" s="286"/>
      <c r="M952" s="286"/>
      <c r="N952" s="286"/>
      <c r="O952" s="286"/>
      <c r="P952" s="286"/>
      <c r="Q952" s="286"/>
      <c r="R952" s="286"/>
      <c r="S952" s="286"/>
      <c r="T952" s="286"/>
      <c r="U952" s="286"/>
      <c r="V952" s="286"/>
    </row>
    <row r="953" spans="1:22" ht="26.25" customHeight="1" x14ac:dyDescent="0.2">
      <c r="A953" s="286"/>
      <c r="B953" s="286"/>
      <c r="C953" s="286"/>
      <c r="D953" s="286"/>
      <c r="E953" s="286"/>
      <c r="F953" s="286"/>
      <c r="G953" s="286"/>
      <c r="H953" s="286"/>
      <c r="I953" s="286"/>
      <c r="J953" s="286"/>
      <c r="K953" s="286"/>
      <c r="L953" s="286"/>
      <c r="M953" s="286"/>
      <c r="N953" s="286"/>
      <c r="O953" s="286"/>
      <c r="P953" s="286"/>
      <c r="Q953" s="286"/>
      <c r="R953" s="286"/>
      <c r="S953" s="286"/>
      <c r="T953" s="286"/>
      <c r="U953" s="286"/>
      <c r="V953" s="286"/>
    </row>
    <row r="954" spans="1:22" ht="26.25" customHeight="1" x14ac:dyDescent="0.2">
      <c r="A954" s="286"/>
      <c r="B954" s="286"/>
      <c r="C954" s="286"/>
      <c r="D954" s="286"/>
      <c r="E954" s="286"/>
      <c r="F954" s="286"/>
      <c r="G954" s="286"/>
      <c r="H954" s="286"/>
      <c r="I954" s="286"/>
      <c r="J954" s="286"/>
      <c r="K954" s="286"/>
      <c r="L954" s="286"/>
      <c r="M954" s="286"/>
      <c r="N954" s="286"/>
      <c r="O954" s="286"/>
      <c r="P954" s="286"/>
      <c r="Q954" s="286"/>
      <c r="R954" s="286"/>
      <c r="S954" s="286"/>
      <c r="T954" s="286"/>
      <c r="U954" s="286"/>
      <c r="V954" s="286"/>
    </row>
    <row r="955" spans="1:22" ht="26.25" customHeight="1" x14ac:dyDescent="0.2">
      <c r="A955" s="286"/>
      <c r="B955" s="286"/>
      <c r="C955" s="286"/>
      <c r="D955" s="286"/>
      <c r="E955" s="286"/>
      <c r="F955" s="286"/>
      <c r="G955" s="286"/>
      <c r="H955" s="286"/>
      <c r="I955" s="286"/>
      <c r="J955" s="286"/>
      <c r="K955" s="286"/>
      <c r="L955" s="286"/>
      <c r="M955" s="286"/>
      <c r="N955" s="286"/>
      <c r="O955" s="286"/>
      <c r="P955" s="286"/>
      <c r="Q955" s="286"/>
      <c r="R955" s="286"/>
      <c r="S955" s="286"/>
      <c r="T955" s="286"/>
      <c r="U955" s="286"/>
      <c r="V955" s="286"/>
    </row>
    <row r="956" spans="1:22" ht="26.25" customHeight="1" x14ac:dyDescent="0.2">
      <c r="A956" s="286"/>
      <c r="B956" s="286"/>
      <c r="C956" s="286"/>
      <c r="D956" s="286"/>
      <c r="E956" s="286"/>
      <c r="F956" s="286"/>
      <c r="G956" s="286"/>
      <c r="H956" s="286"/>
      <c r="I956" s="286"/>
      <c r="J956" s="286"/>
      <c r="K956" s="286"/>
      <c r="L956" s="286"/>
      <c r="M956" s="286"/>
      <c r="N956" s="286"/>
      <c r="O956" s="286"/>
      <c r="P956" s="286"/>
      <c r="Q956" s="286"/>
      <c r="R956" s="286"/>
      <c r="S956" s="286"/>
      <c r="T956" s="286"/>
      <c r="U956" s="286"/>
      <c r="V956" s="286"/>
    </row>
    <row r="957" spans="1:22" ht="26.25" customHeight="1" x14ac:dyDescent="0.2">
      <c r="A957" s="286"/>
      <c r="B957" s="286"/>
      <c r="C957" s="286"/>
      <c r="D957" s="286"/>
      <c r="E957" s="286"/>
      <c r="F957" s="286"/>
      <c r="G957" s="286"/>
      <c r="H957" s="286"/>
      <c r="I957" s="286"/>
      <c r="J957" s="286"/>
      <c r="K957" s="286"/>
      <c r="L957" s="286"/>
      <c r="M957" s="286"/>
      <c r="N957" s="286"/>
      <c r="O957" s="286"/>
      <c r="P957" s="286"/>
      <c r="Q957" s="286"/>
      <c r="R957" s="286"/>
      <c r="S957" s="286"/>
      <c r="T957" s="286"/>
      <c r="U957" s="286"/>
      <c r="V957" s="286"/>
    </row>
    <row r="958" spans="1:22" ht="26.25" customHeight="1" x14ac:dyDescent="0.2">
      <c r="A958" s="286"/>
      <c r="B958" s="286"/>
      <c r="C958" s="286"/>
      <c r="D958" s="286"/>
      <c r="E958" s="286"/>
      <c r="F958" s="286"/>
      <c r="G958" s="286"/>
      <c r="H958" s="286"/>
      <c r="I958" s="286"/>
      <c r="J958" s="286"/>
      <c r="K958" s="286"/>
      <c r="L958" s="286"/>
      <c r="M958" s="286"/>
      <c r="N958" s="286"/>
      <c r="O958" s="286"/>
      <c r="P958" s="286"/>
      <c r="Q958" s="286"/>
      <c r="R958" s="286"/>
      <c r="S958" s="286"/>
      <c r="T958" s="286"/>
      <c r="U958" s="286"/>
      <c r="V958" s="286"/>
    </row>
    <row r="959" spans="1:22" ht="26.25" customHeight="1" x14ac:dyDescent="0.2">
      <c r="A959" s="286"/>
      <c r="B959" s="286"/>
      <c r="C959" s="286"/>
      <c r="D959" s="286"/>
      <c r="E959" s="286"/>
      <c r="F959" s="286"/>
      <c r="G959" s="286"/>
      <c r="H959" s="286"/>
      <c r="I959" s="286"/>
      <c r="J959" s="286"/>
      <c r="K959" s="286"/>
      <c r="L959" s="286"/>
      <c r="M959" s="286"/>
      <c r="N959" s="286"/>
      <c r="O959" s="286"/>
      <c r="P959" s="286"/>
      <c r="Q959" s="286"/>
      <c r="R959" s="286"/>
      <c r="S959" s="286"/>
      <c r="T959" s="286"/>
      <c r="U959" s="286"/>
      <c r="V959" s="286"/>
    </row>
    <row r="960" spans="1:22" ht="26.25" customHeight="1" x14ac:dyDescent="0.2">
      <c r="A960" s="286"/>
      <c r="B960" s="286"/>
      <c r="C960" s="286"/>
      <c r="D960" s="286"/>
      <c r="E960" s="286"/>
      <c r="F960" s="286"/>
      <c r="G960" s="286"/>
      <c r="H960" s="286"/>
      <c r="I960" s="286"/>
      <c r="J960" s="286"/>
      <c r="K960" s="286"/>
      <c r="L960" s="286"/>
      <c r="M960" s="286"/>
      <c r="N960" s="286"/>
      <c r="O960" s="286"/>
      <c r="P960" s="286"/>
      <c r="Q960" s="286"/>
      <c r="R960" s="286"/>
      <c r="S960" s="286"/>
      <c r="T960" s="286"/>
      <c r="U960" s="286"/>
      <c r="V960" s="286"/>
    </row>
    <row r="961" spans="1:22" ht="26.25" customHeight="1" x14ac:dyDescent="0.2">
      <c r="A961" s="286"/>
      <c r="B961" s="286"/>
      <c r="C961" s="286"/>
      <c r="D961" s="286"/>
      <c r="E961" s="286"/>
      <c r="F961" s="286"/>
      <c r="G961" s="286"/>
      <c r="H961" s="286"/>
      <c r="I961" s="286"/>
      <c r="J961" s="286"/>
      <c r="K961" s="286"/>
      <c r="L961" s="286"/>
      <c r="M961" s="286"/>
      <c r="N961" s="286"/>
      <c r="O961" s="286"/>
      <c r="P961" s="286"/>
      <c r="Q961" s="286"/>
      <c r="R961" s="286"/>
      <c r="S961" s="286"/>
      <c r="T961" s="286"/>
      <c r="U961" s="286"/>
      <c r="V961" s="286"/>
    </row>
    <row r="962" spans="1:22" ht="26.25" customHeight="1" x14ac:dyDescent="0.2">
      <c r="A962" s="286"/>
      <c r="B962" s="286"/>
      <c r="C962" s="286"/>
      <c r="D962" s="286"/>
      <c r="E962" s="286"/>
      <c r="F962" s="286"/>
      <c r="G962" s="286"/>
      <c r="H962" s="286"/>
      <c r="I962" s="286"/>
      <c r="J962" s="286"/>
      <c r="K962" s="286"/>
      <c r="L962" s="286"/>
      <c r="M962" s="286"/>
      <c r="N962" s="286"/>
      <c r="O962" s="286"/>
      <c r="P962" s="286"/>
      <c r="Q962" s="286"/>
      <c r="R962" s="286"/>
      <c r="S962" s="286"/>
      <c r="T962" s="286"/>
      <c r="U962" s="286"/>
      <c r="V962" s="286"/>
    </row>
    <row r="963" spans="1:22" ht="26.25" customHeight="1" x14ac:dyDescent="0.2">
      <c r="A963" s="286"/>
      <c r="B963" s="286"/>
      <c r="C963" s="286"/>
      <c r="D963" s="286"/>
      <c r="E963" s="286"/>
      <c r="F963" s="286"/>
      <c r="G963" s="286"/>
      <c r="H963" s="286"/>
      <c r="I963" s="286"/>
      <c r="J963" s="286"/>
      <c r="K963" s="286"/>
      <c r="L963" s="286"/>
      <c r="M963" s="286"/>
      <c r="N963" s="286"/>
      <c r="O963" s="286"/>
      <c r="P963" s="286"/>
      <c r="Q963" s="286"/>
      <c r="R963" s="286"/>
      <c r="S963" s="286"/>
      <c r="T963" s="286"/>
      <c r="U963" s="286"/>
      <c r="V963" s="286"/>
    </row>
    <row r="964" spans="1:22" ht="26.25" customHeight="1" x14ac:dyDescent="0.2">
      <c r="A964" s="286"/>
      <c r="B964" s="286"/>
      <c r="C964" s="286"/>
      <c r="D964" s="286"/>
      <c r="E964" s="286"/>
      <c r="F964" s="286"/>
      <c r="G964" s="286"/>
      <c r="H964" s="286"/>
      <c r="I964" s="286"/>
      <c r="J964" s="286"/>
      <c r="K964" s="286"/>
      <c r="L964" s="286"/>
      <c r="M964" s="286"/>
      <c r="N964" s="286"/>
      <c r="O964" s="286"/>
      <c r="P964" s="286"/>
      <c r="Q964" s="286"/>
      <c r="R964" s="286"/>
      <c r="S964" s="286"/>
      <c r="T964" s="286"/>
      <c r="U964" s="286"/>
      <c r="V964" s="286"/>
    </row>
    <row r="965" spans="1:22" ht="26.25" customHeight="1" x14ac:dyDescent="0.2">
      <c r="A965" s="286"/>
      <c r="B965" s="286"/>
      <c r="C965" s="286"/>
      <c r="D965" s="286"/>
      <c r="E965" s="286"/>
      <c r="F965" s="286"/>
      <c r="G965" s="286"/>
      <c r="H965" s="286"/>
      <c r="I965" s="286"/>
      <c r="J965" s="286"/>
      <c r="K965" s="286"/>
      <c r="L965" s="286"/>
      <c r="M965" s="286"/>
      <c r="N965" s="286"/>
      <c r="O965" s="286"/>
      <c r="P965" s="286"/>
      <c r="Q965" s="286"/>
      <c r="R965" s="286"/>
      <c r="S965" s="286"/>
      <c r="T965" s="286"/>
      <c r="U965" s="286"/>
      <c r="V965" s="286"/>
    </row>
    <row r="966" spans="1:22" ht="26.25" customHeight="1" x14ac:dyDescent="0.2">
      <c r="A966" s="286"/>
      <c r="B966" s="286"/>
      <c r="C966" s="286"/>
      <c r="D966" s="286"/>
      <c r="E966" s="286"/>
      <c r="F966" s="286"/>
      <c r="G966" s="286"/>
      <c r="H966" s="286"/>
      <c r="I966" s="286"/>
      <c r="J966" s="286"/>
      <c r="K966" s="286"/>
      <c r="L966" s="286"/>
      <c r="M966" s="286"/>
      <c r="N966" s="286"/>
      <c r="O966" s="286"/>
      <c r="P966" s="286"/>
      <c r="Q966" s="286"/>
      <c r="R966" s="286"/>
      <c r="S966" s="286"/>
      <c r="T966" s="286"/>
      <c r="U966" s="286"/>
      <c r="V966" s="286"/>
    </row>
    <row r="967" spans="1:22" ht="26.25" customHeight="1" x14ac:dyDescent="0.2">
      <c r="A967" s="286"/>
      <c r="B967" s="286"/>
      <c r="C967" s="286"/>
      <c r="D967" s="286"/>
      <c r="E967" s="286"/>
      <c r="F967" s="286"/>
      <c r="G967" s="286"/>
      <c r="H967" s="286"/>
      <c r="I967" s="286"/>
      <c r="J967" s="286"/>
      <c r="K967" s="286"/>
      <c r="L967" s="286"/>
      <c r="M967" s="286"/>
      <c r="N967" s="286"/>
      <c r="O967" s="286"/>
      <c r="P967" s="286"/>
      <c r="Q967" s="286"/>
      <c r="R967" s="286"/>
      <c r="S967" s="286"/>
      <c r="T967" s="286"/>
      <c r="U967" s="286"/>
      <c r="V967" s="286"/>
    </row>
    <row r="968" spans="1:22" ht="26.25" customHeight="1" x14ac:dyDescent="0.2">
      <c r="A968" s="286"/>
      <c r="B968" s="286"/>
      <c r="C968" s="286"/>
      <c r="D968" s="286"/>
      <c r="E968" s="286"/>
      <c r="F968" s="286"/>
      <c r="G968" s="286"/>
      <c r="H968" s="286"/>
      <c r="I968" s="286"/>
      <c r="J968" s="286"/>
      <c r="K968" s="286"/>
      <c r="L968" s="286"/>
      <c r="M968" s="286"/>
      <c r="N968" s="286"/>
      <c r="O968" s="286"/>
      <c r="P968" s="286"/>
      <c r="Q968" s="286"/>
      <c r="R968" s="286"/>
      <c r="S968" s="286"/>
      <c r="T968" s="286"/>
      <c r="U968" s="286"/>
      <c r="V968" s="286"/>
    </row>
    <row r="969" spans="1:22" ht="26.25" customHeight="1" x14ac:dyDescent="0.2">
      <c r="A969" s="286"/>
      <c r="B969" s="286"/>
      <c r="C969" s="286"/>
      <c r="D969" s="286"/>
      <c r="E969" s="286"/>
      <c r="F969" s="286"/>
      <c r="G969" s="286"/>
      <c r="H969" s="286"/>
      <c r="I969" s="286"/>
      <c r="J969" s="286"/>
      <c r="K969" s="286"/>
      <c r="L969" s="286"/>
      <c r="M969" s="286"/>
      <c r="N969" s="286"/>
      <c r="O969" s="286"/>
      <c r="P969" s="286"/>
      <c r="Q969" s="286"/>
      <c r="R969" s="286"/>
      <c r="S969" s="286"/>
      <c r="T969" s="286"/>
      <c r="U969" s="286"/>
      <c r="V969" s="286"/>
    </row>
    <row r="970" spans="1:22" ht="26.25" customHeight="1" x14ac:dyDescent="0.2">
      <c r="A970" s="286"/>
      <c r="B970" s="286"/>
      <c r="C970" s="286"/>
      <c r="D970" s="286"/>
      <c r="E970" s="286"/>
      <c r="F970" s="286"/>
      <c r="G970" s="286"/>
      <c r="H970" s="286"/>
      <c r="I970" s="286"/>
      <c r="J970" s="286"/>
      <c r="K970" s="286"/>
      <c r="L970" s="286"/>
      <c r="M970" s="286"/>
      <c r="N970" s="286"/>
      <c r="O970" s="286"/>
      <c r="P970" s="286"/>
      <c r="Q970" s="286"/>
      <c r="R970" s="286"/>
      <c r="S970" s="286"/>
      <c r="T970" s="286"/>
      <c r="U970" s="286"/>
      <c r="V970" s="286"/>
    </row>
    <row r="971" spans="1:22" ht="26.25" customHeight="1" x14ac:dyDescent="0.2">
      <c r="A971" s="286"/>
      <c r="B971" s="286"/>
      <c r="C971" s="286"/>
      <c r="D971" s="286"/>
      <c r="E971" s="286"/>
      <c r="F971" s="286"/>
      <c r="G971" s="286"/>
      <c r="H971" s="286"/>
      <c r="I971" s="286"/>
      <c r="J971" s="286"/>
      <c r="K971" s="286"/>
      <c r="L971" s="286"/>
      <c r="M971" s="286"/>
      <c r="N971" s="286"/>
      <c r="O971" s="286"/>
      <c r="P971" s="286"/>
      <c r="Q971" s="286"/>
      <c r="R971" s="286"/>
      <c r="S971" s="286"/>
      <c r="T971" s="286"/>
      <c r="U971" s="286"/>
      <c r="V971" s="286"/>
    </row>
    <row r="972" spans="1:22" ht="26.25" customHeight="1" x14ac:dyDescent="0.2">
      <c r="A972" s="286"/>
      <c r="B972" s="286"/>
      <c r="C972" s="286"/>
      <c r="D972" s="286"/>
      <c r="E972" s="286"/>
      <c r="F972" s="286"/>
      <c r="G972" s="286"/>
      <c r="H972" s="286"/>
      <c r="I972" s="286"/>
      <c r="J972" s="286"/>
      <c r="K972" s="286"/>
      <c r="L972" s="286"/>
      <c r="M972" s="286"/>
      <c r="N972" s="286"/>
      <c r="O972" s="286"/>
      <c r="P972" s="286"/>
      <c r="Q972" s="286"/>
      <c r="R972" s="286"/>
      <c r="S972" s="286"/>
      <c r="T972" s="286"/>
      <c r="U972" s="286"/>
      <c r="V972" s="286"/>
    </row>
    <row r="973" spans="1:22" ht="26.25" customHeight="1" x14ac:dyDescent="0.2">
      <c r="A973" s="286"/>
      <c r="B973" s="286"/>
      <c r="C973" s="286"/>
      <c r="D973" s="286"/>
      <c r="E973" s="286"/>
      <c r="F973" s="286"/>
      <c r="G973" s="286"/>
      <c r="H973" s="286"/>
      <c r="I973" s="286"/>
      <c r="J973" s="286"/>
      <c r="K973" s="286"/>
      <c r="L973" s="286"/>
      <c r="M973" s="286"/>
      <c r="N973" s="286"/>
      <c r="O973" s="286"/>
      <c r="P973" s="286"/>
      <c r="Q973" s="286"/>
      <c r="R973" s="286"/>
      <c r="S973" s="286"/>
      <c r="T973" s="286"/>
      <c r="U973" s="286"/>
      <c r="V973" s="286"/>
    </row>
    <row r="974" spans="1:22" ht="26.25" customHeight="1" x14ac:dyDescent="0.2">
      <c r="A974" s="286"/>
      <c r="B974" s="286"/>
      <c r="C974" s="286"/>
      <c r="D974" s="286"/>
      <c r="E974" s="286"/>
      <c r="F974" s="286"/>
      <c r="G974" s="286"/>
      <c r="H974" s="286"/>
      <c r="I974" s="286"/>
      <c r="J974" s="286"/>
      <c r="K974" s="286"/>
      <c r="L974" s="286"/>
      <c r="M974" s="286"/>
      <c r="N974" s="286"/>
      <c r="O974" s="286"/>
      <c r="P974" s="286"/>
      <c r="Q974" s="286"/>
      <c r="R974" s="286"/>
      <c r="S974" s="286"/>
      <c r="T974" s="286"/>
      <c r="U974" s="286"/>
      <c r="V974" s="286"/>
    </row>
    <row r="975" spans="1:22" ht="26.25" customHeight="1" x14ac:dyDescent="0.2">
      <c r="A975" s="286"/>
      <c r="B975" s="286"/>
      <c r="C975" s="286"/>
      <c r="D975" s="286"/>
      <c r="E975" s="286"/>
      <c r="F975" s="286"/>
      <c r="G975" s="286"/>
      <c r="H975" s="286"/>
      <c r="I975" s="286"/>
      <c r="J975" s="286"/>
      <c r="K975" s="286"/>
      <c r="L975" s="286"/>
      <c r="M975" s="286"/>
      <c r="N975" s="286"/>
      <c r="O975" s="286"/>
      <c r="P975" s="286"/>
      <c r="Q975" s="286"/>
      <c r="R975" s="286"/>
      <c r="S975" s="286"/>
      <c r="T975" s="286"/>
      <c r="U975" s="286"/>
      <c r="V975" s="286"/>
    </row>
    <row r="976" spans="1:22" ht="26.25" customHeight="1" x14ac:dyDescent="0.2">
      <c r="A976" s="286"/>
      <c r="B976" s="286"/>
      <c r="C976" s="286"/>
      <c r="D976" s="286"/>
      <c r="E976" s="286"/>
      <c r="F976" s="286"/>
      <c r="G976" s="286"/>
      <c r="H976" s="286"/>
      <c r="I976" s="286"/>
      <c r="J976" s="286"/>
      <c r="K976" s="286"/>
      <c r="L976" s="286"/>
      <c r="M976" s="286"/>
      <c r="N976" s="286"/>
      <c r="O976" s="286"/>
      <c r="P976" s="286"/>
      <c r="Q976" s="286"/>
      <c r="R976" s="286"/>
      <c r="S976" s="286"/>
      <c r="T976" s="286"/>
      <c r="U976" s="286"/>
      <c r="V976" s="286"/>
    </row>
    <row r="977" spans="1:22" ht="26.25" customHeight="1" x14ac:dyDescent="0.2">
      <c r="A977" s="286"/>
      <c r="B977" s="286"/>
      <c r="C977" s="286"/>
      <c r="D977" s="286"/>
      <c r="E977" s="286"/>
      <c r="F977" s="286"/>
      <c r="G977" s="286"/>
      <c r="H977" s="286"/>
      <c r="I977" s="286"/>
      <c r="J977" s="286"/>
      <c r="K977" s="286"/>
      <c r="L977" s="286"/>
      <c r="M977" s="286"/>
      <c r="N977" s="286"/>
      <c r="O977" s="286"/>
      <c r="P977" s="286"/>
      <c r="Q977" s="286"/>
      <c r="R977" s="286"/>
      <c r="S977" s="286"/>
      <c r="T977" s="286"/>
      <c r="U977" s="286"/>
      <c r="V977" s="286"/>
    </row>
    <row r="978" spans="1:22" ht="26.25" customHeight="1" x14ac:dyDescent="0.2">
      <c r="A978" s="286"/>
      <c r="B978" s="286"/>
      <c r="C978" s="286"/>
      <c r="D978" s="286"/>
      <c r="E978" s="286"/>
      <c r="F978" s="286"/>
      <c r="G978" s="286"/>
      <c r="H978" s="286"/>
      <c r="I978" s="286"/>
      <c r="J978" s="286"/>
      <c r="K978" s="286"/>
      <c r="L978" s="286"/>
      <c r="M978" s="286"/>
      <c r="N978" s="286"/>
      <c r="O978" s="286"/>
      <c r="P978" s="286"/>
      <c r="Q978" s="286"/>
      <c r="R978" s="286"/>
      <c r="S978" s="286"/>
      <c r="T978" s="286"/>
      <c r="U978" s="286"/>
      <c r="V978" s="286"/>
    </row>
    <row r="979" spans="1:22" ht="26.25" customHeight="1" x14ac:dyDescent="0.2">
      <c r="A979" s="286"/>
      <c r="B979" s="286"/>
      <c r="C979" s="286"/>
      <c r="D979" s="286"/>
      <c r="E979" s="286"/>
      <c r="F979" s="286"/>
      <c r="G979" s="286"/>
      <c r="H979" s="286"/>
      <c r="I979" s="286"/>
      <c r="J979" s="286"/>
      <c r="K979" s="286"/>
      <c r="L979" s="286"/>
      <c r="M979" s="286"/>
      <c r="N979" s="286"/>
      <c r="O979" s="286"/>
      <c r="P979" s="286"/>
      <c r="Q979" s="286"/>
      <c r="R979" s="286"/>
      <c r="S979" s="286"/>
      <c r="T979" s="286"/>
      <c r="U979" s="286"/>
      <c r="V979" s="286"/>
    </row>
    <row r="980" spans="1:22" ht="26.25" customHeight="1" x14ac:dyDescent="0.2">
      <c r="A980" s="286"/>
      <c r="B980" s="286"/>
      <c r="C980" s="286"/>
      <c r="D980" s="286"/>
      <c r="E980" s="286"/>
      <c r="F980" s="286"/>
      <c r="G980" s="286"/>
      <c r="H980" s="286"/>
      <c r="I980" s="286"/>
      <c r="J980" s="286"/>
      <c r="K980" s="286"/>
      <c r="L980" s="286"/>
      <c r="M980" s="286"/>
      <c r="N980" s="286"/>
      <c r="O980" s="286"/>
      <c r="P980" s="286"/>
      <c r="Q980" s="286"/>
      <c r="R980" s="286"/>
      <c r="S980" s="286"/>
      <c r="T980" s="286"/>
      <c r="U980" s="286"/>
      <c r="V980" s="286"/>
    </row>
    <row r="981" spans="1:22" ht="26.25" customHeight="1" x14ac:dyDescent="0.2">
      <c r="A981" s="286"/>
      <c r="B981" s="286"/>
      <c r="C981" s="286"/>
      <c r="D981" s="286"/>
      <c r="E981" s="286"/>
      <c r="F981" s="286"/>
      <c r="G981" s="286"/>
      <c r="H981" s="286"/>
      <c r="I981" s="286"/>
      <c r="J981" s="286"/>
      <c r="K981" s="286"/>
      <c r="L981" s="286"/>
      <c r="M981" s="286"/>
      <c r="N981" s="286"/>
      <c r="O981" s="286"/>
      <c r="P981" s="286"/>
      <c r="Q981" s="286"/>
      <c r="R981" s="286"/>
      <c r="S981" s="286"/>
      <c r="T981" s="286"/>
      <c r="U981" s="286"/>
      <c r="V981" s="286"/>
    </row>
    <row r="982" spans="1:22" ht="26.25" customHeight="1" x14ac:dyDescent="0.2">
      <c r="A982" s="286"/>
      <c r="B982" s="286"/>
      <c r="C982" s="286"/>
      <c r="D982" s="286"/>
      <c r="E982" s="286"/>
      <c r="F982" s="286"/>
      <c r="G982" s="286"/>
      <c r="H982" s="286"/>
      <c r="I982" s="286"/>
      <c r="J982" s="286"/>
      <c r="K982" s="286"/>
      <c r="L982" s="286"/>
      <c r="M982" s="286"/>
      <c r="N982" s="286"/>
      <c r="O982" s="286"/>
      <c r="P982" s="286"/>
      <c r="Q982" s="286"/>
      <c r="R982" s="286"/>
      <c r="S982" s="286"/>
      <c r="T982" s="286"/>
      <c r="U982" s="286"/>
      <c r="V982" s="286"/>
    </row>
    <row r="983" spans="1:22" ht="26.25" customHeight="1" x14ac:dyDescent="0.2">
      <c r="A983" s="286"/>
      <c r="B983" s="286"/>
      <c r="C983" s="286"/>
      <c r="D983" s="286"/>
      <c r="E983" s="286"/>
      <c r="F983" s="286"/>
      <c r="G983" s="286"/>
      <c r="H983" s="286"/>
      <c r="I983" s="286"/>
      <c r="J983" s="286"/>
      <c r="K983" s="286"/>
      <c r="L983" s="286"/>
      <c r="M983" s="286"/>
      <c r="N983" s="286"/>
      <c r="O983" s="286"/>
      <c r="P983" s="286"/>
      <c r="Q983" s="286"/>
      <c r="R983" s="286"/>
      <c r="S983" s="286"/>
      <c r="T983" s="286"/>
      <c r="U983" s="286"/>
      <c r="V983" s="286"/>
    </row>
    <row r="984" spans="1:22" ht="26.25" customHeight="1" x14ac:dyDescent="0.2">
      <c r="A984" s="286"/>
      <c r="B984" s="286"/>
      <c r="C984" s="286"/>
      <c r="D984" s="286"/>
      <c r="E984" s="286"/>
      <c r="F984" s="286"/>
      <c r="G984" s="286"/>
      <c r="H984" s="286"/>
      <c r="I984" s="286"/>
      <c r="J984" s="286"/>
      <c r="K984" s="286"/>
      <c r="L984" s="286"/>
      <c r="M984" s="286"/>
      <c r="N984" s="286"/>
      <c r="O984" s="286"/>
      <c r="P984" s="286"/>
      <c r="Q984" s="286"/>
      <c r="R984" s="286"/>
      <c r="S984" s="286"/>
      <c r="T984" s="286"/>
      <c r="U984" s="286"/>
      <c r="V984" s="286"/>
    </row>
    <row r="985" spans="1:22" ht="26.25" customHeight="1" x14ac:dyDescent="0.2">
      <c r="A985" s="286"/>
      <c r="B985" s="286"/>
      <c r="C985" s="286"/>
      <c r="D985" s="286"/>
      <c r="E985" s="286"/>
      <c r="F985" s="286"/>
      <c r="G985" s="286"/>
      <c r="H985" s="286"/>
      <c r="I985" s="286"/>
      <c r="J985" s="286"/>
      <c r="K985" s="286"/>
      <c r="L985" s="286"/>
      <c r="M985" s="286"/>
      <c r="N985" s="286"/>
      <c r="O985" s="286"/>
      <c r="P985" s="286"/>
      <c r="Q985" s="286"/>
      <c r="R985" s="286"/>
      <c r="S985" s="286"/>
      <c r="T985" s="286"/>
      <c r="U985" s="286"/>
      <c r="V985" s="286"/>
    </row>
    <row r="986" spans="1:22" ht="26.25" customHeight="1" x14ac:dyDescent="0.2">
      <c r="A986" s="286"/>
      <c r="B986" s="286"/>
      <c r="C986" s="286"/>
      <c r="D986" s="286"/>
      <c r="E986" s="286"/>
      <c r="F986" s="286"/>
      <c r="G986" s="286"/>
      <c r="H986" s="286"/>
      <c r="I986" s="286"/>
      <c r="J986" s="286"/>
      <c r="K986" s="286"/>
      <c r="L986" s="286"/>
      <c r="M986" s="286"/>
      <c r="N986" s="286"/>
      <c r="O986" s="286"/>
      <c r="P986" s="286"/>
      <c r="Q986" s="286"/>
      <c r="R986" s="286"/>
      <c r="S986" s="286"/>
      <c r="T986" s="286"/>
      <c r="U986" s="286"/>
      <c r="V986" s="286"/>
    </row>
    <row r="987" spans="1:22" ht="26.25" customHeight="1" x14ac:dyDescent="0.2">
      <c r="A987" s="286"/>
      <c r="B987" s="286"/>
      <c r="C987" s="286"/>
      <c r="D987" s="286"/>
      <c r="E987" s="286"/>
      <c r="F987" s="286"/>
      <c r="G987" s="286"/>
      <c r="H987" s="286"/>
      <c r="I987" s="286"/>
      <c r="J987" s="286"/>
      <c r="K987" s="286"/>
      <c r="L987" s="286"/>
      <c r="M987" s="286"/>
      <c r="N987" s="286"/>
      <c r="O987" s="286"/>
      <c r="P987" s="286"/>
      <c r="Q987" s="286"/>
      <c r="R987" s="286"/>
      <c r="S987" s="286"/>
      <c r="T987" s="286"/>
      <c r="U987" s="286"/>
      <c r="V987" s="286"/>
    </row>
    <row r="988" spans="1:22" ht="26.25" customHeight="1" x14ac:dyDescent="0.2">
      <c r="A988" s="286"/>
      <c r="B988" s="286"/>
      <c r="C988" s="286"/>
      <c r="D988" s="286"/>
      <c r="E988" s="286"/>
      <c r="F988" s="286"/>
      <c r="G988" s="286"/>
      <c r="H988" s="286"/>
      <c r="I988" s="286"/>
      <c r="J988" s="286"/>
      <c r="K988" s="286"/>
      <c r="L988" s="286"/>
      <c r="M988" s="286"/>
      <c r="N988" s="286"/>
      <c r="O988" s="286"/>
      <c r="P988" s="286"/>
      <c r="Q988" s="286"/>
      <c r="R988" s="286"/>
      <c r="S988" s="286"/>
      <c r="T988" s="286"/>
      <c r="U988" s="286"/>
      <c r="V988" s="286"/>
    </row>
    <row r="989" spans="1:22" ht="26.25" customHeight="1" x14ac:dyDescent="0.2">
      <c r="A989" s="286"/>
      <c r="B989" s="286"/>
      <c r="C989" s="286"/>
      <c r="D989" s="286"/>
      <c r="E989" s="286"/>
      <c r="F989" s="286"/>
      <c r="G989" s="286"/>
      <c r="H989" s="286"/>
      <c r="I989" s="286"/>
      <c r="J989" s="286"/>
      <c r="K989" s="286"/>
      <c r="L989" s="286"/>
      <c r="M989" s="286"/>
      <c r="N989" s="286"/>
      <c r="O989" s="286"/>
      <c r="P989" s="286"/>
      <c r="Q989" s="286"/>
      <c r="R989" s="286"/>
      <c r="S989" s="286"/>
      <c r="T989" s="286"/>
      <c r="U989" s="286"/>
      <c r="V989" s="286"/>
    </row>
    <row r="990" spans="1:22" ht="26.25" customHeight="1" x14ac:dyDescent="0.2">
      <c r="A990" s="286"/>
      <c r="B990" s="286"/>
      <c r="C990" s="286"/>
      <c r="D990" s="286"/>
      <c r="E990" s="286"/>
      <c r="F990" s="286"/>
      <c r="G990" s="286"/>
      <c r="H990" s="286"/>
      <c r="I990" s="286"/>
      <c r="J990" s="286"/>
      <c r="K990" s="286"/>
      <c r="L990" s="286"/>
      <c r="M990" s="286"/>
      <c r="N990" s="286"/>
      <c r="O990" s="286"/>
      <c r="P990" s="286"/>
      <c r="Q990" s="286"/>
      <c r="R990" s="286"/>
      <c r="S990" s="286"/>
      <c r="T990" s="286"/>
      <c r="U990" s="286"/>
      <c r="V990" s="286"/>
    </row>
    <row r="991" spans="1:22" ht="26.25" customHeight="1" x14ac:dyDescent="0.2">
      <c r="A991" s="286"/>
      <c r="B991" s="286"/>
      <c r="C991" s="286"/>
      <c r="D991" s="286"/>
      <c r="E991" s="286"/>
      <c r="F991" s="286"/>
      <c r="G991" s="286"/>
      <c r="H991" s="286"/>
      <c r="I991" s="286"/>
      <c r="J991" s="286"/>
      <c r="K991" s="286"/>
      <c r="L991" s="286"/>
      <c r="M991" s="286"/>
      <c r="N991" s="286"/>
      <c r="O991" s="286"/>
      <c r="P991" s="286"/>
      <c r="Q991" s="286"/>
      <c r="R991" s="286"/>
      <c r="S991" s="286"/>
      <c r="T991" s="286"/>
      <c r="U991" s="286"/>
      <c r="V991" s="286"/>
    </row>
    <row r="992" spans="1:22" ht="26.25" customHeight="1" x14ac:dyDescent="0.2">
      <c r="A992" s="286"/>
      <c r="B992" s="286"/>
      <c r="C992" s="286"/>
      <c r="D992" s="286"/>
      <c r="E992" s="286"/>
      <c r="F992" s="286"/>
      <c r="G992" s="286"/>
      <c r="H992" s="286"/>
      <c r="I992" s="286"/>
      <c r="J992" s="286"/>
      <c r="K992" s="286"/>
      <c r="L992" s="286"/>
      <c r="M992" s="286"/>
      <c r="N992" s="286"/>
      <c r="O992" s="286"/>
      <c r="P992" s="286"/>
      <c r="Q992" s="286"/>
      <c r="R992" s="286"/>
      <c r="S992" s="286"/>
      <c r="T992" s="286"/>
      <c r="U992" s="286"/>
      <c r="V992" s="286"/>
    </row>
    <row r="993" spans="1:22" ht="26.25" customHeight="1" x14ac:dyDescent="0.2">
      <c r="A993" s="286"/>
      <c r="B993" s="286"/>
      <c r="C993" s="286"/>
      <c r="D993" s="286"/>
      <c r="E993" s="286"/>
      <c r="F993" s="286"/>
      <c r="G993" s="286"/>
      <c r="H993" s="286"/>
      <c r="I993" s="286"/>
      <c r="J993" s="286"/>
      <c r="K993" s="286"/>
      <c r="L993" s="286"/>
      <c r="M993" s="286"/>
      <c r="N993" s="286"/>
      <c r="O993" s="286"/>
      <c r="P993" s="286"/>
      <c r="Q993" s="286"/>
      <c r="R993" s="286"/>
      <c r="S993" s="286"/>
      <c r="T993" s="286"/>
      <c r="U993" s="286"/>
      <c r="V993" s="286"/>
    </row>
    <row r="994" spans="1:22" ht="26.25" customHeight="1" x14ac:dyDescent="0.2">
      <c r="A994" s="286"/>
      <c r="B994" s="286"/>
      <c r="C994" s="286"/>
      <c r="D994" s="286"/>
      <c r="E994" s="286"/>
      <c r="F994" s="286"/>
      <c r="G994" s="286"/>
      <c r="H994" s="286"/>
      <c r="I994" s="286"/>
      <c r="J994" s="286"/>
      <c r="K994" s="286"/>
      <c r="L994" s="286"/>
      <c r="M994" s="286"/>
      <c r="N994" s="286"/>
      <c r="O994" s="286"/>
      <c r="P994" s="286"/>
      <c r="Q994" s="286"/>
      <c r="R994" s="286"/>
      <c r="S994" s="286"/>
      <c r="T994" s="286"/>
      <c r="U994" s="286"/>
      <c r="V994" s="286"/>
    </row>
    <row r="995" spans="1:22" ht="26.25" customHeight="1" x14ac:dyDescent="0.2">
      <c r="A995" s="286"/>
      <c r="B995" s="286"/>
      <c r="C995" s="286"/>
      <c r="D995" s="286"/>
      <c r="E995" s="286"/>
      <c r="F995" s="286"/>
      <c r="G995" s="286"/>
      <c r="H995" s="286"/>
      <c r="I995" s="286"/>
      <c r="J995" s="286"/>
      <c r="K995" s="286"/>
      <c r="L995" s="286"/>
      <c r="M995" s="286"/>
      <c r="N995" s="286"/>
      <c r="O995" s="286"/>
      <c r="P995" s="286"/>
      <c r="Q995" s="286"/>
      <c r="R995" s="286"/>
      <c r="S995" s="286"/>
      <c r="T995" s="286"/>
      <c r="U995" s="286"/>
      <c r="V995" s="286"/>
    </row>
    <row r="996" spans="1:22" ht="26.25" customHeight="1" x14ac:dyDescent="0.2">
      <c r="A996" s="286"/>
      <c r="B996" s="286"/>
      <c r="C996" s="286"/>
      <c r="D996" s="286"/>
      <c r="E996" s="286"/>
      <c r="F996" s="286"/>
      <c r="G996" s="286"/>
      <c r="H996" s="286"/>
      <c r="I996" s="286"/>
      <c r="J996" s="286"/>
      <c r="K996" s="286"/>
      <c r="L996" s="286"/>
      <c r="M996" s="286"/>
      <c r="N996" s="286"/>
      <c r="O996" s="286"/>
      <c r="P996" s="286"/>
      <c r="Q996" s="286"/>
      <c r="R996" s="286"/>
      <c r="S996" s="286"/>
      <c r="T996" s="286"/>
      <c r="U996" s="286"/>
      <c r="V996" s="286"/>
    </row>
    <row r="997" spans="1:22" ht="26.25" customHeight="1" x14ac:dyDescent="0.2">
      <c r="A997" s="286"/>
      <c r="B997" s="286"/>
      <c r="C997" s="286"/>
      <c r="D997" s="286"/>
      <c r="E997" s="286"/>
      <c r="F997" s="286"/>
      <c r="G997" s="286"/>
      <c r="H997" s="286"/>
      <c r="I997" s="286"/>
      <c r="J997" s="286"/>
      <c r="K997" s="286"/>
      <c r="L997" s="286"/>
      <c r="M997" s="286"/>
      <c r="N997" s="286"/>
      <c r="O997" s="286"/>
      <c r="P997" s="286"/>
      <c r="Q997" s="286"/>
      <c r="R997" s="286"/>
      <c r="S997" s="286"/>
      <c r="T997" s="286"/>
      <c r="U997" s="286"/>
      <c r="V997" s="286"/>
    </row>
    <row r="998" spans="1:22" ht="26.25" customHeight="1" x14ac:dyDescent="0.2">
      <c r="A998" s="286"/>
      <c r="B998" s="286"/>
      <c r="C998" s="286"/>
      <c r="D998" s="286"/>
      <c r="E998" s="286"/>
      <c r="F998" s="286"/>
      <c r="G998" s="286"/>
      <c r="H998" s="286"/>
      <c r="I998" s="286"/>
      <c r="J998" s="286"/>
      <c r="K998" s="286"/>
      <c r="L998" s="286"/>
      <c r="M998" s="286"/>
      <c r="N998" s="286"/>
      <c r="O998" s="286"/>
      <c r="P998" s="286"/>
      <c r="Q998" s="286"/>
      <c r="R998" s="286"/>
      <c r="S998" s="286"/>
      <c r="T998" s="286"/>
      <c r="U998" s="286"/>
      <c r="V998" s="286"/>
    </row>
    <row r="999" spans="1:22" ht="26.25" customHeight="1" x14ac:dyDescent="0.2">
      <c r="A999" s="286"/>
      <c r="B999" s="286"/>
      <c r="C999" s="286"/>
      <c r="D999" s="286"/>
      <c r="E999" s="286"/>
      <c r="F999" s="286"/>
      <c r="G999" s="286"/>
      <c r="H999" s="286"/>
      <c r="I999" s="286"/>
      <c r="J999" s="286"/>
      <c r="K999" s="286"/>
      <c r="L999" s="286"/>
      <c r="M999" s="286"/>
      <c r="N999" s="286"/>
      <c r="O999" s="286"/>
      <c r="P999" s="286"/>
      <c r="Q999" s="286"/>
      <c r="R999" s="286"/>
      <c r="S999" s="286"/>
      <c r="T999" s="286"/>
      <c r="U999" s="286"/>
      <c r="V999" s="286"/>
    </row>
    <row r="1000" spans="1:22" ht="26.25" customHeight="1" x14ac:dyDescent="0.2">
      <c r="A1000" s="286"/>
      <c r="B1000" s="286"/>
      <c r="C1000" s="286"/>
      <c r="D1000" s="286"/>
      <c r="E1000" s="286"/>
      <c r="F1000" s="286"/>
      <c r="G1000" s="286"/>
      <c r="H1000" s="286"/>
      <c r="I1000" s="286"/>
      <c r="J1000" s="286"/>
      <c r="K1000" s="286"/>
      <c r="L1000" s="286"/>
      <c r="M1000" s="286"/>
      <c r="N1000" s="286"/>
      <c r="O1000" s="286"/>
      <c r="P1000" s="286"/>
      <c r="Q1000" s="286"/>
      <c r="R1000" s="286"/>
      <c r="S1000" s="286"/>
      <c r="T1000" s="286"/>
      <c r="U1000" s="286"/>
      <c r="V1000" s="286"/>
    </row>
    <row r="1001" spans="1:22" ht="26.25" customHeight="1" x14ac:dyDescent="0.2">
      <c r="A1001" s="286"/>
      <c r="B1001" s="286"/>
      <c r="C1001" s="286"/>
      <c r="D1001" s="286"/>
      <c r="E1001" s="286"/>
      <c r="F1001" s="286"/>
      <c r="G1001" s="286"/>
      <c r="H1001" s="286"/>
      <c r="I1001" s="286"/>
      <c r="J1001" s="286"/>
      <c r="K1001" s="286"/>
      <c r="L1001" s="286"/>
      <c r="M1001" s="286"/>
      <c r="N1001" s="286"/>
      <c r="O1001" s="286"/>
      <c r="P1001" s="286"/>
      <c r="Q1001" s="286"/>
      <c r="R1001" s="286"/>
      <c r="S1001" s="286"/>
      <c r="T1001" s="286"/>
      <c r="U1001" s="286"/>
      <c r="V1001" s="286"/>
    </row>
    <row r="1002" spans="1:22" ht="26.25" customHeight="1" x14ac:dyDescent="0.2">
      <c r="A1002" s="286"/>
      <c r="B1002" s="286"/>
      <c r="C1002" s="286"/>
      <c r="D1002" s="286"/>
      <c r="E1002" s="286"/>
      <c r="F1002" s="286"/>
      <c r="G1002" s="286"/>
      <c r="H1002" s="286"/>
      <c r="I1002" s="286"/>
      <c r="J1002" s="286"/>
      <c r="K1002" s="286"/>
      <c r="L1002" s="286"/>
      <c r="M1002" s="286"/>
      <c r="N1002" s="286"/>
      <c r="O1002" s="286"/>
      <c r="P1002" s="286"/>
      <c r="Q1002" s="286"/>
      <c r="R1002" s="286"/>
      <c r="S1002" s="286"/>
      <c r="T1002" s="286"/>
      <c r="U1002" s="286"/>
      <c r="V1002" s="286"/>
    </row>
    <row r="1003" spans="1:22" ht="26.25" customHeight="1" x14ac:dyDescent="0.2">
      <c r="A1003" s="286"/>
      <c r="B1003" s="286"/>
      <c r="C1003" s="286"/>
      <c r="D1003" s="286"/>
      <c r="E1003" s="286"/>
      <c r="F1003" s="286"/>
      <c r="G1003" s="286"/>
      <c r="H1003" s="286"/>
      <c r="I1003" s="286"/>
      <c r="J1003" s="286"/>
      <c r="K1003" s="286"/>
      <c r="L1003" s="286"/>
      <c r="M1003" s="286"/>
      <c r="N1003" s="286"/>
      <c r="O1003" s="286"/>
      <c r="P1003" s="286"/>
      <c r="Q1003" s="286"/>
      <c r="R1003" s="286"/>
      <c r="S1003" s="286"/>
      <c r="T1003" s="286"/>
      <c r="U1003" s="286"/>
      <c r="V1003" s="286"/>
    </row>
    <row r="1004" spans="1:22" ht="26.25" customHeight="1" x14ac:dyDescent="0.2">
      <c r="A1004" s="286"/>
      <c r="B1004" s="286"/>
      <c r="C1004" s="286"/>
      <c r="D1004" s="286"/>
      <c r="E1004" s="286"/>
      <c r="F1004" s="286"/>
      <c r="G1004" s="286"/>
      <c r="H1004" s="286"/>
      <c r="I1004" s="286"/>
      <c r="J1004" s="286"/>
      <c r="K1004" s="286"/>
      <c r="L1004" s="286"/>
      <c r="M1004" s="286"/>
      <c r="N1004" s="286"/>
      <c r="O1004" s="286"/>
      <c r="P1004" s="286"/>
      <c r="Q1004" s="286"/>
      <c r="R1004" s="286"/>
      <c r="S1004" s="286"/>
      <c r="T1004" s="286"/>
      <c r="U1004" s="286"/>
      <c r="V1004" s="286"/>
    </row>
    <row r="1005" spans="1:22" ht="26.25" customHeight="1" x14ac:dyDescent="0.2">
      <c r="A1005" s="286"/>
      <c r="B1005" s="286"/>
      <c r="C1005" s="286"/>
      <c r="D1005" s="286"/>
      <c r="E1005" s="286"/>
      <c r="F1005" s="286"/>
      <c r="G1005" s="286"/>
      <c r="H1005" s="286"/>
      <c r="I1005" s="286"/>
      <c r="J1005" s="286"/>
      <c r="K1005" s="286"/>
      <c r="L1005" s="286"/>
      <c r="M1005" s="286"/>
      <c r="N1005" s="286"/>
      <c r="O1005" s="286"/>
      <c r="P1005" s="286"/>
      <c r="Q1005" s="286"/>
      <c r="R1005" s="286"/>
      <c r="S1005" s="286"/>
      <c r="T1005" s="286"/>
      <c r="U1005" s="286"/>
      <c r="V1005" s="286"/>
    </row>
    <row r="1006" spans="1:22" ht="26.25" customHeight="1" x14ac:dyDescent="0.2">
      <c r="A1006" s="286"/>
      <c r="B1006" s="286"/>
      <c r="C1006" s="286"/>
      <c r="D1006" s="286"/>
      <c r="E1006" s="286"/>
      <c r="F1006" s="286"/>
      <c r="G1006" s="286"/>
      <c r="H1006" s="286"/>
      <c r="I1006" s="286"/>
      <c r="J1006" s="286"/>
      <c r="K1006" s="286"/>
      <c r="L1006" s="286"/>
      <c r="M1006" s="286"/>
      <c r="N1006" s="286"/>
      <c r="O1006" s="286"/>
      <c r="P1006" s="286"/>
      <c r="Q1006" s="286"/>
      <c r="R1006" s="286"/>
      <c r="S1006" s="286"/>
      <c r="T1006" s="286"/>
      <c r="U1006" s="286"/>
      <c r="V1006" s="286"/>
    </row>
    <row r="1007" spans="1:22" ht="26.25" customHeight="1" x14ac:dyDescent="0.2">
      <c r="A1007" s="286"/>
      <c r="B1007" s="286"/>
      <c r="C1007" s="286"/>
      <c r="D1007" s="286"/>
      <c r="E1007" s="286"/>
      <c r="F1007" s="286"/>
      <c r="G1007" s="286"/>
      <c r="H1007" s="286"/>
      <c r="I1007" s="286"/>
      <c r="J1007" s="286"/>
      <c r="K1007" s="286"/>
      <c r="L1007" s="286"/>
      <c r="M1007" s="286"/>
      <c r="N1007" s="286"/>
      <c r="O1007" s="286"/>
      <c r="P1007" s="286"/>
      <c r="Q1007" s="286"/>
      <c r="R1007" s="286"/>
      <c r="S1007" s="286"/>
      <c r="T1007" s="286"/>
      <c r="U1007" s="286"/>
      <c r="V1007" s="286"/>
    </row>
    <row r="1008" spans="1:22" ht="26.25" customHeight="1" x14ac:dyDescent="0.2">
      <c r="A1008" s="286"/>
      <c r="B1008" s="286"/>
      <c r="C1008" s="286"/>
      <c r="D1008" s="286"/>
      <c r="E1008" s="286"/>
      <c r="F1008" s="286"/>
      <c r="G1008" s="286"/>
      <c r="H1008" s="286"/>
      <c r="I1008" s="286"/>
      <c r="J1008" s="286"/>
      <c r="K1008" s="286"/>
      <c r="L1008" s="286"/>
      <c r="M1008" s="286"/>
      <c r="N1008" s="286"/>
      <c r="O1008" s="286"/>
      <c r="P1008" s="286"/>
      <c r="Q1008" s="286"/>
      <c r="R1008" s="286"/>
      <c r="S1008" s="286"/>
      <c r="T1008" s="286"/>
      <c r="U1008" s="286"/>
      <c r="V1008" s="286"/>
    </row>
    <row r="1009" spans="1:22" ht="26.25" customHeight="1" x14ac:dyDescent="0.2">
      <c r="A1009" s="286"/>
      <c r="B1009" s="286"/>
      <c r="C1009" s="286"/>
      <c r="D1009" s="286"/>
      <c r="E1009" s="286"/>
      <c r="F1009" s="286"/>
      <c r="G1009" s="286"/>
      <c r="H1009" s="286"/>
      <c r="I1009" s="286"/>
      <c r="J1009" s="286"/>
      <c r="K1009" s="286"/>
      <c r="L1009" s="286"/>
      <c r="M1009" s="286"/>
      <c r="N1009" s="286"/>
      <c r="O1009" s="286"/>
      <c r="P1009" s="286"/>
      <c r="Q1009" s="286"/>
      <c r="R1009" s="286"/>
      <c r="S1009" s="286"/>
      <c r="T1009" s="286"/>
      <c r="U1009" s="286"/>
      <c r="V1009" s="286"/>
    </row>
    <row r="1010" spans="1:22" ht="26.25" customHeight="1" x14ac:dyDescent="0.2">
      <c r="A1010" s="286"/>
      <c r="B1010" s="286"/>
      <c r="C1010" s="286"/>
      <c r="D1010" s="286"/>
      <c r="E1010" s="286"/>
      <c r="F1010" s="286"/>
      <c r="G1010" s="286"/>
      <c r="H1010" s="286"/>
      <c r="I1010" s="286"/>
      <c r="J1010" s="286"/>
      <c r="K1010" s="286"/>
      <c r="L1010" s="286"/>
      <c r="M1010" s="286"/>
      <c r="N1010" s="286"/>
      <c r="O1010" s="286"/>
      <c r="P1010" s="286"/>
      <c r="Q1010" s="286"/>
      <c r="R1010" s="286"/>
      <c r="S1010" s="286"/>
      <c r="T1010" s="286"/>
      <c r="U1010" s="286"/>
      <c r="V1010" s="286"/>
    </row>
    <row r="1011" spans="1:22" ht="26.25" customHeight="1" x14ac:dyDescent="0.2">
      <c r="A1011" s="286"/>
      <c r="B1011" s="286"/>
      <c r="C1011" s="286"/>
      <c r="D1011" s="286"/>
      <c r="E1011" s="286"/>
      <c r="F1011" s="286"/>
      <c r="G1011" s="286"/>
      <c r="H1011" s="286"/>
      <c r="I1011" s="286"/>
      <c r="J1011" s="286"/>
      <c r="K1011" s="286"/>
      <c r="L1011" s="286"/>
      <c r="M1011" s="286"/>
      <c r="N1011" s="286"/>
      <c r="O1011" s="286"/>
      <c r="P1011" s="286"/>
      <c r="Q1011" s="286"/>
      <c r="R1011" s="286"/>
      <c r="S1011" s="286"/>
      <c r="T1011" s="286"/>
      <c r="U1011" s="286"/>
      <c r="V1011" s="286"/>
    </row>
    <row r="1012" spans="1:22" ht="26.25" customHeight="1" x14ac:dyDescent="0.2">
      <c r="A1012" s="286"/>
      <c r="B1012" s="286"/>
      <c r="C1012" s="286"/>
      <c r="D1012" s="286"/>
      <c r="E1012" s="286"/>
      <c r="F1012" s="286"/>
      <c r="G1012" s="286"/>
      <c r="H1012" s="286"/>
      <c r="I1012" s="286"/>
      <c r="J1012" s="286"/>
      <c r="K1012" s="286"/>
      <c r="L1012" s="286"/>
      <c r="M1012" s="286"/>
      <c r="N1012" s="286"/>
      <c r="O1012" s="286"/>
      <c r="P1012" s="286"/>
      <c r="Q1012" s="286"/>
      <c r="R1012" s="286"/>
      <c r="S1012" s="286"/>
      <c r="T1012" s="286"/>
      <c r="U1012" s="286"/>
      <c r="V1012" s="286"/>
    </row>
    <row r="1013" spans="1:22" ht="26.25" customHeight="1" x14ac:dyDescent="0.2">
      <c r="A1013" s="286"/>
      <c r="B1013" s="286"/>
      <c r="C1013" s="286"/>
      <c r="D1013" s="286"/>
      <c r="E1013" s="286"/>
      <c r="F1013" s="286"/>
      <c r="G1013" s="286"/>
      <c r="H1013" s="286"/>
      <c r="I1013" s="286"/>
      <c r="J1013" s="286"/>
      <c r="K1013" s="286"/>
      <c r="L1013" s="286"/>
      <c r="M1013" s="286"/>
      <c r="N1013" s="286"/>
      <c r="O1013" s="286"/>
      <c r="P1013" s="286"/>
      <c r="Q1013" s="286"/>
      <c r="R1013" s="286"/>
      <c r="S1013" s="286"/>
      <c r="T1013" s="286"/>
      <c r="U1013" s="286"/>
      <c r="V1013" s="286"/>
    </row>
    <row r="1014" spans="1:22" ht="26.25" customHeight="1" x14ac:dyDescent="0.2">
      <c r="A1014" s="286"/>
      <c r="B1014" s="286"/>
      <c r="C1014" s="286"/>
      <c r="D1014" s="286"/>
      <c r="E1014" s="286"/>
      <c r="F1014" s="286"/>
      <c r="G1014" s="286"/>
      <c r="H1014" s="286"/>
      <c r="I1014" s="286"/>
      <c r="J1014" s="286"/>
      <c r="K1014" s="286"/>
      <c r="L1014" s="286"/>
      <c r="M1014" s="286"/>
      <c r="N1014" s="286"/>
      <c r="O1014" s="286"/>
      <c r="P1014" s="286"/>
      <c r="Q1014" s="286"/>
      <c r="R1014" s="286"/>
      <c r="S1014" s="286"/>
      <c r="T1014" s="286"/>
      <c r="U1014" s="286"/>
      <c r="V1014" s="286"/>
    </row>
    <row r="1015" spans="1:22" ht="26.25" customHeight="1" x14ac:dyDescent="0.2">
      <c r="A1015" s="286"/>
      <c r="B1015" s="286"/>
      <c r="C1015" s="286"/>
      <c r="D1015" s="286"/>
      <c r="E1015" s="286"/>
      <c r="F1015" s="286"/>
      <c r="G1015" s="286"/>
      <c r="H1015" s="286"/>
      <c r="I1015" s="286"/>
      <c r="J1015" s="286"/>
      <c r="K1015" s="286"/>
      <c r="L1015" s="286"/>
      <c r="M1015" s="286"/>
      <c r="N1015" s="286"/>
      <c r="O1015" s="286"/>
      <c r="P1015" s="286"/>
      <c r="Q1015" s="286"/>
      <c r="R1015" s="286"/>
      <c r="S1015" s="286"/>
      <c r="T1015" s="286"/>
      <c r="U1015" s="286"/>
      <c r="V1015" s="286"/>
    </row>
    <row r="1016" spans="1:22" ht="26.25" customHeight="1" x14ac:dyDescent="0.2">
      <c r="A1016" s="286"/>
      <c r="B1016" s="286"/>
      <c r="C1016" s="286"/>
      <c r="D1016" s="286"/>
      <c r="E1016" s="286"/>
      <c r="F1016" s="286"/>
      <c r="G1016" s="286"/>
      <c r="H1016" s="286"/>
      <c r="I1016" s="286"/>
      <c r="J1016" s="286"/>
      <c r="K1016" s="286"/>
      <c r="L1016" s="286"/>
      <c r="M1016" s="286"/>
      <c r="N1016" s="286"/>
      <c r="O1016" s="286"/>
      <c r="P1016" s="286"/>
      <c r="Q1016" s="286"/>
      <c r="R1016" s="286"/>
      <c r="S1016" s="286"/>
      <c r="T1016" s="286"/>
      <c r="U1016" s="286"/>
      <c r="V1016" s="286"/>
    </row>
    <row r="1017" spans="1:22" ht="26.25" customHeight="1" x14ac:dyDescent="0.2">
      <c r="A1017" s="286"/>
      <c r="B1017" s="286"/>
      <c r="C1017" s="286"/>
      <c r="D1017" s="286"/>
      <c r="E1017" s="286"/>
      <c r="F1017" s="286"/>
      <c r="G1017" s="286"/>
      <c r="H1017" s="286"/>
      <c r="I1017" s="286"/>
      <c r="J1017" s="286"/>
      <c r="K1017" s="286"/>
      <c r="L1017" s="286"/>
      <c r="M1017" s="286"/>
      <c r="N1017" s="286"/>
      <c r="O1017" s="286"/>
      <c r="P1017" s="286"/>
      <c r="Q1017" s="286"/>
      <c r="R1017" s="286"/>
      <c r="S1017" s="286"/>
      <c r="T1017" s="286"/>
      <c r="U1017" s="286"/>
      <c r="V1017" s="286"/>
    </row>
    <row r="1018" spans="1:22" ht="26.25" customHeight="1" x14ac:dyDescent="0.2">
      <c r="A1018" s="286"/>
      <c r="B1018" s="286"/>
      <c r="C1018" s="286"/>
      <c r="D1018" s="286"/>
      <c r="E1018" s="286"/>
      <c r="F1018" s="286"/>
      <c r="G1018" s="286"/>
      <c r="H1018" s="286"/>
      <c r="I1018" s="286"/>
      <c r="J1018" s="286"/>
      <c r="K1018" s="286"/>
      <c r="L1018" s="286"/>
      <c r="M1018" s="286"/>
      <c r="N1018" s="286"/>
      <c r="O1018" s="286"/>
      <c r="P1018" s="286"/>
      <c r="Q1018" s="286"/>
      <c r="R1018" s="286"/>
      <c r="S1018" s="286"/>
      <c r="T1018" s="286"/>
      <c r="U1018" s="286"/>
      <c r="V1018" s="286"/>
    </row>
    <row r="1019" spans="1:22" ht="26.25" customHeight="1" x14ac:dyDescent="0.2">
      <c r="A1019" s="286"/>
      <c r="B1019" s="286"/>
      <c r="C1019" s="286"/>
      <c r="D1019" s="286"/>
      <c r="E1019" s="286"/>
      <c r="F1019" s="286"/>
      <c r="G1019" s="286"/>
      <c r="H1019" s="286"/>
      <c r="I1019" s="286"/>
      <c r="J1019" s="286"/>
      <c r="K1019" s="286"/>
      <c r="L1019" s="286"/>
      <c r="M1019" s="286"/>
      <c r="N1019" s="286"/>
      <c r="O1019" s="286"/>
      <c r="P1019" s="286"/>
      <c r="Q1019" s="286"/>
      <c r="R1019" s="286"/>
      <c r="S1019" s="286"/>
      <c r="T1019" s="286"/>
      <c r="U1019" s="286"/>
      <c r="V1019" s="286"/>
    </row>
    <row r="1020" spans="1:22" ht="26.25" customHeight="1" x14ac:dyDescent="0.2">
      <c r="A1020" s="286"/>
      <c r="B1020" s="286"/>
      <c r="C1020" s="286"/>
      <c r="D1020" s="286"/>
      <c r="E1020" s="286"/>
      <c r="F1020" s="286"/>
      <c r="G1020" s="286"/>
      <c r="H1020" s="286"/>
      <c r="I1020" s="286"/>
      <c r="J1020" s="286"/>
      <c r="K1020" s="286"/>
      <c r="L1020" s="286"/>
      <c r="M1020" s="286"/>
      <c r="N1020" s="286"/>
      <c r="O1020" s="286"/>
      <c r="P1020" s="286"/>
      <c r="Q1020" s="286"/>
      <c r="R1020" s="286"/>
      <c r="S1020" s="286"/>
      <c r="T1020" s="286"/>
      <c r="U1020" s="286"/>
      <c r="V1020" s="286"/>
    </row>
    <row r="1021" spans="1:22" ht="26.25" customHeight="1" x14ac:dyDescent="0.2">
      <c r="A1021" s="286"/>
      <c r="B1021" s="286"/>
      <c r="C1021" s="286"/>
      <c r="D1021" s="286"/>
      <c r="E1021" s="286"/>
      <c r="F1021" s="286"/>
      <c r="G1021" s="286"/>
      <c r="H1021" s="286"/>
      <c r="I1021" s="286"/>
      <c r="J1021" s="286"/>
      <c r="K1021" s="286"/>
      <c r="L1021" s="286"/>
      <c r="M1021" s="286"/>
      <c r="N1021" s="286"/>
      <c r="O1021" s="286"/>
      <c r="P1021" s="286"/>
      <c r="Q1021" s="286"/>
      <c r="R1021" s="286"/>
      <c r="S1021" s="286"/>
      <c r="T1021" s="286"/>
      <c r="U1021" s="286"/>
      <c r="V1021" s="286"/>
    </row>
    <row r="1022" spans="1:22" ht="26.25" customHeight="1" x14ac:dyDescent="0.2">
      <c r="A1022" s="286"/>
      <c r="B1022" s="286"/>
      <c r="C1022" s="286"/>
      <c r="D1022" s="286"/>
      <c r="E1022" s="286"/>
      <c r="F1022" s="286"/>
      <c r="G1022" s="286"/>
      <c r="H1022" s="286"/>
      <c r="I1022" s="286"/>
      <c r="J1022" s="286"/>
      <c r="K1022" s="286"/>
      <c r="L1022" s="286"/>
      <c r="M1022" s="286"/>
      <c r="N1022" s="286"/>
      <c r="O1022" s="286"/>
      <c r="P1022" s="286"/>
      <c r="Q1022" s="286"/>
      <c r="R1022" s="286"/>
      <c r="S1022" s="286"/>
      <c r="T1022" s="286"/>
      <c r="U1022" s="286"/>
      <c r="V1022" s="286"/>
    </row>
    <row r="1023" spans="1:22" ht="26.25" customHeight="1" x14ac:dyDescent="0.2">
      <c r="A1023" s="286"/>
      <c r="B1023" s="286"/>
      <c r="C1023" s="286"/>
      <c r="D1023" s="286"/>
      <c r="E1023" s="286"/>
      <c r="F1023" s="286"/>
      <c r="G1023" s="286"/>
      <c r="H1023" s="286"/>
      <c r="I1023" s="286"/>
      <c r="J1023" s="286"/>
      <c r="K1023" s="286"/>
      <c r="L1023" s="286"/>
      <c r="M1023" s="286"/>
      <c r="N1023" s="286"/>
      <c r="O1023" s="286"/>
      <c r="P1023" s="286"/>
      <c r="Q1023" s="286"/>
      <c r="R1023" s="286"/>
      <c r="S1023" s="286"/>
      <c r="T1023" s="286"/>
      <c r="U1023" s="286"/>
      <c r="V1023" s="286"/>
    </row>
    <row r="1024" spans="1:22" ht="26.25" customHeight="1" x14ac:dyDescent="0.2">
      <c r="A1024" s="286"/>
      <c r="B1024" s="286"/>
      <c r="C1024" s="286"/>
      <c r="D1024" s="286"/>
      <c r="E1024" s="286"/>
      <c r="F1024" s="286"/>
      <c r="G1024" s="286"/>
      <c r="H1024" s="286"/>
      <c r="I1024" s="286"/>
      <c r="J1024" s="286"/>
      <c r="K1024" s="286"/>
      <c r="L1024" s="286"/>
      <c r="M1024" s="286"/>
      <c r="N1024" s="286"/>
      <c r="O1024" s="286"/>
      <c r="P1024" s="286"/>
      <c r="Q1024" s="286"/>
      <c r="R1024" s="286"/>
      <c r="S1024" s="286"/>
      <c r="T1024" s="286"/>
      <c r="U1024" s="286"/>
      <c r="V1024" s="286"/>
    </row>
    <row r="1025" spans="1:22" ht="26.25" customHeight="1" x14ac:dyDescent="0.2">
      <c r="A1025" s="286"/>
      <c r="B1025" s="286"/>
      <c r="C1025" s="286"/>
      <c r="D1025" s="286"/>
      <c r="E1025" s="286"/>
      <c r="F1025" s="286"/>
      <c r="G1025" s="286"/>
      <c r="H1025" s="286"/>
      <c r="I1025" s="286"/>
      <c r="J1025" s="286"/>
      <c r="K1025" s="286"/>
      <c r="L1025" s="286"/>
      <c r="M1025" s="286"/>
      <c r="N1025" s="286"/>
      <c r="O1025" s="286"/>
      <c r="P1025" s="286"/>
      <c r="Q1025" s="286"/>
      <c r="R1025" s="286"/>
      <c r="S1025" s="286"/>
      <c r="T1025" s="286"/>
      <c r="U1025" s="286"/>
      <c r="V1025" s="286"/>
    </row>
    <row r="1026" spans="1:22" ht="26.25" customHeight="1" x14ac:dyDescent="0.2">
      <c r="A1026" s="286"/>
      <c r="B1026" s="286"/>
      <c r="C1026" s="286"/>
      <c r="D1026" s="286"/>
      <c r="E1026" s="286"/>
      <c r="F1026" s="286"/>
      <c r="G1026" s="286"/>
      <c r="H1026" s="286"/>
      <c r="I1026" s="286"/>
      <c r="J1026" s="286"/>
      <c r="K1026" s="286"/>
      <c r="L1026" s="286"/>
      <c r="M1026" s="286"/>
      <c r="N1026" s="286"/>
      <c r="O1026" s="286"/>
      <c r="P1026" s="286"/>
      <c r="Q1026" s="286"/>
      <c r="R1026" s="286"/>
      <c r="S1026" s="286"/>
      <c r="T1026" s="286"/>
      <c r="U1026" s="286"/>
      <c r="V1026" s="286"/>
    </row>
    <row r="1027" spans="1:22" ht="26.25" customHeight="1" x14ac:dyDescent="0.2">
      <c r="A1027" s="286"/>
      <c r="B1027" s="286"/>
      <c r="C1027" s="286"/>
      <c r="D1027" s="286"/>
      <c r="E1027" s="286"/>
      <c r="F1027" s="286"/>
      <c r="G1027" s="286"/>
      <c r="H1027" s="286"/>
      <c r="I1027" s="286"/>
      <c r="J1027" s="286"/>
      <c r="K1027" s="286"/>
      <c r="L1027" s="286"/>
      <c r="M1027" s="286"/>
      <c r="N1027" s="286"/>
      <c r="O1027" s="286"/>
      <c r="P1027" s="286"/>
      <c r="Q1027" s="286"/>
      <c r="R1027" s="286"/>
      <c r="S1027" s="286"/>
      <c r="T1027" s="286"/>
      <c r="U1027" s="286"/>
      <c r="V1027" s="286"/>
    </row>
    <row r="1028" spans="1:22" ht="26.25" customHeight="1" x14ac:dyDescent="0.2">
      <c r="A1028" s="286"/>
      <c r="B1028" s="286"/>
      <c r="C1028" s="286"/>
      <c r="D1028" s="286"/>
      <c r="E1028" s="286"/>
      <c r="F1028" s="286"/>
      <c r="G1028" s="286"/>
      <c r="H1028" s="286"/>
      <c r="I1028" s="286"/>
      <c r="J1028" s="286"/>
      <c r="K1028" s="286"/>
      <c r="L1028" s="286"/>
      <c r="M1028" s="286"/>
      <c r="N1028" s="286"/>
      <c r="O1028" s="286"/>
      <c r="P1028" s="286"/>
      <c r="Q1028" s="286"/>
      <c r="R1028" s="286"/>
      <c r="S1028" s="286"/>
      <c r="T1028" s="286"/>
      <c r="U1028" s="286"/>
      <c r="V1028" s="286"/>
    </row>
    <row r="1029" spans="1:22" ht="26.25" customHeight="1" x14ac:dyDescent="0.2">
      <c r="A1029" s="286"/>
      <c r="B1029" s="286"/>
      <c r="C1029" s="286"/>
      <c r="D1029" s="286"/>
      <c r="E1029" s="286"/>
      <c r="F1029" s="286"/>
      <c r="G1029" s="286"/>
      <c r="H1029" s="286"/>
      <c r="I1029" s="286"/>
      <c r="J1029" s="286"/>
      <c r="K1029" s="286"/>
      <c r="L1029" s="286"/>
      <c r="M1029" s="286"/>
      <c r="N1029" s="286"/>
      <c r="O1029" s="286"/>
      <c r="P1029" s="286"/>
      <c r="Q1029" s="286"/>
      <c r="R1029" s="286"/>
      <c r="S1029" s="286"/>
      <c r="T1029" s="286"/>
      <c r="U1029" s="286"/>
      <c r="V1029" s="286"/>
    </row>
    <row r="1030" spans="1:22" ht="26.25" customHeight="1" x14ac:dyDescent="0.2">
      <c r="A1030" s="286"/>
      <c r="B1030" s="286"/>
      <c r="C1030" s="286"/>
      <c r="D1030" s="286"/>
      <c r="E1030" s="286"/>
      <c r="F1030" s="286"/>
      <c r="G1030" s="286"/>
      <c r="H1030" s="286"/>
      <c r="I1030" s="286"/>
      <c r="J1030" s="286"/>
      <c r="K1030" s="286"/>
      <c r="L1030" s="286"/>
      <c r="M1030" s="286"/>
      <c r="N1030" s="286"/>
      <c r="O1030" s="286"/>
      <c r="P1030" s="286"/>
      <c r="Q1030" s="286"/>
      <c r="R1030" s="286"/>
      <c r="S1030" s="286"/>
      <c r="T1030" s="286"/>
      <c r="U1030" s="286"/>
      <c r="V1030" s="286"/>
    </row>
    <row r="1031" spans="1:22" ht="26.25" customHeight="1" x14ac:dyDescent="0.2">
      <c r="A1031" s="286"/>
      <c r="B1031" s="286"/>
      <c r="C1031" s="286"/>
      <c r="D1031" s="286"/>
      <c r="E1031" s="286"/>
      <c r="F1031" s="286"/>
      <c r="G1031" s="286"/>
      <c r="H1031" s="286"/>
      <c r="I1031" s="286"/>
      <c r="J1031" s="286"/>
      <c r="K1031" s="286"/>
      <c r="L1031" s="286"/>
      <c r="M1031" s="286"/>
      <c r="N1031" s="286"/>
      <c r="O1031" s="286"/>
      <c r="P1031" s="286"/>
      <c r="Q1031" s="286"/>
      <c r="R1031" s="286"/>
      <c r="S1031" s="286"/>
      <c r="T1031" s="286"/>
      <c r="U1031" s="286"/>
      <c r="V1031" s="286"/>
    </row>
    <row r="1032" spans="1:22" ht="26.25" customHeight="1" x14ac:dyDescent="0.2">
      <c r="A1032" s="286"/>
      <c r="B1032" s="286"/>
      <c r="C1032" s="286"/>
      <c r="D1032" s="286"/>
      <c r="E1032" s="286"/>
      <c r="F1032" s="286"/>
      <c r="G1032" s="286"/>
      <c r="H1032" s="286"/>
      <c r="I1032" s="286"/>
      <c r="J1032" s="286"/>
      <c r="K1032" s="286"/>
      <c r="L1032" s="286"/>
      <c r="M1032" s="286"/>
      <c r="N1032" s="286"/>
      <c r="O1032" s="286"/>
      <c r="P1032" s="286"/>
      <c r="Q1032" s="286"/>
      <c r="R1032" s="286"/>
      <c r="S1032" s="286"/>
      <c r="T1032" s="286"/>
      <c r="U1032" s="286"/>
      <c r="V1032" s="286"/>
    </row>
    <row r="1033" spans="1:22" ht="26.25" customHeight="1" x14ac:dyDescent="0.2">
      <c r="A1033" s="286"/>
      <c r="B1033" s="286"/>
      <c r="C1033" s="286"/>
      <c r="D1033" s="286"/>
      <c r="E1033" s="286"/>
      <c r="F1033" s="286"/>
      <c r="G1033" s="286"/>
      <c r="H1033" s="286"/>
      <c r="I1033" s="286"/>
      <c r="J1033" s="286"/>
      <c r="K1033" s="286"/>
      <c r="L1033" s="286"/>
      <c r="M1033" s="286"/>
      <c r="N1033" s="286"/>
      <c r="O1033" s="286"/>
      <c r="P1033" s="286"/>
      <c r="Q1033" s="286"/>
      <c r="R1033" s="286"/>
      <c r="S1033" s="286"/>
      <c r="T1033" s="286"/>
      <c r="U1033" s="286"/>
      <c r="V1033" s="286"/>
    </row>
    <row r="1034" spans="1:22" ht="26.25" customHeight="1" x14ac:dyDescent="0.2">
      <c r="A1034" s="286"/>
      <c r="B1034" s="286"/>
      <c r="C1034" s="286"/>
      <c r="D1034" s="286"/>
      <c r="E1034" s="286"/>
      <c r="F1034" s="286"/>
      <c r="G1034" s="286"/>
      <c r="H1034" s="286"/>
      <c r="I1034" s="286"/>
      <c r="J1034" s="286"/>
      <c r="K1034" s="286"/>
      <c r="L1034" s="286"/>
      <c r="M1034" s="286"/>
      <c r="N1034" s="286"/>
      <c r="O1034" s="286"/>
      <c r="P1034" s="286"/>
      <c r="Q1034" s="286"/>
      <c r="R1034" s="286"/>
      <c r="S1034" s="286"/>
      <c r="T1034" s="286"/>
      <c r="U1034" s="286"/>
      <c r="V1034" s="286"/>
    </row>
    <row r="1035" spans="1:22" ht="26.25" customHeight="1" x14ac:dyDescent="0.2">
      <c r="A1035" s="286"/>
      <c r="B1035" s="286"/>
      <c r="C1035" s="286"/>
      <c r="D1035" s="286"/>
      <c r="E1035" s="286"/>
      <c r="F1035" s="286"/>
      <c r="G1035" s="286"/>
      <c r="H1035" s="286"/>
      <c r="I1035" s="286"/>
      <c r="J1035" s="286"/>
      <c r="K1035" s="286"/>
      <c r="L1035" s="286"/>
      <c r="M1035" s="286"/>
      <c r="N1035" s="286"/>
      <c r="O1035" s="286"/>
      <c r="P1035" s="286"/>
      <c r="Q1035" s="286"/>
      <c r="R1035" s="286"/>
      <c r="S1035" s="286"/>
      <c r="T1035" s="286"/>
      <c r="U1035" s="286"/>
      <c r="V1035" s="286"/>
    </row>
    <row r="1036" spans="1:22" ht="26.25" customHeight="1" x14ac:dyDescent="0.2">
      <c r="A1036" s="286"/>
      <c r="B1036" s="286"/>
      <c r="C1036" s="286"/>
      <c r="D1036" s="286"/>
      <c r="E1036" s="286"/>
      <c r="F1036" s="286"/>
      <c r="G1036" s="286"/>
      <c r="H1036" s="286"/>
      <c r="I1036" s="286"/>
      <c r="J1036" s="286"/>
      <c r="K1036" s="286"/>
      <c r="L1036" s="286"/>
      <c r="M1036" s="286"/>
      <c r="N1036" s="286"/>
      <c r="O1036" s="286"/>
      <c r="P1036" s="286"/>
      <c r="Q1036" s="286"/>
      <c r="R1036" s="286"/>
      <c r="S1036" s="286"/>
      <c r="T1036" s="286"/>
      <c r="U1036" s="286"/>
      <c r="V1036" s="286"/>
    </row>
    <row r="1037" spans="1:22" ht="26.25" customHeight="1" x14ac:dyDescent="0.2">
      <c r="A1037" s="286"/>
      <c r="B1037" s="286"/>
      <c r="C1037" s="286"/>
      <c r="D1037" s="286"/>
      <c r="E1037" s="286"/>
      <c r="F1037" s="286"/>
      <c r="G1037" s="286"/>
      <c r="H1037" s="286"/>
      <c r="I1037" s="286"/>
      <c r="J1037" s="286"/>
      <c r="K1037" s="286"/>
      <c r="L1037" s="286"/>
      <c r="M1037" s="286"/>
      <c r="N1037" s="286"/>
      <c r="O1037" s="286"/>
      <c r="P1037" s="286"/>
      <c r="Q1037" s="286"/>
      <c r="R1037" s="286"/>
      <c r="S1037" s="286"/>
      <c r="T1037" s="286"/>
      <c r="U1037" s="286"/>
      <c r="V1037" s="286"/>
    </row>
    <row r="1038" spans="1:22" ht="26.25" customHeight="1" x14ac:dyDescent="0.2">
      <c r="A1038" s="286"/>
      <c r="B1038" s="286"/>
      <c r="C1038" s="286"/>
      <c r="D1038" s="286"/>
      <c r="E1038" s="286"/>
      <c r="F1038" s="286"/>
      <c r="G1038" s="286"/>
      <c r="H1038" s="286"/>
      <c r="I1038" s="286"/>
      <c r="J1038" s="286"/>
      <c r="K1038" s="286"/>
      <c r="L1038" s="286"/>
      <c r="M1038" s="286"/>
      <c r="N1038" s="286"/>
      <c r="O1038" s="286"/>
      <c r="P1038" s="286"/>
      <c r="Q1038" s="286"/>
      <c r="R1038" s="286"/>
      <c r="S1038" s="286"/>
      <c r="T1038" s="286"/>
      <c r="U1038" s="286"/>
      <c r="V1038" s="286"/>
    </row>
    <row r="1039" spans="1:22" ht="26.25" customHeight="1" x14ac:dyDescent="0.2">
      <c r="A1039" s="286"/>
      <c r="B1039" s="286"/>
      <c r="C1039" s="286"/>
      <c r="D1039" s="286"/>
      <c r="E1039" s="286"/>
      <c r="F1039" s="286"/>
      <c r="G1039" s="286"/>
      <c r="H1039" s="286"/>
      <c r="I1039" s="286"/>
      <c r="J1039" s="286"/>
      <c r="K1039" s="286"/>
      <c r="L1039" s="286"/>
      <c r="M1039" s="286"/>
      <c r="N1039" s="286"/>
      <c r="O1039" s="286"/>
      <c r="P1039" s="286"/>
      <c r="Q1039" s="286"/>
      <c r="R1039" s="286"/>
      <c r="S1039" s="286"/>
      <c r="T1039" s="286"/>
      <c r="U1039" s="286"/>
      <c r="V1039" s="286"/>
    </row>
    <row r="1040" spans="1:22" ht="26.25" customHeight="1" x14ac:dyDescent="0.2">
      <c r="A1040" s="286"/>
      <c r="B1040" s="286"/>
      <c r="C1040" s="286"/>
      <c r="D1040" s="286"/>
      <c r="E1040" s="286"/>
      <c r="F1040" s="286"/>
      <c r="G1040" s="286"/>
      <c r="H1040" s="286"/>
      <c r="I1040" s="286"/>
      <c r="J1040" s="286"/>
      <c r="K1040" s="286"/>
      <c r="L1040" s="286"/>
      <c r="M1040" s="286"/>
      <c r="N1040" s="286"/>
      <c r="O1040" s="286"/>
      <c r="P1040" s="286"/>
      <c r="Q1040" s="286"/>
      <c r="R1040" s="286"/>
      <c r="S1040" s="286"/>
      <c r="T1040" s="286"/>
      <c r="U1040" s="286"/>
      <c r="V1040" s="286"/>
    </row>
    <row r="1041" spans="1:22" ht="26.25" customHeight="1" x14ac:dyDescent="0.2">
      <c r="A1041" s="286"/>
      <c r="B1041" s="286"/>
      <c r="C1041" s="286"/>
      <c r="D1041" s="286"/>
      <c r="E1041" s="286"/>
      <c r="F1041" s="286"/>
      <c r="G1041" s="286"/>
      <c r="H1041" s="286"/>
      <c r="I1041" s="286"/>
      <c r="J1041" s="286"/>
      <c r="K1041" s="286"/>
      <c r="L1041" s="286"/>
      <c r="M1041" s="286"/>
      <c r="N1041" s="286"/>
      <c r="O1041" s="286"/>
      <c r="P1041" s="286"/>
      <c r="Q1041" s="286"/>
      <c r="R1041" s="286"/>
      <c r="S1041" s="286"/>
      <c r="T1041" s="286"/>
      <c r="U1041" s="286"/>
      <c r="V1041" s="286"/>
    </row>
    <row r="1042" spans="1:22" ht="26.25" customHeight="1" x14ac:dyDescent="0.2">
      <c r="A1042" s="286"/>
      <c r="B1042" s="286"/>
      <c r="C1042" s="286"/>
      <c r="D1042" s="286"/>
      <c r="E1042" s="286"/>
      <c r="F1042" s="286"/>
      <c r="G1042" s="286"/>
      <c r="H1042" s="286"/>
      <c r="I1042" s="286"/>
      <c r="J1042" s="286"/>
      <c r="K1042" s="286"/>
      <c r="L1042" s="286"/>
      <c r="M1042" s="286"/>
      <c r="N1042" s="286"/>
      <c r="O1042" s="286"/>
      <c r="P1042" s="286"/>
      <c r="Q1042" s="286"/>
      <c r="R1042" s="286"/>
      <c r="S1042" s="286"/>
      <c r="T1042" s="286"/>
      <c r="U1042" s="286"/>
      <c r="V1042" s="286"/>
    </row>
    <row r="1043" spans="1:22" ht="26.25" customHeight="1" x14ac:dyDescent="0.2">
      <c r="A1043" s="286"/>
      <c r="B1043" s="286"/>
      <c r="C1043" s="286"/>
      <c r="D1043" s="286"/>
      <c r="E1043" s="286"/>
      <c r="F1043" s="286"/>
      <c r="G1043" s="286"/>
      <c r="H1043" s="286"/>
      <c r="I1043" s="286"/>
      <c r="J1043" s="286"/>
      <c r="K1043" s="286"/>
      <c r="L1043" s="286"/>
      <c r="M1043" s="286"/>
      <c r="N1043" s="286"/>
      <c r="O1043" s="286"/>
      <c r="P1043" s="286"/>
      <c r="Q1043" s="286"/>
      <c r="R1043" s="286"/>
      <c r="S1043" s="286"/>
      <c r="T1043" s="286"/>
      <c r="U1043" s="286"/>
      <c r="V1043" s="286"/>
    </row>
    <row r="1044" spans="1:22" ht="26.25" customHeight="1" x14ac:dyDescent="0.2">
      <c r="A1044" s="286"/>
      <c r="B1044" s="286"/>
      <c r="C1044" s="286"/>
      <c r="D1044" s="286"/>
      <c r="E1044" s="286"/>
      <c r="F1044" s="286"/>
      <c r="G1044" s="286"/>
      <c r="H1044" s="286"/>
      <c r="I1044" s="286"/>
      <c r="J1044" s="286"/>
      <c r="K1044" s="286"/>
      <c r="L1044" s="286"/>
      <c r="M1044" s="286"/>
      <c r="N1044" s="286"/>
      <c r="O1044" s="286"/>
      <c r="P1044" s="286"/>
      <c r="Q1044" s="286"/>
      <c r="R1044" s="286"/>
      <c r="S1044" s="286"/>
      <c r="T1044" s="286"/>
      <c r="U1044" s="286"/>
      <c r="V1044" s="286"/>
    </row>
    <row r="1045" spans="1:22" ht="26.25" customHeight="1" x14ac:dyDescent="0.2">
      <c r="A1045" s="286"/>
      <c r="B1045" s="286"/>
      <c r="C1045" s="286"/>
      <c r="D1045" s="286"/>
      <c r="E1045" s="286"/>
      <c r="F1045" s="286"/>
      <c r="G1045" s="286"/>
      <c r="H1045" s="286"/>
      <c r="I1045" s="286"/>
      <c r="J1045" s="286"/>
      <c r="K1045" s="286"/>
      <c r="L1045" s="286"/>
      <c r="M1045" s="286"/>
      <c r="N1045" s="286"/>
      <c r="O1045" s="286"/>
      <c r="P1045" s="286"/>
      <c r="Q1045" s="286"/>
      <c r="R1045" s="286"/>
      <c r="S1045" s="286"/>
      <c r="T1045" s="286"/>
      <c r="U1045" s="286"/>
      <c r="V1045" s="286"/>
    </row>
    <row r="1046" spans="1:22" ht="26.25" customHeight="1" x14ac:dyDescent="0.2">
      <c r="A1046" s="286"/>
      <c r="B1046" s="286"/>
      <c r="C1046" s="286"/>
      <c r="D1046" s="286"/>
      <c r="E1046" s="286"/>
      <c r="F1046" s="286"/>
      <c r="G1046" s="286"/>
      <c r="H1046" s="286"/>
      <c r="I1046" s="286"/>
      <c r="J1046" s="286"/>
      <c r="K1046" s="286"/>
      <c r="L1046" s="286"/>
      <c r="M1046" s="286"/>
      <c r="N1046" s="286"/>
      <c r="O1046" s="286"/>
      <c r="P1046" s="286"/>
      <c r="Q1046" s="286"/>
      <c r="R1046" s="286"/>
      <c r="S1046" s="286"/>
      <c r="T1046" s="286"/>
      <c r="U1046" s="286"/>
      <c r="V1046" s="286"/>
    </row>
    <row r="1047" spans="1:22" ht="26.25" customHeight="1" x14ac:dyDescent="0.2">
      <c r="A1047" s="286"/>
      <c r="B1047" s="286"/>
      <c r="C1047" s="286"/>
      <c r="D1047" s="286"/>
      <c r="E1047" s="286"/>
      <c r="F1047" s="286"/>
      <c r="G1047" s="286"/>
      <c r="H1047" s="286"/>
      <c r="I1047" s="286"/>
      <c r="J1047" s="286"/>
      <c r="K1047" s="286"/>
      <c r="L1047" s="286"/>
      <c r="M1047" s="286"/>
      <c r="N1047" s="286"/>
      <c r="O1047" s="286"/>
      <c r="P1047" s="286"/>
      <c r="Q1047" s="286"/>
      <c r="R1047" s="286"/>
      <c r="S1047" s="286"/>
      <c r="T1047" s="286"/>
      <c r="U1047" s="286"/>
      <c r="V1047" s="286"/>
    </row>
    <row r="1048" spans="1:22" ht="26.25" customHeight="1" x14ac:dyDescent="0.2">
      <c r="A1048" s="286"/>
      <c r="B1048" s="286"/>
      <c r="C1048" s="286"/>
      <c r="D1048" s="286"/>
      <c r="E1048" s="286"/>
      <c r="F1048" s="286"/>
      <c r="G1048" s="286"/>
      <c r="H1048" s="286"/>
      <c r="I1048" s="286"/>
      <c r="J1048" s="286"/>
      <c r="K1048" s="286"/>
      <c r="L1048" s="286"/>
      <c r="M1048" s="286"/>
      <c r="N1048" s="286"/>
      <c r="O1048" s="286"/>
      <c r="P1048" s="286"/>
      <c r="Q1048" s="286"/>
      <c r="R1048" s="286"/>
      <c r="S1048" s="286"/>
      <c r="T1048" s="286"/>
      <c r="U1048" s="286"/>
      <c r="V1048" s="286"/>
    </row>
    <row r="1049" spans="1:22" ht="26.25" customHeight="1" x14ac:dyDescent="0.2">
      <c r="A1049" s="286"/>
      <c r="B1049" s="286"/>
      <c r="C1049" s="286"/>
      <c r="D1049" s="286"/>
      <c r="E1049" s="286"/>
      <c r="F1049" s="286"/>
      <c r="G1049" s="286"/>
      <c r="H1049" s="286"/>
      <c r="I1049" s="286"/>
      <c r="J1049" s="286"/>
      <c r="K1049" s="286"/>
      <c r="L1049" s="286"/>
      <c r="M1049" s="286"/>
      <c r="N1049" s="286"/>
      <c r="O1049" s="286"/>
      <c r="P1049" s="286"/>
      <c r="Q1049" s="286"/>
      <c r="R1049" s="286"/>
      <c r="S1049" s="286"/>
      <c r="T1049" s="286"/>
      <c r="U1049" s="286"/>
      <c r="V1049" s="286"/>
    </row>
    <row r="1050" spans="1:22" ht="26.25" customHeight="1" x14ac:dyDescent="0.2">
      <c r="A1050" s="286"/>
      <c r="B1050" s="286"/>
      <c r="C1050" s="286"/>
      <c r="D1050" s="286"/>
      <c r="E1050" s="286"/>
      <c r="F1050" s="286"/>
      <c r="G1050" s="286"/>
      <c r="H1050" s="286"/>
      <c r="I1050" s="286"/>
      <c r="J1050" s="286"/>
      <c r="K1050" s="286"/>
      <c r="L1050" s="286"/>
      <c r="M1050" s="286"/>
      <c r="N1050" s="286"/>
      <c r="O1050" s="286"/>
      <c r="P1050" s="286"/>
      <c r="Q1050" s="286"/>
      <c r="R1050" s="286"/>
      <c r="S1050" s="286"/>
      <c r="T1050" s="286"/>
      <c r="U1050" s="286"/>
      <c r="V1050" s="286"/>
    </row>
    <row r="1051" spans="1:22" ht="26.25" customHeight="1" x14ac:dyDescent="0.2">
      <c r="A1051" s="286"/>
      <c r="B1051" s="286"/>
      <c r="C1051" s="286"/>
      <c r="D1051" s="286"/>
      <c r="E1051" s="286"/>
      <c r="F1051" s="286"/>
      <c r="G1051" s="286"/>
      <c r="H1051" s="286"/>
      <c r="I1051" s="286"/>
      <c r="J1051" s="286"/>
      <c r="K1051" s="286"/>
      <c r="L1051" s="286"/>
      <c r="M1051" s="286"/>
      <c r="N1051" s="286"/>
      <c r="O1051" s="286"/>
      <c r="P1051" s="286"/>
      <c r="Q1051" s="286"/>
      <c r="R1051" s="286"/>
      <c r="S1051" s="286"/>
      <c r="T1051" s="286"/>
      <c r="U1051" s="286"/>
      <c r="V1051" s="286"/>
    </row>
    <row r="1052" spans="1:22" ht="26.25" customHeight="1" x14ac:dyDescent="0.2">
      <c r="A1052" s="286"/>
      <c r="B1052" s="286"/>
      <c r="C1052" s="286"/>
      <c r="D1052" s="286"/>
      <c r="E1052" s="286"/>
      <c r="F1052" s="286"/>
      <c r="G1052" s="286"/>
      <c r="H1052" s="286"/>
      <c r="I1052" s="286"/>
      <c r="J1052" s="286"/>
      <c r="K1052" s="286"/>
      <c r="L1052" s="286"/>
      <c r="M1052" s="286"/>
      <c r="N1052" s="286"/>
      <c r="O1052" s="286"/>
      <c r="P1052" s="286"/>
      <c r="Q1052" s="286"/>
      <c r="R1052" s="286"/>
      <c r="S1052" s="286"/>
      <c r="T1052" s="286"/>
      <c r="U1052" s="286"/>
      <c r="V1052" s="286"/>
    </row>
    <row r="1053" spans="1:22" ht="26.25" customHeight="1" x14ac:dyDescent="0.2">
      <c r="A1053" s="286"/>
      <c r="B1053" s="286"/>
      <c r="C1053" s="286"/>
      <c r="D1053" s="286"/>
      <c r="E1053" s="286"/>
      <c r="F1053" s="286"/>
      <c r="G1053" s="286"/>
      <c r="H1053" s="286"/>
      <c r="I1053" s="286"/>
      <c r="J1053" s="286"/>
      <c r="K1053" s="286"/>
      <c r="L1053" s="286"/>
      <c r="M1053" s="286"/>
      <c r="N1053" s="286"/>
      <c r="O1053" s="286"/>
      <c r="P1053" s="286"/>
      <c r="Q1053" s="286"/>
      <c r="R1053" s="286"/>
      <c r="S1053" s="286"/>
      <c r="T1053" s="286"/>
      <c r="U1053" s="286"/>
      <c r="V1053" s="286"/>
    </row>
    <row r="1054" spans="1:22" ht="26.25" customHeight="1" x14ac:dyDescent="0.2">
      <c r="A1054" s="286"/>
      <c r="B1054" s="286"/>
      <c r="C1054" s="286"/>
      <c r="D1054" s="286"/>
      <c r="E1054" s="286"/>
      <c r="F1054" s="286"/>
      <c r="G1054" s="286"/>
      <c r="H1054" s="286"/>
      <c r="I1054" s="286"/>
      <c r="J1054" s="286"/>
      <c r="K1054" s="286"/>
      <c r="L1054" s="286"/>
      <c r="M1054" s="286"/>
      <c r="N1054" s="286"/>
      <c r="O1054" s="286"/>
      <c r="P1054" s="286"/>
      <c r="Q1054" s="286"/>
      <c r="R1054" s="286"/>
      <c r="S1054" s="286"/>
      <c r="T1054" s="286"/>
      <c r="U1054" s="286"/>
      <c r="V1054" s="286"/>
    </row>
    <row r="1055" spans="1:22" ht="26.25" customHeight="1" x14ac:dyDescent="0.2">
      <c r="A1055" s="286"/>
      <c r="B1055" s="286"/>
      <c r="C1055" s="286"/>
      <c r="D1055" s="286"/>
      <c r="E1055" s="286"/>
      <c r="F1055" s="286"/>
      <c r="G1055" s="286"/>
      <c r="H1055" s="286"/>
      <c r="I1055" s="286"/>
      <c r="J1055" s="286"/>
      <c r="K1055" s="286"/>
      <c r="L1055" s="286"/>
      <c r="M1055" s="286"/>
      <c r="N1055" s="286"/>
      <c r="O1055" s="286"/>
      <c r="P1055" s="286"/>
      <c r="Q1055" s="286"/>
      <c r="R1055" s="286"/>
      <c r="S1055" s="286"/>
      <c r="T1055" s="286"/>
      <c r="U1055" s="286"/>
      <c r="V1055" s="286"/>
    </row>
    <row r="1056" spans="1:22" ht="26.25" customHeight="1" x14ac:dyDescent="0.2">
      <c r="A1056" s="286"/>
      <c r="B1056" s="286"/>
      <c r="C1056" s="286"/>
      <c r="D1056" s="286"/>
      <c r="E1056" s="286"/>
      <c r="F1056" s="286"/>
      <c r="G1056" s="286"/>
      <c r="H1056" s="286"/>
      <c r="I1056" s="286"/>
      <c r="J1056" s="286"/>
      <c r="K1056" s="286"/>
      <c r="L1056" s="286"/>
      <c r="M1056" s="286"/>
      <c r="N1056" s="286"/>
      <c r="O1056" s="286"/>
      <c r="P1056" s="286"/>
      <c r="Q1056" s="286"/>
      <c r="R1056" s="286"/>
      <c r="S1056" s="286"/>
      <c r="T1056" s="286"/>
      <c r="U1056" s="286"/>
      <c r="V1056" s="286"/>
    </row>
    <row r="1057" spans="1:22" ht="26.25" customHeight="1" x14ac:dyDescent="0.2">
      <c r="A1057" s="286"/>
      <c r="B1057" s="286"/>
      <c r="C1057" s="286"/>
      <c r="D1057" s="286"/>
      <c r="E1057" s="286"/>
      <c r="F1057" s="286"/>
      <c r="G1057" s="286"/>
      <c r="H1057" s="286"/>
      <c r="I1057" s="286"/>
      <c r="J1057" s="286"/>
      <c r="K1057" s="286"/>
      <c r="L1057" s="286"/>
      <c r="M1057" s="286"/>
      <c r="N1057" s="286"/>
      <c r="O1057" s="286"/>
      <c r="P1057" s="286"/>
      <c r="Q1057" s="286"/>
      <c r="R1057" s="286"/>
      <c r="S1057" s="286"/>
      <c r="T1057" s="286"/>
      <c r="U1057" s="286"/>
      <c r="V1057" s="286"/>
    </row>
    <row r="1058" spans="1:22" ht="26.25" customHeight="1" x14ac:dyDescent="0.2">
      <c r="A1058" s="286"/>
      <c r="B1058" s="286"/>
      <c r="C1058" s="286"/>
      <c r="D1058" s="286"/>
      <c r="E1058" s="286"/>
      <c r="F1058" s="286"/>
      <c r="G1058" s="286"/>
      <c r="H1058" s="286"/>
      <c r="I1058" s="286"/>
      <c r="J1058" s="286"/>
      <c r="K1058" s="286"/>
      <c r="L1058" s="286"/>
      <c r="M1058" s="286"/>
      <c r="N1058" s="286"/>
      <c r="O1058" s="286"/>
      <c r="P1058" s="286"/>
      <c r="Q1058" s="286"/>
      <c r="R1058" s="286"/>
      <c r="S1058" s="286"/>
      <c r="T1058" s="286"/>
      <c r="U1058" s="286"/>
      <c r="V1058" s="286"/>
    </row>
    <row r="1059" spans="1:22" ht="26.25" customHeight="1" x14ac:dyDescent="0.2">
      <c r="A1059" s="286"/>
      <c r="B1059" s="286"/>
      <c r="C1059" s="286"/>
      <c r="D1059" s="286"/>
      <c r="E1059" s="286"/>
      <c r="F1059" s="286"/>
      <c r="G1059" s="286"/>
      <c r="H1059" s="286"/>
      <c r="I1059" s="286"/>
      <c r="J1059" s="286"/>
      <c r="K1059" s="286"/>
      <c r="L1059" s="286"/>
      <c r="M1059" s="286"/>
      <c r="N1059" s="286"/>
      <c r="O1059" s="286"/>
      <c r="P1059" s="286"/>
      <c r="Q1059" s="286"/>
      <c r="R1059" s="286"/>
      <c r="S1059" s="286"/>
      <c r="T1059" s="286"/>
      <c r="U1059" s="286"/>
      <c r="V1059" s="286"/>
    </row>
    <row r="1060" spans="1:22" ht="26.25" customHeight="1" x14ac:dyDescent="0.2">
      <c r="A1060" s="286"/>
      <c r="B1060" s="286"/>
      <c r="C1060" s="286"/>
      <c r="D1060" s="286"/>
      <c r="E1060" s="286"/>
      <c r="F1060" s="286"/>
      <c r="G1060" s="286"/>
      <c r="H1060" s="286"/>
      <c r="I1060" s="286"/>
      <c r="J1060" s="286"/>
      <c r="K1060" s="286"/>
      <c r="L1060" s="286"/>
      <c r="M1060" s="286"/>
      <c r="N1060" s="286"/>
      <c r="O1060" s="286"/>
      <c r="P1060" s="286"/>
      <c r="Q1060" s="286"/>
      <c r="R1060" s="286"/>
      <c r="S1060" s="286"/>
      <c r="T1060" s="286"/>
      <c r="U1060" s="286"/>
      <c r="V1060" s="286"/>
    </row>
    <row r="1061" spans="1:22" ht="26.25" customHeight="1" x14ac:dyDescent="0.2">
      <c r="A1061" s="286"/>
      <c r="B1061" s="286"/>
      <c r="C1061" s="286"/>
      <c r="D1061" s="286"/>
      <c r="E1061" s="286"/>
      <c r="F1061" s="286"/>
      <c r="G1061" s="286"/>
      <c r="H1061" s="286"/>
      <c r="I1061" s="286"/>
      <c r="J1061" s="286"/>
      <c r="K1061" s="286"/>
      <c r="L1061" s="286"/>
      <c r="M1061" s="286"/>
      <c r="N1061" s="286"/>
      <c r="O1061" s="286"/>
      <c r="P1061" s="286"/>
      <c r="Q1061" s="286"/>
      <c r="R1061" s="286"/>
      <c r="S1061" s="286"/>
      <c r="T1061" s="286"/>
      <c r="U1061" s="286"/>
      <c r="V1061" s="286"/>
    </row>
    <row r="1062" spans="1:22" ht="26.25" customHeight="1" x14ac:dyDescent="0.2">
      <c r="A1062" s="286"/>
      <c r="B1062" s="286"/>
      <c r="C1062" s="286"/>
      <c r="D1062" s="286"/>
      <c r="E1062" s="286"/>
      <c r="F1062" s="286"/>
      <c r="G1062" s="286"/>
      <c r="H1062" s="286"/>
      <c r="I1062" s="286"/>
      <c r="J1062" s="286"/>
      <c r="K1062" s="286"/>
      <c r="L1062" s="286"/>
      <c r="M1062" s="286"/>
      <c r="N1062" s="286"/>
      <c r="O1062" s="286"/>
      <c r="P1062" s="286"/>
      <c r="Q1062" s="286"/>
      <c r="R1062" s="286"/>
      <c r="S1062" s="286"/>
      <c r="T1062" s="286"/>
      <c r="U1062" s="286"/>
      <c r="V1062" s="286"/>
    </row>
    <row r="1063" spans="1:22" ht="26.25" customHeight="1" x14ac:dyDescent="0.2">
      <c r="A1063" s="286"/>
      <c r="B1063" s="286"/>
      <c r="C1063" s="286"/>
      <c r="D1063" s="286"/>
      <c r="E1063" s="286"/>
      <c r="F1063" s="286"/>
      <c r="G1063" s="286"/>
      <c r="H1063" s="286"/>
      <c r="I1063" s="286"/>
      <c r="J1063" s="286"/>
      <c r="K1063" s="286"/>
      <c r="L1063" s="286"/>
      <c r="M1063" s="286"/>
      <c r="N1063" s="286"/>
      <c r="O1063" s="286"/>
      <c r="P1063" s="286"/>
      <c r="Q1063" s="286"/>
      <c r="R1063" s="286"/>
      <c r="S1063" s="286"/>
      <c r="T1063" s="286"/>
      <c r="U1063" s="286"/>
      <c r="V1063" s="286"/>
    </row>
    <row r="1064" spans="1:22" ht="26.25" customHeight="1" x14ac:dyDescent="0.2">
      <c r="A1064" s="286"/>
      <c r="B1064" s="286"/>
      <c r="C1064" s="286"/>
      <c r="D1064" s="286"/>
      <c r="E1064" s="286"/>
      <c r="F1064" s="286"/>
      <c r="G1064" s="286"/>
      <c r="H1064" s="286"/>
      <c r="I1064" s="286"/>
      <c r="J1064" s="286"/>
      <c r="K1064" s="286"/>
      <c r="L1064" s="286"/>
      <c r="M1064" s="286"/>
      <c r="N1064" s="286"/>
      <c r="O1064" s="286"/>
      <c r="P1064" s="286"/>
      <c r="Q1064" s="286"/>
      <c r="R1064" s="286"/>
      <c r="S1064" s="286"/>
      <c r="T1064" s="286"/>
      <c r="U1064" s="286"/>
      <c r="V1064" s="286"/>
    </row>
    <row r="1065" spans="1:22" ht="26.25" customHeight="1" x14ac:dyDescent="0.2">
      <c r="A1065" s="286"/>
      <c r="B1065" s="286"/>
      <c r="C1065" s="286"/>
      <c r="D1065" s="286"/>
      <c r="E1065" s="286"/>
      <c r="F1065" s="286"/>
      <c r="G1065" s="286"/>
      <c r="H1065" s="286"/>
      <c r="I1065" s="286"/>
      <c r="J1065" s="286"/>
      <c r="K1065" s="286"/>
      <c r="L1065" s="286"/>
      <c r="M1065" s="286"/>
      <c r="N1065" s="286"/>
      <c r="O1065" s="286"/>
      <c r="P1065" s="286"/>
      <c r="Q1065" s="286"/>
      <c r="R1065" s="286"/>
      <c r="S1065" s="286"/>
      <c r="T1065" s="286"/>
      <c r="U1065" s="286"/>
      <c r="V1065" s="286"/>
    </row>
    <row r="1066" spans="1:22" ht="26.25" customHeight="1" x14ac:dyDescent="0.2">
      <c r="A1066" s="286"/>
      <c r="B1066" s="286"/>
      <c r="C1066" s="286"/>
      <c r="D1066" s="286"/>
      <c r="E1066" s="286"/>
      <c r="F1066" s="286"/>
      <c r="G1066" s="286"/>
      <c r="H1066" s="286"/>
      <c r="I1066" s="286"/>
      <c r="J1066" s="286"/>
      <c r="K1066" s="286"/>
      <c r="L1066" s="286"/>
      <c r="M1066" s="286"/>
      <c r="N1066" s="286"/>
      <c r="O1066" s="286"/>
      <c r="P1066" s="286"/>
      <c r="Q1066" s="286"/>
      <c r="R1066" s="286"/>
      <c r="S1066" s="286"/>
      <c r="T1066" s="286"/>
      <c r="U1066" s="286"/>
      <c r="V1066" s="286"/>
    </row>
    <row r="1067" spans="1:22" ht="26.25" customHeight="1" x14ac:dyDescent="0.2">
      <c r="A1067" s="286"/>
      <c r="B1067" s="286"/>
      <c r="C1067" s="286"/>
      <c r="D1067" s="286"/>
      <c r="E1067" s="286"/>
      <c r="F1067" s="286"/>
      <c r="G1067" s="286"/>
      <c r="H1067" s="286"/>
      <c r="I1067" s="286"/>
      <c r="J1067" s="286"/>
      <c r="K1067" s="286"/>
      <c r="L1067" s="286"/>
      <c r="M1067" s="286"/>
      <c r="N1067" s="286"/>
      <c r="O1067" s="286"/>
      <c r="P1067" s="286"/>
      <c r="Q1067" s="286"/>
      <c r="R1067" s="286"/>
      <c r="S1067" s="286"/>
      <c r="T1067" s="286"/>
      <c r="U1067" s="286"/>
      <c r="V1067" s="286"/>
    </row>
    <row r="1068" spans="1:22" ht="26.25" customHeight="1" x14ac:dyDescent="0.2">
      <c r="A1068" s="286"/>
      <c r="B1068" s="286"/>
      <c r="C1068" s="286"/>
      <c r="D1068" s="286"/>
      <c r="E1068" s="286"/>
      <c r="F1068" s="286"/>
      <c r="G1068" s="286"/>
      <c r="H1068" s="286"/>
      <c r="I1068" s="286"/>
      <c r="J1068" s="286"/>
      <c r="K1068" s="286"/>
      <c r="L1068" s="286"/>
      <c r="M1068" s="286"/>
      <c r="N1068" s="286"/>
      <c r="O1068" s="286"/>
      <c r="P1068" s="286"/>
      <c r="Q1068" s="286"/>
      <c r="R1068" s="286"/>
      <c r="S1068" s="286"/>
      <c r="T1068" s="286"/>
      <c r="U1068" s="286"/>
      <c r="V1068" s="286"/>
    </row>
    <row r="1069" spans="1:22" ht="26.25" customHeight="1" x14ac:dyDescent="0.2">
      <c r="A1069" s="286"/>
      <c r="B1069" s="286"/>
      <c r="C1069" s="286"/>
      <c r="D1069" s="286"/>
      <c r="E1069" s="286"/>
      <c r="F1069" s="286"/>
      <c r="G1069" s="286"/>
      <c r="H1069" s="286"/>
      <c r="I1069" s="286"/>
      <c r="J1069" s="286"/>
      <c r="K1069" s="286"/>
      <c r="L1069" s="286"/>
      <c r="M1069" s="286"/>
      <c r="N1069" s="286"/>
      <c r="O1069" s="286"/>
      <c r="P1069" s="286"/>
      <c r="Q1069" s="286"/>
      <c r="R1069" s="286"/>
      <c r="S1069" s="286"/>
      <c r="T1069" s="286"/>
      <c r="U1069" s="286"/>
      <c r="V1069" s="286"/>
    </row>
    <row r="1070" spans="1:22" ht="26.25" customHeight="1" x14ac:dyDescent="0.2">
      <c r="A1070" s="286"/>
      <c r="B1070" s="286"/>
      <c r="C1070" s="286"/>
      <c r="D1070" s="286"/>
      <c r="E1070" s="286"/>
      <c r="F1070" s="286"/>
      <c r="G1070" s="286"/>
      <c r="H1070" s="286"/>
      <c r="I1070" s="286"/>
      <c r="J1070" s="286"/>
      <c r="K1070" s="286"/>
      <c r="L1070" s="286"/>
      <c r="M1070" s="286"/>
      <c r="N1070" s="286"/>
      <c r="O1070" s="286"/>
      <c r="P1070" s="286"/>
      <c r="Q1070" s="286"/>
      <c r="R1070" s="286"/>
      <c r="S1070" s="286"/>
      <c r="T1070" s="286"/>
      <c r="U1070" s="286"/>
      <c r="V1070" s="286"/>
    </row>
    <row r="1071" spans="1:22" ht="26.25" customHeight="1" x14ac:dyDescent="0.2">
      <c r="A1071" s="286"/>
      <c r="B1071" s="286"/>
      <c r="C1071" s="286"/>
      <c r="D1071" s="286"/>
      <c r="E1071" s="286"/>
      <c r="F1071" s="286"/>
      <c r="G1071" s="286"/>
      <c r="H1071" s="286"/>
      <c r="I1071" s="286"/>
      <c r="J1071" s="286"/>
      <c r="K1071" s="286"/>
      <c r="L1071" s="286"/>
      <c r="M1071" s="286"/>
      <c r="N1071" s="286"/>
      <c r="O1071" s="286"/>
      <c r="P1071" s="286"/>
      <c r="Q1071" s="286"/>
      <c r="R1071" s="286"/>
      <c r="S1071" s="286"/>
      <c r="T1071" s="286"/>
      <c r="U1071" s="286"/>
      <c r="V1071" s="286"/>
    </row>
    <row r="1072" spans="1:22" ht="26.25" customHeight="1" x14ac:dyDescent="0.2">
      <c r="A1072" s="286"/>
      <c r="B1072" s="286"/>
      <c r="C1072" s="286"/>
      <c r="D1072" s="286"/>
      <c r="E1072" s="286"/>
      <c r="F1072" s="286"/>
      <c r="G1072" s="286"/>
      <c r="H1072" s="286"/>
      <c r="I1072" s="286"/>
      <c r="J1072" s="286"/>
      <c r="K1072" s="286"/>
      <c r="L1072" s="286"/>
      <c r="M1072" s="286"/>
      <c r="N1072" s="286"/>
      <c r="O1072" s="286"/>
      <c r="P1072" s="286"/>
      <c r="Q1072" s="286"/>
      <c r="R1072" s="286"/>
      <c r="S1072" s="286"/>
      <c r="T1072" s="286"/>
      <c r="U1072" s="286"/>
      <c r="V1072" s="286"/>
    </row>
    <row r="1073" spans="1:22" ht="26.25" customHeight="1" x14ac:dyDescent="0.2">
      <c r="A1073" s="286"/>
      <c r="B1073" s="286"/>
      <c r="C1073" s="286"/>
      <c r="D1073" s="286"/>
      <c r="E1073" s="286"/>
      <c r="F1073" s="286"/>
      <c r="G1073" s="286"/>
      <c r="H1073" s="286"/>
      <c r="I1073" s="286"/>
      <c r="J1073" s="286"/>
      <c r="K1073" s="286"/>
      <c r="L1073" s="286"/>
      <c r="M1073" s="286"/>
      <c r="N1073" s="286"/>
      <c r="O1073" s="286"/>
      <c r="P1073" s="286"/>
      <c r="Q1073" s="286"/>
      <c r="R1073" s="286"/>
      <c r="S1073" s="286"/>
      <c r="T1073" s="286"/>
      <c r="U1073" s="286"/>
      <c r="V1073" s="286"/>
    </row>
    <row r="1074" spans="1:22" ht="26.25" customHeight="1" x14ac:dyDescent="0.2">
      <c r="A1074" s="286"/>
      <c r="B1074" s="286"/>
      <c r="C1074" s="286"/>
      <c r="D1074" s="286"/>
      <c r="E1074" s="286"/>
      <c r="F1074" s="286"/>
      <c r="G1074" s="286"/>
      <c r="H1074" s="286"/>
      <c r="I1074" s="286"/>
      <c r="J1074" s="286"/>
      <c r="K1074" s="286"/>
      <c r="L1074" s="286"/>
      <c r="M1074" s="286"/>
      <c r="N1074" s="286"/>
      <c r="O1074" s="286"/>
      <c r="P1074" s="286"/>
      <c r="Q1074" s="286"/>
      <c r="R1074" s="286"/>
      <c r="S1074" s="286"/>
      <c r="T1074" s="286"/>
      <c r="U1074" s="286"/>
      <c r="V1074" s="286"/>
    </row>
    <row r="1075" spans="1:22" ht="26.25" customHeight="1" x14ac:dyDescent="0.2">
      <c r="A1075" s="286"/>
      <c r="B1075" s="286"/>
      <c r="C1075" s="286"/>
      <c r="D1075" s="286"/>
      <c r="E1075" s="286"/>
      <c r="F1075" s="286"/>
      <c r="G1075" s="286"/>
      <c r="H1075" s="286"/>
      <c r="I1075" s="286"/>
      <c r="J1075" s="286"/>
      <c r="K1075" s="286"/>
      <c r="L1075" s="286"/>
      <c r="M1075" s="286"/>
      <c r="N1075" s="286"/>
      <c r="O1075" s="286"/>
      <c r="P1075" s="286"/>
      <c r="Q1075" s="286"/>
      <c r="R1075" s="286"/>
      <c r="S1075" s="286"/>
      <c r="T1075" s="286"/>
      <c r="U1075" s="286"/>
      <c r="V1075" s="286"/>
    </row>
    <row r="1076" spans="1:22" ht="26.25" customHeight="1" x14ac:dyDescent="0.2">
      <c r="A1076" s="286"/>
      <c r="B1076" s="286"/>
      <c r="C1076" s="286"/>
      <c r="D1076" s="286"/>
      <c r="E1076" s="286"/>
      <c r="F1076" s="286"/>
      <c r="G1076" s="286"/>
      <c r="H1076" s="286"/>
      <c r="I1076" s="286"/>
      <c r="J1076" s="286"/>
      <c r="K1076" s="286"/>
      <c r="L1076" s="286"/>
      <c r="M1076" s="286"/>
      <c r="N1076" s="286"/>
      <c r="O1076" s="286"/>
      <c r="P1076" s="286"/>
      <c r="Q1076" s="286"/>
      <c r="R1076" s="286"/>
      <c r="S1076" s="286"/>
      <c r="T1076" s="286"/>
      <c r="U1076" s="286"/>
      <c r="V1076" s="286"/>
    </row>
    <row r="1077" spans="1:22" ht="26.25" customHeight="1" x14ac:dyDescent="0.2">
      <c r="A1077" s="286"/>
      <c r="B1077" s="286"/>
      <c r="C1077" s="286"/>
      <c r="D1077" s="286"/>
      <c r="E1077" s="286"/>
      <c r="F1077" s="286"/>
      <c r="G1077" s="286"/>
      <c r="H1077" s="286"/>
      <c r="I1077" s="286"/>
      <c r="J1077" s="286"/>
      <c r="K1077" s="286"/>
      <c r="L1077" s="286"/>
      <c r="M1077" s="286"/>
      <c r="N1077" s="286"/>
      <c r="O1077" s="286"/>
      <c r="P1077" s="286"/>
      <c r="Q1077" s="286"/>
      <c r="R1077" s="286"/>
      <c r="S1077" s="286"/>
      <c r="T1077" s="286"/>
      <c r="U1077" s="286"/>
      <c r="V1077" s="286"/>
    </row>
    <row r="1078" spans="1:22" ht="26.25" customHeight="1" x14ac:dyDescent="0.2">
      <c r="A1078" s="286"/>
      <c r="B1078" s="286"/>
      <c r="C1078" s="286"/>
      <c r="D1078" s="286"/>
      <c r="E1078" s="286"/>
      <c r="F1078" s="286"/>
      <c r="G1078" s="286"/>
      <c r="H1078" s="286"/>
      <c r="I1078" s="286"/>
      <c r="J1078" s="286"/>
      <c r="K1078" s="286"/>
      <c r="L1078" s="286"/>
      <c r="M1078" s="286"/>
      <c r="N1078" s="286"/>
      <c r="O1078" s="286"/>
      <c r="P1078" s="286"/>
      <c r="Q1078" s="286"/>
      <c r="R1078" s="286"/>
      <c r="S1078" s="286"/>
      <c r="T1078" s="286"/>
      <c r="U1078" s="286"/>
      <c r="V1078" s="286"/>
    </row>
    <row r="1079" spans="1:22" ht="26.25" customHeight="1" x14ac:dyDescent="0.2">
      <c r="A1079" s="286"/>
      <c r="B1079" s="286"/>
      <c r="C1079" s="286"/>
      <c r="D1079" s="286"/>
      <c r="E1079" s="286"/>
      <c r="F1079" s="286"/>
      <c r="G1079" s="286"/>
      <c r="H1079" s="286"/>
      <c r="I1079" s="286"/>
      <c r="J1079" s="286"/>
      <c r="K1079" s="286"/>
      <c r="L1079" s="286"/>
      <c r="M1079" s="286"/>
      <c r="N1079" s="286"/>
      <c r="O1079" s="286"/>
      <c r="P1079" s="286"/>
      <c r="Q1079" s="286"/>
      <c r="R1079" s="286"/>
      <c r="S1079" s="286"/>
      <c r="T1079" s="286"/>
      <c r="U1079" s="286"/>
      <c r="V1079" s="286"/>
    </row>
    <row r="1080" spans="1:22" ht="26.25" customHeight="1" x14ac:dyDescent="0.2">
      <c r="A1080" s="286"/>
      <c r="B1080" s="286"/>
      <c r="C1080" s="286"/>
      <c r="D1080" s="286"/>
      <c r="E1080" s="286"/>
      <c r="F1080" s="286"/>
      <c r="G1080" s="286"/>
      <c r="H1080" s="286"/>
      <c r="I1080" s="286"/>
      <c r="J1080" s="286"/>
      <c r="K1080" s="286"/>
      <c r="L1080" s="286"/>
      <c r="M1080" s="286"/>
      <c r="N1080" s="286"/>
      <c r="O1080" s="286"/>
      <c r="P1080" s="286"/>
      <c r="Q1080" s="286"/>
      <c r="R1080" s="286"/>
      <c r="S1080" s="286"/>
      <c r="T1080" s="286"/>
      <c r="U1080" s="286"/>
      <c r="V1080" s="286"/>
    </row>
    <row r="1081" spans="1:22" ht="26.25" customHeight="1" x14ac:dyDescent="0.2">
      <c r="A1081" s="286"/>
      <c r="B1081" s="286"/>
      <c r="C1081" s="286"/>
      <c r="D1081" s="286"/>
      <c r="E1081" s="286"/>
      <c r="F1081" s="286"/>
      <c r="G1081" s="286"/>
      <c r="H1081" s="286"/>
      <c r="I1081" s="286"/>
      <c r="J1081" s="286"/>
      <c r="K1081" s="286"/>
      <c r="L1081" s="286"/>
      <c r="M1081" s="286"/>
      <c r="N1081" s="286"/>
      <c r="O1081" s="286"/>
      <c r="P1081" s="286"/>
      <c r="Q1081" s="286"/>
      <c r="R1081" s="286"/>
      <c r="S1081" s="286"/>
      <c r="T1081" s="286"/>
      <c r="U1081" s="286"/>
      <c r="V1081" s="286"/>
    </row>
    <row r="1082" spans="1:22" ht="26.25" customHeight="1" x14ac:dyDescent="0.2">
      <c r="A1082" s="286"/>
      <c r="B1082" s="286"/>
      <c r="C1082" s="286"/>
      <c r="D1082" s="286"/>
      <c r="E1082" s="286"/>
      <c r="F1082" s="286"/>
      <c r="G1082" s="286"/>
      <c r="H1082" s="286"/>
      <c r="I1082" s="286"/>
      <c r="J1082" s="286"/>
      <c r="K1082" s="286"/>
      <c r="L1082" s="286"/>
      <c r="M1082" s="286"/>
      <c r="N1082" s="286"/>
      <c r="O1082" s="286"/>
      <c r="P1082" s="286"/>
      <c r="Q1082" s="286"/>
      <c r="R1082" s="286"/>
      <c r="S1082" s="286"/>
      <c r="T1082" s="286"/>
      <c r="U1082" s="286"/>
      <c r="V1082" s="286"/>
    </row>
    <row r="1083" spans="1:22" ht="26.25" customHeight="1" x14ac:dyDescent="0.2">
      <c r="A1083" s="286"/>
      <c r="B1083" s="286"/>
      <c r="C1083" s="286"/>
      <c r="D1083" s="286"/>
      <c r="E1083" s="286"/>
      <c r="F1083" s="286"/>
      <c r="G1083" s="286"/>
      <c r="H1083" s="286"/>
      <c r="I1083" s="286"/>
      <c r="J1083" s="286"/>
      <c r="K1083" s="286"/>
      <c r="L1083" s="286"/>
      <c r="M1083" s="286"/>
      <c r="N1083" s="286"/>
      <c r="O1083" s="286"/>
      <c r="P1083" s="286"/>
      <c r="Q1083" s="286"/>
      <c r="R1083" s="286"/>
      <c r="S1083" s="286"/>
      <c r="T1083" s="286"/>
      <c r="U1083" s="286"/>
      <c r="V1083" s="286"/>
    </row>
    <row r="1084" spans="1:22" ht="26.25" customHeight="1" x14ac:dyDescent="0.2">
      <c r="A1084" s="286"/>
      <c r="B1084" s="286"/>
      <c r="C1084" s="286"/>
      <c r="D1084" s="286"/>
      <c r="E1084" s="286"/>
      <c r="F1084" s="286"/>
      <c r="G1084" s="286"/>
      <c r="H1084" s="286"/>
      <c r="I1084" s="286"/>
      <c r="J1084" s="286"/>
      <c r="K1084" s="286"/>
      <c r="L1084" s="286"/>
      <c r="M1084" s="286"/>
      <c r="N1084" s="286"/>
      <c r="O1084" s="286"/>
      <c r="P1084" s="286"/>
      <c r="Q1084" s="286"/>
      <c r="R1084" s="286"/>
      <c r="S1084" s="286"/>
      <c r="T1084" s="286"/>
      <c r="U1084" s="286"/>
      <c r="V1084" s="286"/>
    </row>
    <row r="1085" spans="1:22" ht="26.25" customHeight="1" x14ac:dyDescent="0.2">
      <c r="A1085" s="286"/>
      <c r="B1085" s="286"/>
      <c r="C1085" s="286"/>
      <c r="D1085" s="286"/>
      <c r="E1085" s="286"/>
      <c r="F1085" s="286"/>
      <c r="G1085" s="286"/>
      <c r="H1085" s="286"/>
      <c r="I1085" s="286"/>
      <c r="J1085" s="286"/>
      <c r="K1085" s="286"/>
      <c r="L1085" s="286"/>
      <c r="M1085" s="286"/>
      <c r="N1085" s="286"/>
      <c r="O1085" s="286"/>
      <c r="P1085" s="286"/>
      <c r="Q1085" s="286"/>
      <c r="R1085" s="286"/>
      <c r="S1085" s="286"/>
      <c r="T1085" s="286"/>
      <c r="U1085" s="286"/>
      <c r="V1085" s="286"/>
    </row>
    <row r="1086" spans="1:22" ht="26.25" customHeight="1" x14ac:dyDescent="0.2">
      <c r="A1086" s="286"/>
      <c r="B1086" s="286"/>
      <c r="C1086" s="286"/>
      <c r="D1086" s="286"/>
      <c r="E1086" s="286"/>
      <c r="F1086" s="286"/>
      <c r="G1086" s="286"/>
      <c r="H1086" s="286"/>
      <c r="I1086" s="286"/>
      <c r="J1086" s="286"/>
      <c r="K1086" s="286"/>
      <c r="L1086" s="286"/>
      <c r="M1086" s="286"/>
      <c r="N1086" s="286"/>
      <c r="O1086" s="286"/>
      <c r="P1086" s="286"/>
      <c r="Q1086" s="286"/>
      <c r="R1086" s="286"/>
      <c r="S1086" s="286"/>
      <c r="T1086" s="286"/>
      <c r="U1086" s="286"/>
      <c r="V1086" s="286"/>
    </row>
    <row r="1087" spans="1:22" ht="26.25" customHeight="1" x14ac:dyDescent="0.2">
      <c r="A1087" s="286"/>
      <c r="B1087" s="286"/>
      <c r="C1087" s="286"/>
      <c r="D1087" s="286"/>
      <c r="E1087" s="286"/>
      <c r="F1087" s="286"/>
      <c r="G1087" s="286"/>
      <c r="H1087" s="286"/>
      <c r="I1087" s="286"/>
      <c r="J1087" s="286"/>
      <c r="K1087" s="286"/>
      <c r="L1087" s="286"/>
      <c r="M1087" s="286"/>
      <c r="N1087" s="286"/>
      <c r="O1087" s="286"/>
      <c r="P1087" s="286"/>
      <c r="Q1087" s="286"/>
      <c r="R1087" s="286"/>
      <c r="S1087" s="286"/>
      <c r="T1087" s="286"/>
      <c r="U1087" s="286"/>
      <c r="V1087" s="286"/>
    </row>
    <row r="1088" spans="1:22" ht="26.25" customHeight="1" x14ac:dyDescent="0.2">
      <c r="A1088" s="286"/>
      <c r="B1088" s="286"/>
      <c r="C1088" s="286"/>
      <c r="D1088" s="286"/>
      <c r="E1088" s="286"/>
      <c r="F1088" s="286"/>
      <c r="G1088" s="286"/>
      <c r="H1088" s="286"/>
      <c r="I1088" s="286"/>
      <c r="J1088" s="286"/>
      <c r="K1088" s="286"/>
      <c r="L1088" s="286"/>
      <c r="M1088" s="286"/>
      <c r="N1088" s="286"/>
      <c r="O1088" s="286"/>
      <c r="P1088" s="286"/>
      <c r="Q1088" s="286"/>
      <c r="R1088" s="286"/>
      <c r="S1088" s="286"/>
      <c r="T1088" s="286"/>
      <c r="U1088" s="286"/>
      <c r="V1088" s="286"/>
    </row>
    <row r="1089" spans="1:22" ht="26.25" customHeight="1" x14ac:dyDescent="0.2">
      <c r="A1089" s="286"/>
      <c r="B1089" s="286"/>
      <c r="C1089" s="286"/>
      <c r="D1089" s="286"/>
      <c r="E1089" s="286"/>
      <c r="F1089" s="286"/>
      <c r="G1089" s="286"/>
      <c r="H1089" s="286"/>
      <c r="I1089" s="286"/>
      <c r="J1089" s="286"/>
      <c r="K1089" s="286"/>
      <c r="L1089" s="286"/>
      <c r="M1089" s="286"/>
      <c r="N1089" s="286"/>
      <c r="O1089" s="286"/>
      <c r="P1089" s="286"/>
      <c r="Q1089" s="286"/>
      <c r="R1089" s="286"/>
      <c r="S1089" s="286"/>
      <c r="T1089" s="286"/>
      <c r="U1089" s="286"/>
      <c r="V1089" s="286"/>
    </row>
    <row r="1090" spans="1:22" ht="26.25" customHeight="1" x14ac:dyDescent="0.2">
      <c r="A1090" s="286"/>
      <c r="B1090" s="286"/>
      <c r="C1090" s="286"/>
      <c r="D1090" s="286"/>
      <c r="E1090" s="286"/>
      <c r="F1090" s="286"/>
      <c r="G1090" s="286"/>
      <c r="H1090" s="286"/>
      <c r="I1090" s="286"/>
      <c r="J1090" s="286"/>
      <c r="K1090" s="286"/>
      <c r="L1090" s="286"/>
      <c r="M1090" s="286"/>
      <c r="N1090" s="286"/>
      <c r="O1090" s="286"/>
      <c r="P1090" s="286"/>
      <c r="Q1090" s="286"/>
      <c r="R1090" s="286"/>
      <c r="S1090" s="286"/>
      <c r="T1090" s="286"/>
      <c r="U1090" s="286"/>
      <c r="V1090" s="286"/>
    </row>
    <row r="1091" spans="1:22" ht="26.25" customHeight="1" x14ac:dyDescent="0.2">
      <c r="A1091" s="286"/>
      <c r="B1091" s="286"/>
      <c r="C1091" s="286"/>
      <c r="D1091" s="286"/>
      <c r="E1091" s="286"/>
      <c r="F1091" s="286"/>
      <c r="G1091" s="286"/>
      <c r="H1091" s="286"/>
      <c r="I1091" s="286"/>
      <c r="J1091" s="286"/>
      <c r="K1091" s="286"/>
      <c r="L1091" s="286"/>
      <c r="M1091" s="286"/>
      <c r="N1091" s="286"/>
      <c r="O1091" s="286"/>
      <c r="P1091" s="286"/>
      <c r="Q1091" s="286"/>
      <c r="R1091" s="286"/>
      <c r="S1091" s="286"/>
      <c r="T1091" s="286"/>
      <c r="U1091" s="286"/>
      <c r="V1091" s="286"/>
    </row>
  </sheetData>
  <sheetProtection sheet="1" objects="1" scenarios="1"/>
  <mergeCells count="835">
    <mergeCell ref="A507:L507"/>
    <mergeCell ref="M507:Q507"/>
    <mergeCell ref="A508:Q508"/>
    <mergeCell ref="A509:Q510"/>
    <mergeCell ref="A511:Q511"/>
    <mergeCell ref="A512:Q513"/>
    <mergeCell ref="A500:Q501"/>
    <mergeCell ref="A502:Q502"/>
    <mergeCell ref="A503:Q504"/>
    <mergeCell ref="A505:Q505"/>
    <mergeCell ref="A506:L506"/>
    <mergeCell ref="M506:Q506"/>
    <mergeCell ref="M496:Q496"/>
    <mergeCell ref="A497:L497"/>
    <mergeCell ref="M497:Q497"/>
    <mergeCell ref="A498:L498"/>
    <mergeCell ref="M498:Q498"/>
    <mergeCell ref="A499:Q499"/>
    <mergeCell ref="S493:V493"/>
    <mergeCell ref="A494:D494"/>
    <mergeCell ref="E494:H494"/>
    <mergeCell ref="I494:L494"/>
    <mergeCell ref="M494:Q494"/>
    <mergeCell ref="A495:Q495"/>
    <mergeCell ref="A490:J491"/>
    <mergeCell ref="K490:O490"/>
    <mergeCell ref="K491:O491"/>
    <mergeCell ref="A492:Q492"/>
    <mergeCell ref="A493:D493"/>
    <mergeCell ref="E493:H493"/>
    <mergeCell ref="I493:L493"/>
    <mergeCell ref="M493:Q493"/>
    <mergeCell ref="A486:J486"/>
    <mergeCell ref="K486:N487"/>
    <mergeCell ref="O486:Q486"/>
    <mergeCell ref="A487:J488"/>
    <mergeCell ref="K488:O488"/>
    <mergeCell ref="A489:J489"/>
    <mergeCell ref="K489:O489"/>
    <mergeCell ref="A484:D484"/>
    <mergeCell ref="E484:F484"/>
    <mergeCell ref="M484:P484"/>
    <mergeCell ref="A485:H485"/>
    <mergeCell ref="I485:J485"/>
    <mergeCell ref="K485:L485"/>
    <mergeCell ref="M485:P485"/>
    <mergeCell ref="A482:D482"/>
    <mergeCell ref="E482:L482"/>
    <mergeCell ref="M482:P482"/>
    <mergeCell ref="A483:D483"/>
    <mergeCell ref="E483:F483"/>
    <mergeCell ref="G483:L483"/>
    <mergeCell ref="M483:P483"/>
    <mergeCell ref="A479:M479"/>
    <mergeCell ref="A480:D480"/>
    <mergeCell ref="E480:L480"/>
    <mergeCell ref="N480:Q480"/>
    <mergeCell ref="A481:D481"/>
    <mergeCell ref="E481:L481"/>
    <mergeCell ref="M481:P481"/>
    <mergeCell ref="A471:Q471"/>
    <mergeCell ref="A472:Q473"/>
    <mergeCell ref="A474:Q474"/>
    <mergeCell ref="A475:Q476"/>
    <mergeCell ref="P477:Q477"/>
    <mergeCell ref="A478:M478"/>
    <mergeCell ref="N478:Q478"/>
    <mergeCell ref="A464:L464"/>
    <mergeCell ref="M464:Q464"/>
    <mergeCell ref="A465:Q465"/>
    <mergeCell ref="A466:Q467"/>
    <mergeCell ref="A468:Q468"/>
    <mergeCell ref="A469:Q470"/>
    <mergeCell ref="A456:Q456"/>
    <mergeCell ref="A457:Q458"/>
    <mergeCell ref="A459:Q459"/>
    <mergeCell ref="A460:Q461"/>
    <mergeCell ref="A462:Q462"/>
    <mergeCell ref="A463:L463"/>
    <mergeCell ref="M463:Q463"/>
    <mergeCell ref="A453:L453"/>
    <mergeCell ref="M453:Q453"/>
    <mergeCell ref="A454:L454"/>
    <mergeCell ref="M454:Q454"/>
    <mergeCell ref="A455:L455"/>
    <mergeCell ref="M455:Q455"/>
    <mergeCell ref="S450:V450"/>
    <mergeCell ref="A451:D451"/>
    <mergeCell ref="E451:H451"/>
    <mergeCell ref="I451:L451"/>
    <mergeCell ref="M451:Q451"/>
    <mergeCell ref="A452:Q452"/>
    <mergeCell ref="A447:J448"/>
    <mergeCell ref="K447:O447"/>
    <mergeCell ref="K448:O448"/>
    <mergeCell ref="A449:Q449"/>
    <mergeCell ref="A450:D450"/>
    <mergeCell ref="E450:H450"/>
    <mergeCell ref="I450:L450"/>
    <mergeCell ref="M450:Q450"/>
    <mergeCell ref="A443:J443"/>
    <mergeCell ref="K443:N444"/>
    <mergeCell ref="O443:Q443"/>
    <mergeCell ref="A444:J445"/>
    <mergeCell ref="K445:O445"/>
    <mergeCell ref="A446:J446"/>
    <mergeCell ref="K446:O446"/>
    <mergeCell ref="A441:D441"/>
    <mergeCell ref="E441:F441"/>
    <mergeCell ref="M441:P441"/>
    <mergeCell ref="A442:H442"/>
    <mergeCell ref="I442:J442"/>
    <mergeCell ref="K442:L442"/>
    <mergeCell ref="M442:P442"/>
    <mergeCell ref="A439:D439"/>
    <mergeCell ref="E439:L439"/>
    <mergeCell ref="M439:P439"/>
    <mergeCell ref="A440:D440"/>
    <mergeCell ref="E440:F440"/>
    <mergeCell ref="G440:L440"/>
    <mergeCell ref="M440:P440"/>
    <mergeCell ref="A436:M436"/>
    <mergeCell ref="A437:D437"/>
    <mergeCell ref="E437:L437"/>
    <mergeCell ref="N437:Q437"/>
    <mergeCell ref="A438:D438"/>
    <mergeCell ref="E438:L438"/>
    <mergeCell ref="M438:P438"/>
    <mergeCell ref="A429:Q430"/>
    <mergeCell ref="A431:Q431"/>
    <mergeCell ref="A432:Q433"/>
    <mergeCell ref="P434:Q434"/>
    <mergeCell ref="A435:M435"/>
    <mergeCell ref="N435:Q435"/>
    <mergeCell ref="A421:L421"/>
    <mergeCell ref="M421:Q421"/>
    <mergeCell ref="A422:Q422"/>
    <mergeCell ref="A423:Q424"/>
    <mergeCell ref="A425:Q425"/>
    <mergeCell ref="A426:Q427"/>
    <mergeCell ref="A413:Q413"/>
    <mergeCell ref="A414:Q415"/>
    <mergeCell ref="A416:Q416"/>
    <mergeCell ref="A417:Q418"/>
    <mergeCell ref="A419:Q419"/>
    <mergeCell ref="A420:L420"/>
    <mergeCell ref="M420:Q420"/>
    <mergeCell ref="A409:Q409"/>
    <mergeCell ref="A410:L410"/>
    <mergeCell ref="M410:Q410"/>
    <mergeCell ref="A411:L411"/>
    <mergeCell ref="M411:Q411"/>
    <mergeCell ref="A412:L412"/>
    <mergeCell ref="M412:Q412"/>
    <mergeCell ref="A407:D407"/>
    <mergeCell ref="E407:H407"/>
    <mergeCell ref="I407:L407"/>
    <mergeCell ref="M407:Q407"/>
    <mergeCell ref="S407:V407"/>
    <mergeCell ref="A408:D408"/>
    <mergeCell ref="E408:H408"/>
    <mergeCell ref="I408:L408"/>
    <mergeCell ref="M408:Q408"/>
    <mergeCell ref="A403:J403"/>
    <mergeCell ref="K403:O403"/>
    <mergeCell ref="A404:J405"/>
    <mergeCell ref="K404:O404"/>
    <mergeCell ref="K405:O405"/>
    <mergeCell ref="A406:Q406"/>
    <mergeCell ref="A399:H399"/>
    <mergeCell ref="I399:J399"/>
    <mergeCell ref="K399:L399"/>
    <mergeCell ref="M399:P399"/>
    <mergeCell ref="A400:J400"/>
    <mergeCell ref="K400:N401"/>
    <mergeCell ref="O400:Q400"/>
    <mergeCell ref="A401:J402"/>
    <mergeCell ref="K402:O402"/>
    <mergeCell ref="A397:D397"/>
    <mergeCell ref="E397:F397"/>
    <mergeCell ref="G397:L397"/>
    <mergeCell ref="M397:P397"/>
    <mergeCell ref="A398:D398"/>
    <mergeCell ref="E398:F398"/>
    <mergeCell ref="M398:P398"/>
    <mergeCell ref="A395:D395"/>
    <mergeCell ref="E395:L395"/>
    <mergeCell ref="M395:P395"/>
    <mergeCell ref="A396:D396"/>
    <mergeCell ref="E396:L396"/>
    <mergeCell ref="M396:P396"/>
    <mergeCell ref="P391:Q391"/>
    <mergeCell ref="A392:M392"/>
    <mergeCell ref="N392:Q392"/>
    <mergeCell ref="A393:M393"/>
    <mergeCell ref="A394:D394"/>
    <mergeCell ref="E394:L394"/>
    <mergeCell ref="N394:Q394"/>
    <mergeCell ref="A378:L378"/>
    <mergeCell ref="M378:Q378"/>
    <mergeCell ref="A379:Q379"/>
    <mergeCell ref="A380:Q381"/>
    <mergeCell ref="A383:Q384"/>
    <mergeCell ref="A385:Q385"/>
    <mergeCell ref="A371:Q372"/>
    <mergeCell ref="A373:Q373"/>
    <mergeCell ref="A374:Q375"/>
    <mergeCell ref="A376:Q376"/>
    <mergeCell ref="A377:L377"/>
    <mergeCell ref="M377:Q377"/>
    <mergeCell ref="M367:Q367"/>
    <mergeCell ref="A368:L368"/>
    <mergeCell ref="M368:Q368"/>
    <mergeCell ref="A369:L369"/>
    <mergeCell ref="M369:Q369"/>
    <mergeCell ref="A370:Q370"/>
    <mergeCell ref="S364:V364"/>
    <mergeCell ref="A365:D365"/>
    <mergeCell ref="E365:H365"/>
    <mergeCell ref="I365:L365"/>
    <mergeCell ref="M365:Q365"/>
    <mergeCell ref="A366:Q366"/>
    <mergeCell ref="A361:J362"/>
    <mergeCell ref="K361:O361"/>
    <mergeCell ref="K362:O362"/>
    <mergeCell ref="A363:Q363"/>
    <mergeCell ref="A364:D364"/>
    <mergeCell ref="E364:H364"/>
    <mergeCell ref="I364:L364"/>
    <mergeCell ref="M364:Q364"/>
    <mergeCell ref="A357:J357"/>
    <mergeCell ref="K357:N358"/>
    <mergeCell ref="O357:Q357"/>
    <mergeCell ref="A358:J359"/>
    <mergeCell ref="K359:O359"/>
    <mergeCell ref="A360:J360"/>
    <mergeCell ref="K360:O360"/>
    <mergeCell ref="A355:D355"/>
    <mergeCell ref="E355:F355"/>
    <mergeCell ref="M355:P355"/>
    <mergeCell ref="A356:H356"/>
    <mergeCell ref="I356:J356"/>
    <mergeCell ref="K356:L356"/>
    <mergeCell ref="M356:P356"/>
    <mergeCell ref="A353:D353"/>
    <mergeCell ref="E353:L353"/>
    <mergeCell ref="M353:P353"/>
    <mergeCell ref="A354:D354"/>
    <mergeCell ref="E354:F354"/>
    <mergeCell ref="G354:L354"/>
    <mergeCell ref="M354:P354"/>
    <mergeCell ref="A350:M350"/>
    <mergeCell ref="A351:D351"/>
    <mergeCell ref="E351:L351"/>
    <mergeCell ref="N351:Q351"/>
    <mergeCell ref="A352:D352"/>
    <mergeCell ref="E352:L352"/>
    <mergeCell ref="M352:P352"/>
    <mergeCell ref="A343:Q344"/>
    <mergeCell ref="A345:Q345"/>
    <mergeCell ref="A346:Q347"/>
    <mergeCell ref="P348:Q348"/>
    <mergeCell ref="A349:M349"/>
    <mergeCell ref="N349:Q349"/>
    <mergeCell ref="A335:L335"/>
    <mergeCell ref="M335:Q335"/>
    <mergeCell ref="A336:Q336"/>
    <mergeCell ref="A337:Q338"/>
    <mergeCell ref="A340:Q341"/>
    <mergeCell ref="A342:Q342"/>
    <mergeCell ref="A327:Q327"/>
    <mergeCell ref="A328:Q329"/>
    <mergeCell ref="A330:Q330"/>
    <mergeCell ref="A331:Q332"/>
    <mergeCell ref="A333:Q333"/>
    <mergeCell ref="A334:L334"/>
    <mergeCell ref="M334:Q334"/>
    <mergeCell ref="A324:L324"/>
    <mergeCell ref="M324:Q324"/>
    <mergeCell ref="A325:L325"/>
    <mergeCell ref="M325:Q325"/>
    <mergeCell ref="A326:L326"/>
    <mergeCell ref="M326:Q326"/>
    <mergeCell ref="S321:V321"/>
    <mergeCell ref="A322:D322"/>
    <mergeCell ref="E322:H322"/>
    <mergeCell ref="I322:L322"/>
    <mergeCell ref="M322:Q322"/>
    <mergeCell ref="A323:Q323"/>
    <mergeCell ref="A317:J317"/>
    <mergeCell ref="K317:O317"/>
    <mergeCell ref="A318:J319"/>
    <mergeCell ref="K318:O318"/>
    <mergeCell ref="K319:O319"/>
    <mergeCell ref="A320:Q320"/>
    <mergeCell ref="A313:H313"/>
    <mergeCell ref="I313:J313"/>
    <mergeCell ref="K313:L313"/>
    <mergeCell ref="M313:P313"/>
    <mergeCell ref="A314:J314"/>
    <mergeCell ref="K314:N315"/>
    <mergeCell ref="O314:Q314"/>
    <mergeCell ref="A315:J316"/>
    <mergeCell ref="K316:O316"/>
    <mergeCell ref="A311:D311"/>
    <mergeCell ref="E311:F311"/>
    <mergeCell ref="G311:L311"/>
    <mergeCell ref="M311:P311"/>
    <mergeCell ref="A312:D312"/>
    <mergeCell ref="E312:F312"/>
    <mergeCell ref="M312:P312"/>
    <mergeCell ref="N308:Q308"/>
    <mergeCell ref="A309:D309"/>
    <mergeCell ref="E309:L309"/>
    <mergeCell ref="M309:P309"/>
    <mergeCell ref="A310:D310"/>
    <mergeCell ref="E310:L310"/>
    <mergeCell ref="M310:P310"/>
    <mergeCell ref="A300:Q301"/>
    <mergeCell ref="A302:Q302"/>
    <mergeCell ref="A303:Q304"/>
    <mergeCell ref="P305:Q305"/>
    <mergeCell ref="A306:M306"/>
    <mergeCell ref="N306:Q306"/>
    <mergeCell ref="A307:M307"/>
    <mergeCell ref="A308:D308"/>
    <mergeCell ref="E308:L308"/>
    <mergeCell ref="A292:L292"/>
    <mergeCell ref="M292:Q292"/>
    <mergeCell ref="A293:Q293"/>
    <mergeCell ref="A294:Q295"/>
    <mergeCell ref="A296:Q296"/>
    <mergeCell ref="A297:Q298"/>
    <mergeCell ref="A299:Q299"/>
    <mergeCell ref="A284:Q284"/>
    <mergeCell ref="A285:Q286"/>
    <mergeCell ref="A287:Q287"/>
    <mergeCell ref="A288:Q289"/>
    <mergeCell ref="A290:Q290"/>
    <mergeCell ref="A291:L291"/>
    <mergeCell ref="M291:Q291"/>
    <mergeCell ref="A280:Q280"/>
    <mergeCell ref="A281:L281"/>
    <mergeCell ref="M281:Q281"/>
    <mergeCell ref="A282:L282"/>
    <mergeCell ref="M282:Q282"/>
    <mergeCell ref="A283:L283"/>
    <mergeCell ref="M283:Q283"/>
    <mergeCell ref="A278:D278"/>
    <mergeCell ref="E278:H278"/>
    <mergeCell ref="I278:L278"/>
    <mergeCell ref="M278:Q278"/>
    <mergeCell ref="S278:V278"/>
    <mergeCell ref="A279:D279"/>
    <mergeCell ref="E279:H279"/>
    <mergeCell ref="I279:L279"/>
    <mergeCell ref="M279:Q279"/>
    <mergeCell ref="A274:J274"/>
    <mergeCell ref="K274:O274"/>
    <mergeCell ref="A275:J276"/>
    <mergeCell ref="K275:O275"/>
    <mergeCell ref="K276:O276"/>
    <mergeCell ref="A277:Q277"/>
    <mergeCell ref="A270:H270"/>
    <mergeCell ref="I270:J270"/>
    <mergeCell ref="K270:L270"/>
    <mergeCell ref="M270:P270"/>
    <mergeCell ref="A271:J271"/>
    <mergeCell ref="K271:N272"/>
    <mergeCell ref="O271:Q271"/>
    <mergeCell ref="A272:J273"/>
    <mergeCell ref="K273:O273"/>
    <mergeCell ref="A268:D268"/>
    <mergeCell ref="E268:F268"/>
    <mergeCell ref="G268:L268"/>
    <mergeCell ref="M268:P268"/>
    <mergeCell ref="A269:D269"/>
    <mergeCell ref="E269:F269"/>
    <mergeCell ref="M269:P269"/>
    <mergeCell ref="A266:D266"/>
    <mergeCell ref="E266:L266"/>
    <mergeCell ref="M266:P266"/>
    <mergeCell ref="A267:D267"/>
    <mergeCell ref="E267:L267"/>
    <mergeCell ref="M267:P267"/>
    <mergeCell ref="A259:Q259"/>
    <mergeCell ref="A260:Q261"/>
    <mergeCell ref="A263:M263"/>
    <mergeCell ref="N263:Q263"/>
    <mergeCell ref="A264:M264"/>
    <mergeCell ref="A265:D265"/>
    <mergeCell ref="E265:L265"/>
    <mergeCell ref="N265:Q265"/>
    <mergeCell ref="P262:Q262"/>
    <mergeCell ref="A250:Q250"/>
    <mergeCell ref="A251:Q252"/>
    <mergeCell ref="A253:Q253"/>
    <mergeCell ref="A254:Q255"/>
    <mergeCell ref="A256:Q256"/>
    <mergeCell ref="A257:Q258"/>
    <mergeCell ref="A245:Q246"/>
    <mergeCell ref="A247:Q247"/>
    <mergeCell ref="A248:L248"/>
    <mergeCell ref="M248:Q248"/>
    <mergeCell ref="A249:L249"/>
    <mergeCell ref="M249:Q249"/>
    <mergeCell ref="M239:Q239"/>
    <mergeCell ref="A240:L240"/>
    <mergeCell ref="M240:Q240"/>
    <mergeCell ref="A241:Q241"/>
    <mergeCell ref="A242:Q243"/>
    <mergeCell ref="A244:Q244"/>
    <mergeCell ref="S235:V235"/>
    <mergeCell ref="A236:D236"/>
    <mergeCell ref="E236:H236"/>
    <mergeCell ref="I236:L236"/>
    <mergeCell ref="M236:Q236"/>
    <mergeCell ref="A237:Q237"/>
    <mergeCell ref="A238:L238"/>
    <mergeCell ref="M238:Q238"/>
    <mergeCell ref="A239:L239"/>
    <mergeCell ref="A232:J233"/>
    <mergeCell ref="K232:O232"/>
    <mergeCell ref="K233:O233"/>
    <mergeCell ref="A234:Q234"/>
    <mergeCell ref="A235:D235"/>
    <mergeCell ref="E235:H235"/>
    <mergeCell ref="I235:L235"/>
    <mergeCell ref="M235:Q235"/>
    <mergeCell ref="A228:J228"/>
    <mergeCell ref="K228:N229"/>
    <mergeCell ref="O228:Q228"/>
    <mergeCell ref="A229:J230"/>
    <mergeCell ref="K230:O230"/>
    <mergeCell ref="A231:J231"/>
    <mergeCell ref="K231:O231"/>
    <mergeCell ref="A226:D226"/>
    <mergeCell ref="E226:F226"/>
    <mergeCell ref="M226:P226"/>
    <mergeCell ref="A227:H227"/>
    <mergeCell ref="I227:J227"/>
    <mergeCell ref="K227:L227"/>
    <mergeCell ref="M227:P227"/>
    <mergeCell ref="A224:D224"/>
    <mergeCell ref="E224:L224"/>
    <mergeCell ref="M224:P224"/>
    <mergeCell ref="A225:D225"/>
    <mergeCell ref="E225:F225"/>
    <mergeCell ref="G225:L225"/>
    <mergeCell ref="M225:P225"/>
    <mergeCell ref="A221:M221"/>
    <mergeCell ref="A222:D222"/>
    <mergeCell ref="E222:L222"/>
    <mergeCell ref="N222:Q222"/>
    <mergeCell ref="A223:D223"/>
    <mergeCell ref="E223:L223"/>
    <mergeCell ref="M223:P223"/>
    <mergeCell ref="A213:Q213"/>
    <mergeCell ref="A214:Q215"/>
    <mergeCell ref="A216:Q216"/>
    <mergeCell ref="A217:Q218"/>
    <mergeCell ref="P219:Q219"/>
    <mergeCell ref="A220:M220"/>
    <mergeCell ref="N220:Q220"/>
    <mergeCell ref="A206:L206"/>
    <mergeCell ref="M206:Q206"/>
    <mergeCell ref="A207:Q207"/>
    <mergeCell ref="A208:Q209"/>
    <mergeCell ref="A210:Q210"/>
    <mergeCell ref="A211:Q212"/>
    <mergeCell ref="A198:Q198"/>
    <mergeCell ref="A199:Q200"/>
    <mergeCell ref="A201:Q201"/>
    <mergeCell ref="A202:Q203"/>
    <mergeCell ref="A204:Q204"/>
    <mergeCell ref="A205:L205"/>
    <mergeCell ref="M205:Q205"/>
    <mergeCell ref="A195:L195"/>
    <mergeCell ref="M195:Q195"/>
    <mergeCell ref="A196:L196"/>
    <mergeCell ref="M196:Q196"/>
    <mergeCell ref="A197:L197"/>
    <mergeCell ref="M197:Q197"/>
    <mergeCell ref="S192:V192"/>
    <mergeCell ref="A193:D193"/>
    <mergeCell ref="E193:H193"/>
    <mergeCell ref="I193:L193"/>
    <mergeCell ref="M193:Q193"/>
    <mergeCell ref="A194:Q194"/>
    <mergeCell ref="A189:J190"/>
    <mergeCell ref="K189:O189"/>
    <mergeCell ref="K190:O190"/>
    <mergeCell ref="A191:Q191"/>
    <mergeCell ref="A192:D192"/>
    <mergeCell ref="E192:H192"/>
    <mergeCell ref="I192:L192"/>
    <mergeCell ref="M192:Q192"/>
    <mergeCell ref="A185:J185"/>
    <mergeCell ref="K185:N186"/>
    <mergeCell ref="O185:Q185"/>
    <mergeCell ref="A186:J187"/>
    <mergeCell ref="K187:O187"/>
    <mergeCell ref="A188:J188"/>
    <mergeCell ref="K188:O188"/>
    <mergeCell ref="A183:D183"/>
    <mergeCell ref="E183:F183"/>
    <mergeCell ref="M183:P183"/>
    <mergeCell ref="A184:H184"/>
    <mergeCell ref="I184:J184"/>
    <mergeCell ref="K184:L184"/>
    <mergeCell ref="M184:P184"/>
    <mergeCell ref="A181:D181"/>
    <mergeCell ref="E181:L181"/>
    <mergeCell ref="M181:P181"/>
    <mergeCell ref="A182:D182"/>
    <mergeCell ref="E182:F182"/>
    <mergeCell ref="G182:L182"/>
    <mergeCell ref="M182:P182"/>
    <mergeCell ref="A178:M178"/>
    <mergeCell ref="A179:D179"/>
    <mergeCell ref="E179:L179"/>
    <mergeCell ref="N179:Q179"/>
    <mergeCell ref="A180:D180"/>
    <mergeCell ref="E180:L180"/>
    <mergeCell ref="M180:P180"/>
    <mergeCell ref="A170:Q170"/>
    <mergeCell ref="A171:Q172"/>
    <mergeCell ref="A173:Q173"/>
    <mergeCell ref="A174:Q175"/>
    <mergeCell ref="P176:Q176"/>
    <mergeCell ref="A177:M177"/>
    <mergeCell ref="N177:Q177"/>
    <mergeCell ref="A163:L163"/>
    <mergeCell ref="M163:Q163"/>
    <mergeCell ref="A164:Q164"/>
    <mergeCell ref="A165:Q166"/>
    <mergeCell ref="A167:Q167"/>
    <mergeCell ref="A168:Q169"/>
    <mergeCell ref="A155:Q155"/>
    <mergeCell ref="A156:Q157"/>
    <mergeCell ref="A158:Q158"/>
    <mergeCell ref="A159:Q160"/>
    <mergeCell ref="A161:Q161"/>
    <mergeCell ref="A162:L162"/>
    <mergeCell ref="M162:Q162"/>
    <mergeCell ref="A152:L152"/>
    <mergeCell ref="M152:Q152"/>
    <mergeCell ref="A153:L153"/>
    <mergeCell ref="M153:Q153"/>
    <mergeCell ref="A154:L154"/>
    <mergeCell ref="M154:Q154"/>
    <mergeCell ref="S149:V149"/>
    <mergeCell ref="A150:D150"/>
    <mergeCell ref="E150:H150"/>
    <mergeCell ref="I150:L150"/>
    <mergeCell ref="M150:Q150"/>
    <mergeCell ref="A151:Q151"/>
    <mergeCell ref="A146:J147"/>
    <mergeCell ref="K146:O146"/>
    <mergeCell ref="K147:O147"/>
    <mergeCell ref="A148:Q148"/>
    <mergeCell ref="A149:D149"/>
    <mergeCell ref="E149:H149"/>
    <mergeCell ref="I149:L149"/>
    <mergeCell ref="M149:Q149"/>
    <mergeCell ref="A142:J142"/>
    <mergeCell ref="K142:N143"/>
    <mergeCell ref="O142:Q142"/>
    <mergeCell ref="A143:J144"/>
    <mergeCell ref="K144:O144"/>
    <mergeCell ref="A145:J145"/>
    <mergeCell ref="K145:O145"/>
    <mergeCell ref="A140:D140"/>
    <mergeCell ref="E140:F140"/>
    <mergeCell ref="M140:P140"/>
    <mergeCell ref="A141:H141"/>
    <mergeCell ref="I141:J141"/>
    <mergeCell ref="K141:L141"/>
    <mergeCell ref="M141:P141"/>
    <mergeCell ref="A138:D138"/>
    <mergeCell ref="E138:L138"/>
    <mergeCell ref="M138:P138"/>
    <mergeCell ref="A139:D139"/>
    <mergeCell ref="E139:F139"/>
    <mergeCell ref="G139:L139"/>
    <mergeCell ref="M139:P139"/>
    <mergeCell ref="A135:M135"/>
    <mergeCell ref="A136:D136"/>
    <mergeCell ref="E136:L136"/>
    <mergeCell ref="N136:Q136"/>
    <mergeCell ref="A137:D137"/>
    <mergeCell ref="E137:L137"/>
    <mergeCell ref="M137:P137"/>
    <mergeCell ref="A127:Q127"/>
    <mergeCell ref="A128:Q129"/>
    <mergeCell ref="A130:Q130"/>
    <mergeCell ref="A131:Q132"/>
    <mergeCell ref="P133:Q133"/>
    <mergeCell ref="A134:M134"/>
    <mergeCell ref="N134:Q134"/>
    <mergeCell ref="A120:L120"/>
    <mergeCell ref="M120:Q120"/>
    <mergeCell ref="A121:Q121"/>
    <mergeCell ref="A122:Q123"/>
    <mergeCell ref="A124:Q124"/>
    <mergeCell ref="A125:Q126"/>
    <mergeCell ref="A112:Q112"/>
    <mergeCell ref="A113:Q114"/>
    <mergeCell ref="A115:Q115"/>
    <mergeCell ref="A116:Q117"/>
    <mergeCell ref="A118:Q118"/>
    <mergeCell ref="A119:L119"/>
    <mergeCell ref="M119:Q119"/>
    <mergeCell ref="A109:L109"/>
    <mergeCell ref="M109:Q109"/>
    <mergeCell ref="A110:L110"/>
    <mergeCell ref="M110:Q110"/>
    <mergeCell ref="A111:L111"/>
    <mergeCell ref="M111:Q111"/>
    <mergeCell ref="S106:V106"/>
    <mergeCell ref="A107:D107"/>
    <mergeCell ref="E107:H107"/>
    <mergeCell ref="I107:L107"/>
    <mergeCell ref="M107:Q107"/>
    <mergeCell ref="A108:Q108"/>
    <mergeCell ref="A103:J104"/>
    <mergeCell ref="K103:O103"/>
    <mergeCell ref="K104:O104"/>
    <mergeCell ref="A105:Q105"/>
    <mergeCell ref="A106:D106"/>
    <mergeCell ref="E106:H106"/>
    <mergeCell ref="I106:L106"/>
    <mergeCell ref="M106:Q106"/>
    <mergeCell ref="A99:J99"/>
    <mergeCell ref="K99:N100"/>
    <mergeCell ref="O99:Q99"/>
    <mergeCell ref="A100:J101"/>
    <mergeCell ref="K101:O101"/>
    <mergeCell ref="A102:J102"/>
    <mergeCell ref="K102:O102"/>
    <mergeCell ref="A97:D97"/>
    <mergeCell ref="E97:F97"/>
    <mergeCell ref="M97:P97"/>
    <mergeCell ref="A98:H98"/>
    <mergeCell ref="I98:J98"/>
    <mergeCell ref="K98:L98"/>
    <mergeCell ref="M98:P98"/>
    <mergeCell ref="A95:D95"/>
    <mergeCell ref="E95:L95"/>
    <mergeCell ref="M95:P95"/>
    <mergeCell ref="A96:D96"/>
    <mergeCell ref="E96:F96"/>
    <mergeCell ref="G96:L96"/>
    <mergeCell ref="M96:P96"/>
    <mergeCell ref="A92:M92"/>
    <mergeCell ref="A93:D93"/>
    <mergeCell ref="E93:L93"/>
    <mergeCell ref="N93:Q93"/>
    <mergeCell ref="A94:D94"/>
    <mergeCell ref="E94:L94"/>
    <mergeCell ref="M94:P94"/>
    <mergeCell ref="A87:Q87"/>
    <mergeCell ref="A88:Q89"/>
    <mergeCell ref="S63:V63"/>
    <mergeCell ref="P90:Q90"/>
    <mergeCell ref="A91:M91"/>
    <mergeCell ref="N91:Q91"/>
    <mergeCell ref="A78:Q78"/>
    <mergeCell ref="A79:Q80"/>
    <mergeCell ref="A81:Q81"/>
    <mergeCell ref="A82:Q83"/>
    <mergeCell ref="A84:Q84"/>
    <mergeCell ref="A85:Q86"/>
    <mergeCell ref="A72:Q72"/>
    <mergeCell ref="A73:Q74"/>
    <mergeCell ref="A75:Q75"/>
    <mergeCell ref="A76:L76"/>
    <mergeCell ref="M76:Q76"/>
    <mergeCell ref="A77:L77"/>
    <mergeCell ref="M77:Q77"/>
    <mergeCell ref="A67:L67"/>
    <mergeCell ref="M67:Q67"/>
    <mergeCell ref="A68:L68"/>
    <mergeCell ref="M68:Q68"/>
    <mergeCell ref="A69:Q69"/>
    <mergeCell ref="A70:Q71"/>
    <mergeCell ref="A64:D64"/>
    <mergeCell ref="E64:H64"/>
    <mergeCell ref="I64:L64"/>
    <mergeCell ref="M64:Q64"/>
    <mergeCell ref="A65:Q65"/>
    <mergeCell ref="A66:L66"/>
    <mergeCell ref="M66:Q66"/>
    <mergeCell ref="A60:J61"/>
    <mergeCell ref="K60:O60"/>
    <mergeCell ref="K61:O61"/>
    <mergeCell ref="A62:Q62"/>
    <mergeCell ref="A63:D63"/>
    <mergeCell ref="E63:H63"/>
    <mergeCell ref="I63:L63"/>
    <mergeCell ref="M63:Q63"/>
    <mergeCell ref="A56:J56"/>
    <mergeCell ref="K56:N57"/>
    <mergeCell ref="O56:Q56"/>
    <mergeCell ref="A57:J58"/>
    <mergeCell ref="K58:O58"/>
    <mergeCell ref="A59:J59"/>
    <mergeCell ref="K59:O59"/>
    <mergeCell ref="A54:D54"/>
    <mergeCell ref="E54:F54"/>
    <mergeCell ref="M54:P54"/>
    <mergeCell ref="A55:H55"/>
    <mergeCell ref="I55:J55"/>
    <mergeCell ref="K55:L55"/>
    <mergeCell ref="M55:P55"/>
    <mergeCell ref="A52:D52"/>
    <mergeCell ref="E52:L52"/>
    <mergeCell ref="M52:P52"/>
    <mergeCell ref="A53:D53"/>
    <mergeCell ref="E53:F53"/>
    <mergeCell ref="G53:L53"/>
    <mergeCell ref="M53:P53"/>
    <mergeCell ref="A49:M49"/>
    <mergeCell ref="A50:D50"/>
    <mergeCell ref="E50:L50"/>
    <mergeCell ref="N50:Q50"/>
    <mergeCell ref="A51:D51"/>
    <mergeCell ref="E51:L51"/>
    <mergeCell ref="M51:P51"/>
    <mergeCell ref="A44:Q44"/>
    <mergeCell ref="A42:Q43"/>
    <mergeCell ref="A41:Q41"/>
    <mergeCell ref="K15:O15"/>
    <mergeCell ref="K16:O16"/>
    <mergeCell ref="K17:O17"/>
    <mergeCell ref="K18:O18"/>
    <mergeCell ref="M23:Q23"/>
    <mergeCell ref="A14:J15"/>
    <mergeCell ref="A16:J16"/>
    <mergeCell ref="A17:J18"/>
    <mergeCell ref="K13:N14"/>
    <mergeCell ref="A13:J13"/>
    <mergeCell ref="S20:V20"/>
    <mergeCell ref="M24:Q24"/>
    <mergeCell ref="M25:Q25"/>
    <mergeCell ref="A19:Q19"/>
    <mergeCell ref="E21:H21"/>
    <mergeCell ref="I21:L21"/>
    <mergeCell ref="A23:L23"/>
    <mergeCell ref="A39:Q40"/>
    <mergeCell ref="A32:Q32"/>
    <mergeCell ref="A36:Q37"/>
    <mergeCell ref="A29:Q29"/>
    <mergeCell ref="A35:Q35"/>
    <mergeCell ref="A30:Q31"/>
    <mergeCell ref="A38:Q38"/>
    <mergeCell ref="M33:Q33"/>
    <mergeCell ref="M34:Q34"/>
    <mergeCell ref="A33:L33"/>
    <mergeCell ref="A34:L34"/>
    <mergeCell ref="A24:L24"/>
    <mergeCell ref="A20:D20"/>
    <mergeCell ref="A25:L25"/>
    <mergeCell ref="M20:Q20"/>
    <mergeCell ref="M21:Q21"/>
    <mergeCell ref="A22:Q22"/>
    <mergeCell ref="AF15:AG15"/>
    <mergeCell ref="AF16:AG16"/>
    <mergeCell ref="AF17:AG17"/>
    <mergeCell ref="AF18:AG18"/>
    <mergeCell ref="AF19:AG19"/>
    <mergeCell ref="AF20:AG20"/>
    <mergeCell ref="AF21:AG21"/>
    <mergeCell ref="AF22:AG22"/>
    <mergeCell ref="AF23:AG23"/>
    <mergeCell ref="AF24:AG24"/>
    <mergeCell ref="AF25:AG25"/>
    <mergeCell ref="AF26:AG26"/>
    <mergeCell ref="AF27:AG27"/>
    <mergeCell ref="Z2:Z10"/>
    <mergeCell ref="A514:Q514"/>
    <mergeCell ref="A515:Q516"/>
    <mergeCell ref="A517:Q517"/>
    <mergeCell ref="A518:Q519"/>
    <mergeCell ref="A496:L496"/>
    <mergeCell ref="A428:Q428"/>
    <mergeCell ref="A386:Q387"/>
    <mergeCell ref="A388:Q388"/>
    <mergeCell ref="A27:Q28"/>
    <mergeCell ref="A389:Q390"/>
    <mergeCell ref="A382:Q382"/>
    <mergeCell ref="A367:L367"/>
    <mergeCell ref="A339:Q339"/>
    <mergeCell ref="A321:D321"/>
    <mergeCell ref="E321:H321"/>
    <mergeCell ref="I321:L321"/>
    <mergeCell ref="M321:Q321"/>
    <mergeCell ref="A45:Q46"/>
    <mergeCell ref="A10:D10"/>
    <mergeCell ref="I2:M2"/>
    <mergeCell ref="A6:M6"/>
    <mergeCell ref="N7:Q7"/>
    <mergeCell ref="E20:H20"/>
    <mergeCell ref="I20:L20"/>
    <mergeCell ref="M12:P12"/>
    <mergeCell ref="E11:F11"/>
    <mergeCell ref="O13:Q13"/>
    <mergeCell ref="I12:J12"/>
    <mergeCell ref="A8:D8"/>
    <mergeCell ref="E9:L9"/>
    <mergeCell ref="A9:D9"/>
    <mergeCell ref="BA1:BC1"/>
    <mergeCell ref="P47:Q47"/>
    <mergeCell ref="N48:Q48"/>
    <mergeCell ref="A48:M48"/>
    <mergeCell ref="A7:D7"/>
    <mergeCell ref="A26:Q26"/>
    <mergeCell ref="A11:D11"/>
    <mergeCell ref="M11:P11"/>
    <mergeCell ref="G10:L10"/>
    <mergeCell ref="M10:P10"/>
    <mergeCell ref="E8:L8"/>
    <mergeCell ref="A21:D21"/>
    <mergeCell ref="M8:P8"/>
    <mergeCell ref="M9:P9"/>
    <mergeCell ref="K12:L12"/>
    <mergeCell ref="A12:H12"/>
    <mergeCell ref="P1:Q1"/>
    <mergeCell ref="N2:Q2"/>
    <mergeCell ref="A3:Q4"/>
    <mergeCell ref="A5:M5"/>
    <mergeCell ref="N5:Q5"/>
    <mergeCell ref="E10:F10"/>
    <mergeCell ref="E7:L7"/>
    <mergeCell ref="A2:H2"/>
  </mergeCells>
  <phoneticPr fontId="4" type="noConversion"/>
  <conditionalFormatting sqref="K1">
    <cfRule type="cellIs" dxfId="0" priority="53" stopIfTrue="1" operator="notEqual">
      <formula>$AD$14</formula>
    </cfRule>
  </conditionalFormatting>
  <dataValidations xWindow="52" yWindow="462" count="14">
    <dataValidation allowBlank="1" showInputMessage="1" showErrorMessage="1" promptTitle="Parters" prompt="Please enter the names of all Partners involved in this Collaboration" sqref="AA47:AC47 X38:Z38 W42" xr:uid="{00000000-0002-0000-0600-000000000000}"/>
    <dataValidation allowBlank="1" showInputMessage="1" showErrorMessage="1" promptTitle="Involvment" prompt="Please describe the level and type of involvement each Partner has in this Collaborative" sqref="AA48:AC49 Y39:Z39" xr:uid="{00000000-0002-0000-0600-000001000000}"/>
    <dataValidation allowBlank="1" showInputMessage="1" showErrorMessage="1" promptTitle="Other" prompt="Please enter any other relevant information about this Collaborative Arrangement" sqref="AA50:AC51 Y40:Z40" xr:uid="{00000000-0002-0000-0600-000002000000}"/>
    <dataValidation type="list" allowBlank="1" showInputMessage="1" showErrorMessage="1" sqref="M24:Q24 M67:Q67 M110:Q110 M153:Q153 M196:Q196 M239:Q239 M282:Q282 M325:Q325 M368:Q368 M411:Q411 M454:Q454 M497:Q497" xr:uid="{00000000-0002-0000-0600-000003000000}">
      <formula1>ValidCapacity</formula1>
    </dataValidation>
    <dataValidation type="list" allowBlank="1" showInputMessage="1" showErrorMessage="1" sqref="M25:Q25 M68:Q68 M111:Q111 M154:Q154 M197:Q197 M240:Q240 M283:Q283 M326:Q326 M369:Q369 M412:Q412 M455:Q455 M498:Q498" xr:uid="{00000000-0002-0000-0600-000004000000}">
      <formula1>ValidPriorCap</formula1>
    </dataValidation>
    <dataValidation type="list" allowBlank="1" showInputMessage="1" showErrorMessage="1" sqref="A21:D21 A64:D64 A107:D107 A150:D150 A193:D193 A236:D236 A279:D279 A322:D322 A365:D365 A408:D408 A451:D451 A494:D494" xr:uid="{00000000-0002-0000-0600-000005000000}">
      <formula1>ValidProjType</formula1>
    </dataValidation>
    <dataValidation type="list" allowBlank="1" showInputMessage="1" showErrorMessage="1" sqref="E21:H21 E64:H64 E107:H107 E150:H150 E193:H193 E236:H236 E279:H279 E322:H322 E365:H365 E408:H408 E451:H451 E494:H494" xr:uid="{00000000-0002-0000-0600-000006000000}">
      <formula1>ValidSubtype1</formula1>
    </dataValidation>
    <dataValidation type="list" allowBlank="1" showInputMessage="1" showErrorMessage="1" sqref="I21:L21 I64:L64 I107:L107 I150:L150 I193:L193 I236:L236 I279:L279 I322:L322 I365:L365 I408:L408 I451:L451 I494:L494" xr:uid="{00000000-0002-0000-0600-000007000000}">
      <formula1>ValidSubtype2</formula1>
    </dataValidation>
    <dataValidation type="list" allowBlank="1" showInputMessage="1" showErrorMessage="1" sqref="M21:Q21 M64:Q64 M107:Q107 M150:Q150 M193:Q193 M236:Q236 M279:Q279 M322:Q322 M365:Q365 M408:Q408 M451:Q451 M494:Q494" xr:uid="{00000000-0002-0000-0600-000008000000}">
      <formula1>ValidSubtype3</formula1>
    </dataValidation>
    <dataValidation allowBlank="1" showInputMessage="1" showErrorMessage="1" promptTitle="Title" sqref="X15:Z15" xr:uid="{00000000-0002-0000-0600-000009000000}"/>
    <dataValidation type="list" allowBlank="1" showInputMessage="1" showErrorMessage="1" sqref="M33 M76 M119 M162 M205 M248 M291 M334 M377 M420 M463 M506" xr:uid="{00000000-0002-0000-0600-00000A000000}">
      <formula1>ValidImpact</formula1>
    </dataValidation>
    <dataValidation type="list" allowBlank="1" showInputMessage="1" showErrorMessage="1" sqref="M34 M77 M120 M163 M206 M249 M292 M335 M378 M421 M464 M507" xr:uid="{00000000-0002-0000-0600-00000B000000}">
      <formula1>ValidEvidence</formula1>
    </dataValidation>
    <dataValidation type="list" allowBlank="1" showInputMessage="1" showErrorMessage="1" sqref="M23:Q23 M66:Q66 M109:Q109 M152:Q152 M195:Q195 M238:Q238 M281:Q281 M324:Q324 M367:Q367 M410:Q410 M453:Q453 M496:Q496" xr:uid="{00000000-0002-0000-0600-00000C000000}">
      <formula1>ValidRemote</formula1>
    </dataValidation>
    <dataValidation type="textLength" operator="lessThanOrEqual" allowBlank="1" showInputMessage="1" showErrorMessage="1" sqref="A14:J15 A17:J18 A57:J58 A60:J61 A100:J101 A186:J187 A189:J190 A229:J230 A232:J233 A272:J273 A275:J276 A315:J316 A318:J319 A358:J359 A361:J362 A401:J402 A404:J405 A444:J445 A447:J448 A487:J488 A490:J491" xr:uid="{00000000-0002-0000-0600-00000D000000}">
      <formula1>2000</formula1>
    </dataValidation>
  </dataValidations>
  <hyperlinks>
    <hyperlink ref="A6:I6" location="cap_exp_contact" display="cap_exp_contact" xr:uid="{00000000-0004-0000-0600-000000000000}"/>
    <hyperlink ref="I2:M2" location="def_exceptions" display="Retrospective Review reporting exceptions" xr:uid="{00000000-0004-0000-0600-000001000000}"/>
    <hyperlink ref="G10:L10" location="def_date_of_spending_commitment" display="Definition of Spending Commitment Date" xr:uid="{00000000-0004-0000-0600-000002000000}"/>
    <hyperlink ref="O13" location="def_exceptions" display="Definition" xr:uid="{00000000-0004-0000-0600-000003000000}"/>
    <hyperlink ref="O13:Q13" location="def_exceptions" display="Exceptions Definitions" xr:uid="{00000000-0004-0000-0600-000004000000}"/>
    <hyperlink ref="A49:I49" location="cap_exp_contact" display="cap_exp_contact" xr:uid="{00000000-0004-0000-0600-000005000000}"/>
    <hyperlink ref="G53:L53" location="def_date_of_spending_commitment" display="Definition of Spending Commitment Date" xr:uid="{00000000-0004-0000-0600-000006000000}"/>
    <hyperlink ref="O56" location="def_exceptions" display="Definition" xr:uid="{00000000-0004-0000-0600-000007000000}"/>
    <hyperlink ref="O56:Q56" location="def_exceptions" display="Exceptions Definitions" xr:uid="{00000000-0004-0000-0600-000008000000}"/>
    <hyperlink ref="A92:I92" location="cap_exp_contact" display="cap_exp_contact" xr:uid="{00000000-0004-0000-0600-000009000000}"/>
    <hyperlink ref="G96:L96" location="def_date_of_spending_commitment" display="Definition of Spending Commitment Date" xr:uid="{00000000-0004-0000-0600-00000A000000}"/>
    <hyperlink ref="O99" location="def_exceptions" display="Definition" xr:uid="{00000000-0004-0000-0600-00000B000000}"/>
    <hyperlink ref="O99:Q99" location="def_exceptions" display="Exceptions Definitions" xr:uid="{00000000-0004-0000-0600-00000C000000}"/>
    <hyperlink ref="A135:I135" location="cap_exp_contact" display="cap_exp_contact" xr:uid="{00000000-0004-0000-0600-00000D000000}"/>
    <hyperlink ref="G139:L139" location="def_date_of_spending_commitment" display="Definition of Spending Commitment Date" xr:uid="{00000000-0004-0000-0600-00000E000000}"/>
    <hyperlink ref="O142" location="def_exceptions" display="Definition" xr:uid="{00000000-0004-0000-0600-00000F000000}"/>
    <hyperlink ref="O142:Q142" location="def_exceptions" display="Exceptions Definitions" xr:uid="{00000000-0004-0000-0600-000010000000}"/>
    <hyperlink ref="A178:I178" location="cap_exp_contact" display="cap_exp_contact" xr:uid="{00000000-0004-0000-0600-000011000000}"/>
    <hyperlink ref="G182:L182" location="def_date_of_spending_commitment" display="Definition of Spending Commitment Date" xr:uid="{00000000-0004-0000-0600-000012000000}"/>
    <hyperlink ref="O185" location="def_exceptions" display="Definition" xr:uid="{00000000-0004-0000-0600-000013000000}"/>
    <hyperlink ref="O185:Q185" location="def_exceptions" display="Exceptions Definitions" xr:uid="{00000000-0004-0000-0600-000014000000}"/>
    <hyperlink ref="A221:I221" location="cap_exp_contact" display="cap_exp_contact" xr:uid="{00000000-0004-0000-0600-000015000000}"/>
    <hyperlink ref="G225:L225" location="def_date_of_spending_commitment" display="Definition of Spending Commitment Date" xr:uid="{00000000-0004-0000-0600-000016000000}"/>
    <hyperlink ref="O228" location="def_exceptions" display="Definition" xr:uid="{00000000-0004-0000-0600-000017000000}"/>
    <hyperlink ref="O228:Q228" location="def_exceptions" display="Exceptions Definitions" xr:uid="{00000000-0004-0000-0600-000018000000}"/>
    <hyperlink ref="A264:I264" location="cap_exp_contact" display="cap_exp_contact" xr:uid="{00000000-0004-0000-0600-000019000000}"/>
    <hyperlink ref="G268:L268" location="def_date_of_spending_commitment" display="Definition of Spending Commitment Date" xr:uid="{00000000-0004-0000-0600-00001A000000}"/>
    <hyperlink ref="O271" location="def_exceptions" display="Definition" xr:uid="{00000000-0004-0000-0600-00001B000000}"/>
    <hyperlink ref="O271:Q271" location="def_exceptions" display="Exceptions Definitions" xr:uid="{00000000-0004-0000-0600-00001C000000}"/>
    <hyperlink ref="A307:I307" location="cap_exp_contact" display="cap_exp_contact" xr:uid="{00000000-0004-0000-0600-00001D000000}"/>
    <hyperlink ref="G311:L311" location="def_date_of_spending_commitment" display="Definition of Spending Commitment Date" xr:uid="{00000000-0004-0000-0600-00001E000000}"/>
    <hyperlink ref="O314" location="def_exceptions" display="Definition" xr:uid="{00000000-0004-0000-0600-00001F000000}"/>
    <hyperlink ref="O314:Q314" location="def_exceptions" display="Exceptions Definitions" xr:uid="{00000000-0004-0000-0600-000020000000}"/>
    <hyperlink ref="A350:I350" location="cap_exp_contact" display="cap_exp_contact" xr:uid="{00000000-0004-0000-0600-000021000000}"/>
    <hyperlink ref="G354:L354" location="def_date_of_spending_commitment" display="Definition of Spending Commitment Date" xr:uid="{00000000-0004-0000-0600-000022000000}"/>
    <hyperlink ref="O357" location="def_exceptions" display="Definition" xr:uid="{00000000-0004-0000-0600-000023000000}"/>
    <hyperlink ref="O357:Q357" location="def_exceptions" display="Exceptions Definitions" xr:uid="{00000000-0004-0000-0600-000024000000}"/>
    <hyperlink ref="A393:I393" location="cap_exp_contact" display="cap_exp_contact" xr:uid="{00000000-0004-0000-0600-000025000000}"/>
    <hyperlink ref="G397:L397" location="def_date_of_spending_commitment" display="Definition of Spending Commitment Date" xr:uid="{00000000-0004-0000-0600-000026000000}"/>
    <hyperlink ref="O400" location="def_exceptions" display="Definition" xr:uid="{00000000-0004-0000-0600-000027000000}"/>
    <hyperlink ref="O400:Q400" location="def_exceptions" display="Exceptions Definitions" xr:uid="{00000000-0004-0000-0600-000028000000}"/>
    <hyperlink ref="A436:I436" location="cap_exp_contact" display="cap_exp_contact" xr:uid="{00000000-0004-0000-0600-000029000000}"/>
    <hyperlink ref="G440:L440" location="def_date_of_spending_commitment" display="Definition of Spending Commitment Date" xr:uid="{00000000-0004-0000-0600-00002A000000}"/>
    <hyperlink ref="O443" location="def_exceptions" display="Definition" xr:uid="{00000000-0004-0000-0600-00002B000000}"/>
    <hyperlink ref="O443:Q443" location="def_exceptions" display="Exceptions Definitions" xr:uid="{00000000-0004-0000-0600-00002C000000}"/>
    <hyperlink ref="A479:I479" location="cap_exp_contact" display="cap_exp_contact" xr:uid="{00000000-0004-0000-0600-00002D000000}"/>
    <hyperlink ref="G483:L483" location="def_date_of_spending_commitment" display="Definition of Spending Commitment Date" xr:uid="{00000000-0004-0000-0600-00002E000000}"/>
    <hyperlink ref="O486" location="def_exceptions" display="Definition" xr:uid="{00000000-0004-0000-0600-00002F000000}"/>
    <hyperlink ref="O486:Q486" location="def_exceptions" display="Exceptions Definitions" xr:uid="{00000000-0004-0000-0600-000030000000}"/>
  </hyperlinks>
  <printOptions horizontalCentered="1"/>
  <pageMargins left="0.75" right="0.75" top="1" bottom="1" header="0.5" footer="0.5"/>
  <pageSetup scale="54" fitToHeight="12"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rowBreaks count="11" manualBreakCount="11">
    <brk id="46" max="16" man="1"/>
    <brk id="89" max="16" man="1"/>
    <brk id="132" max="16" man="1"/>
    <brk id="175" max="16" man="1"/>
    <brk id="218" max="16" man="1"/>
    <brk id="261" max="16" man="1"/>
    <brk id="304" max="16" man="1"/>
    <brk id="347" max="16" man="1"/>
    <brk id="390" max="16" man="1"/>
    <brk id="433" max="16" man="1"/>
    <brk id="476"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I132"/>
  <sheetViews>
    <sheetView zoomScaleNormal="100" workbookViewId="0"/>
  </sheetViews>
  <sheetFormatPr defaultRowHeight="12.75" x14ac:dyDescent="0.2"/>
  <cols>
    <col min="13" max="35" width="9.140625" style="463"/>
  </cols>
  <sheetData>
    <row r="1" spans="1:15" x14ac:dyDescent="0.2">
      <c r="A1" s="463" t="e">
        <f>'Capital Expend Detail'!A32</f>
        <v>#N/A</v>
      </c>
      <c r="B1" s="463"/>
      <c r="C1" s="463"/>
      <c r="D1" s="463"/>
      <c r="E1" s="463"/>
      <c r="F1" s="463"/>
      <c r="G1" s="463"/>
      <c r="H1" s="463"/>
      <c r="I1" s="463"/>
      <c r="J1" s="463"/>
      <c r="K1" s="463"/>
      <c r="L1" s="463"/>
      <c r="O1" s="473">
        <f>start</f>
        <v>0</v>
      </c>
    </row>
    <row r="2" spans="1:15" ht="18.75" x14ac:dyDescent="0.2">
      <c r="A2" s="933" t="str">
        <f>CONCATENATE("Capital Expenditure Reports reported prior to Fiscal Year ",'Capital Expend Detail'!N1)</f>
        <v>Capital Expenditure Reports reported prior to Fiscal Year 2022</v>
      </c>
      <c r="B2" s="934"/>
      <c r="C2" s="934"/>
      <c r="D2" s="934"/>
      <c r="E2" s="934"/>
      <c r="F2" s="934"/>
      <c r="G2" s="934"/>
      <c r="H2" s="934"/>
      <c r="I2" s="934"/>
      <c r="J2" s="934"/>
      <c r="K2" s="934"/>
      <c r="L2" s="935"/>
      <c r="M2" s="936" t="s">
        <v>720</v>
      </c>
    </row>
    <row r="3" spans="1:15" ht="28.5" customHeight="1" x14ac:dyDescent="0.2">
      <c r="A3" s="937" t="str">
        <f>CONCATENATE("This information is provided for reference only. The following Capital Expenditure Commitments have been previously reported by your system and do not need to be re-reported on the ",'Capital Expend Detail'!N1," report unless there has been a significant change to the project in scope and/or budget. If you have questions about this information please contact health.hccis@state.mn.us.")</f>
        <v>This information is provided for reference only. The following Capital Expenditure Commitments have been previously reported by your system and do not need to be re-reported on the 2022 report unless there has been a significant change to the project in scope and/or budget. If you have questions about this information please contact health.hccis@state.mn.us.</v>
      </c>
      <c r="B3" s="938"/>
      <c r="C3" s="938"/>
      <c r="D3" s="938"/>
      <c r="E3" s="938"/>
      <c r="F3" s="938"/>
      <c r="G3" s="938"/>
      <c r="H3" s="938"/>
      <c r="I3" s="938"/>
      <c r="J3" s="938"/>
      <c r="K3" s="938"/>
      <c r="L3" s="939"/>
      <c r="M3" s="936"/>
    </row>
    <row r="4" spans="1:15" ht="28.5" customHeight="1" x14ac:dyDescent="0.2">
      <c r="A4" s="940"/>
      <c r="B4" s="941"/>
      <c r="C4" s="941"/>
      <c r="D4" s="941"/>
      <c r="E4" s="941"/>
      <c r="F4" s="941"/>
      <c r="G4" s="941"/>
      <c r="H4" s="941"/>
      <c r="I4" s="941"/>
      <c r="J4" s="941"/>
      <c r="K4" s="941"/>
      <c r="L4" s="942"/>
      <c r="M4" s="936"/>
    </row>
    <row r="5" spans="1:15" ht="15" x14ac:dyDescent="0.2">
      <c r="A5" s="464"/>
      <c r="B5" s="464"/>
      <c r="C5" s="464"/>
      <c r="D5" s="464"/>
      <c r="E5" s="464"/>
      <c r="F5" s="464"/>
      <c r="G5" s="464"/>
      <c r="H5" s="464"/>
      <c r="I5" s="464"/>
      <c r="J5" s="464"/>
      <c r="K5" s="464"/>
      <c r="L5" s="464"/>
      <c r="M5" s="936"/>
    </row>
    <row r="6" spans="1:15" ht="48.75" customHeight="1" x14ac:dyDescent="0.2">
      <c r="A6" s="943" t="str">
        <f>CONCATENATE("If an update to the project listed below is being reported on the ",'Capital Expend Detail'!N1," report please include the MDH Reference ID in the Title and General Description narrative portion of the ",'Capital Expend Detail'!N1," report. Report only additional commitment dollars and the explanation for the change to the project.")</f>
        <v>If an update to the project listed below is being reported on the 2022 report please include the MDH Reference ID in the Title and General Description narrative portion of the 2022 report. Report only additional commitment dollars and the explanation for the change to the project.</v>
      </c>
      <c r="B6" s="944"/>
      <c r="C6" s="944"/>
      <c r="D6" s="944"/>
      <c r="E6" s="944"/>
      <c r="F6" s="944"/>
      <c r="G6" s="944"/>
      <c r="H6" s="944"/>
      <c r="I6" s="944"/>
      <c r="J6" s="944"/>
      <c r="K6" s="944"/>
      <c r="L6" s="945"/>
      <c r="M6" s="936"/>
    </row>
    <row r="7" spans="1:15" ht="15.75" thickBot="1" x14ac:dyDescent="0.25">
      <c r="A7" s="464"/>
      <c r="B7" s="464"/>
      <c r="C7" s="464"/>
      <c r="D7" s="464"/>
      <c r="E7" s="464"/>
      <c r="F7" s="464"/>
      <c r="G7" s="464"/>
      <c r="H7" s="464"/>
      <c r="I7" s="464"/>
      <c r="J7" s="464"/>
      <c r="K7" s="464"/>
      <c r="L7" s="464"/>
      <c r="M7" s="936"/>
    </row>
    <row r="8" spans="1:15" ht="15.75" x14ac:dyDescent="0.25">
      <c r="A8" s="465" t="s">
        <v>721</v>
      </c>
      <c r="B8" s="466">
        <v>1</v>
      </c>
      <c r="C8" s="466"/>
      <c r="D8" s="466"/>
      <c r="E8" s="466"/>
      <c r="F8" s="922" t="s">
        <v>722</v>
      </c>
      <c r="G8" s="922"/>
      <c r="H8" s="922"/>
      <c r="I8" s="922"/>
      <c r="J8" s="922"/>
      <c r="K8" s="923" t="e">
        <f>CONCATENATE(VLOOKUP($M$9,'CAP Data'!$C$3:$Q$2638,3,FALSE),"-",VLOOKUP($M$9,'CAP Data'!$C$3:$Q$2638,4,FALSE))</f>
        <v>#N/A</v>
      </c>
      <c r="L8" s="924"/>
      <c r="M8" s="467"/>
    </row>
    <row r="9" spans="1:15" ht="15" x14ac:dyDescent="0.2">
      <c r="A9" s="925" t="s">
        <v>702</v>
      </c>
      <c r="B9" s="926"/>
      <c r="C9" s="927" t="e">
        <f>VLOOKUP($M$9,'CAP Data'!$C$3:$Q$2638,5,FALSE)</f>
        <v>#N/A</v>
      </c>
      <c r="D9" s="928"/>
      <c r="E9" s="468"/>
      <c r="F9" s="929" t="s">
        <v>723</v>
      </c>
      <c r="G9" s="929"/>
      <c r="H9" s="929"/>
      <c r="I9" s="929"/>
      <c r="J9" s="929"/>
      <c r="K9" s="929"/>
      <c r="L9" s="930"/>
      <c r="M9" s="472" t="str">
        <f>CONCATENATE($O$1,B8)</f>
        <v>01</v>
      </c>
    </row>
    <row r="10" spans="1:15" ht="15" x14ac:dyDescent="0.2">
      <c r="A10" s="911" t="s">
        <v>724</v>
      </c>
      <c r="B10" s="912"/>
      <c r="C10" s="931" t="e">
        <f>VLOOKUP($M$9,'CAP Data'!$C$3:$Q$2638,10,FALSE)</f>
        <v>#N/A</v>
      </c>
      <c r="D10" s="931"/>
      <c r="E10" s="469"/>
      <c r="F10" s="914" t="e">
        <f>VLOOKUP($M$9,'CAP Data'!$C$3:$Q$2638,12,FALSE)</f>
        <v>#N/A</v>
      </c>
      <c r="G10" s="914"/>
      <c r="H10" s="914"/>
      <c r="I10" s="914"/>
      <c r="J10" s="914"/>
      <c r="K10" s="914"/>
      <c r="L10" s="932"/>
    </row>
    <row r="11" spans="1:15" ht="15" x14ac:dyDescent="0.2">
      <c r="A11" s="911" t="s">
        <v>725</v>
      </c>
      <c r="B11" s="912"/>
      <c r="C11" s="913" t="e">
        <f>VLOOKUP($M$9,'CAP Data'!$C$3:$Q$2638,11,FALSE)</f>
        <v>#N/A</v>
      </c>
      <c r="D11" s="913"/>
      <c r="E11" s="469"/>
      <c r="F11" s="914" t="e">
        <f>VLOOKUP($M$9,'CAP Data'!$C$3:$Q$2638,13,FALSE)</f>
        <v>#N/A</v>
      </c>
      <c r="G11" s="914"/>
      <c r="H11" s="914"/>
      <c r="I11" s="914"/>
      <c r="J11" s="915" t="e">
        <f>VLOOKUP($M$9,'CAP Data'!$C$3:$Q$2638,14,FALSE)</f>
        <v>#N/A</v>
      </c>
      <c r="K11" s="915"/>
      <c r="L11" s="916"/>
    </row>
    <row r="12" spans="1:15" ht="39" customHeight="1" thickBot="1" x14ac:dyDescent="0.25">
      <c r="A12" s="917" t="s">
        <v>726</v>
      </c>
      <c r="B12" s="918"/>
      <c r="C12" s="919" t="e">
        <f>VLOOKUP($M$9,'CAP Data'!$C$3:$Q$2638,15,FALSE)</f>
        <v>#N/A</v>
      </c>
      <c r="D12" s="920"/>
      <c r="E12" s="920"/>
      <c r="F12" s="920"/>
      <c r="G12" s="920"/>
      <c r="H12" s="920"/>
      <c r="I12" s="920"/>
      <c r="J12" s="920"/>
      <c r="K12" s="920"/>
      <c r="L12" s="921"/>
    </row>
    <row r="13" spans="1:15" ht="13.5" thickBot="1" x14ac:dyDescent="0.25">
      <c r="A13" s="463"/>
      <c r="B13" s="463"/>
      <c r="C13" s="463"/>
      <c r="D13" s="463"/>
      <c r="E13" s="463"/>
      <c r="F13" s="463"/>
      <c r="G13" s="463"/>
      <c r="H13" s="463"/>
      <c r="I13" s="463"/>
      <c r="J13" s="463"/>
      <c r="K13" s="463"/>
      <c r="L13" s="463"/>
    </row>
    <row r="14" spans="1:15" ht="15.75" x14ac:dyDescent="0.25">
      <c r="A14" s="465" t="s">
        <v>721</v>
      </c>
      <c r="B14" s="466">
        <v>2</v>
      </c>
      <c r="C14" s="466"/>
      <c r="D14" s="466"/>
      <c r="E14" s="466"/>
      <c r="F14" s="922" t="s">
        <v>722</v>
      </c>
      <c r="G14" s="922"/>
      <c r="H14" s="922"/>
      <c r="I14" s="922"/>
      <c r="J14" s="922"/>
      <c r="K14" s="923" t="e">
        <f>CONCATENATE(VLOOKUP($M$15,'CAP Data'!$C$3:$Q$2638,3,FALSE),"-",VLOOKUP($M$15,'CAP Data'!$C$3:$Q$2638,4,FALSE))</f>
        <v>#N/A</v>
      </c>
      <c r="L14" s="924"/>
      <c r="M14" s="467"/>
    </row>
    <row r="15" spans="1:15" ht="15" x14ac:dyDescent="0.2">
      <c r="A15" s="925" t="s">
        <v>702</v>
      </c>
      <c r="B15" s="926"/>
      <c r="C15" s="927" t="e">
        <f>VLOOKUP($M$15,'CAP Data'!$C$3:$Q$2638,5,FALSE)</f>
        <v>#N/A</v>
      </c>
      <c r="D15" s="928"/>
      <c r="E15" s="468"/>
      <c r="F15" s="929" t="s">
        <v>723</v>
      </c>
      <c r="G15" s="929"/>
      <c r="H15" s="929"/>
      <c r="I15" s="929"/>
      <c r="J15" s="929"/>
      <c r="K15" s="929"/>
      <c r="L15" s="930"/>
      <c r="M15" s="472" t="str">
        <f>CONCATENATE($O$1,B14)</f>
        <v>02</v>
      </c>
    </row>
    <row r="16" spans="1:15" ht="15" x14ac:dyDescent="0.2">
      <c r="A16" s="911" t="s">
        <v>724</v>
      </c>
      <c r="B16" s="912"/>
      <c r="C16" s="931" t="e">
        <f>VLOOKUP($M$15,'CAP Data'!$C$3:$Q$2638,10,FALSE)</f>
        <v>#N/A</v>
      </c>
      <c r="D16" s="931"/>
      <c r="E16" s="469"/>
      <c r="F16" s="914" t="e">
        <f>VLOOKUP($M$15,'CAP Data'!$C$3:$Q$2638,12,FALSE)</f>
        <v>#N/A</v>
      </c>
      <c r="G16" s="914"/>
      <c r="H16" s="914"/>
      <c r="I16" s="914"/>
      <c r="J16" s="914"/>
      <c r="K16" s="914"/>
      <c r="L16" s="932"/>
    </row>
    <row r="17" spans="1:13" ht="15" x14ac:dyDescent="0.2">
      <c r="A17" s="911" t="s">
        <v>725</v>
      </c>
      <c r="B17" s="912"/>
      <c r="C17" s="913" t="e">
        <f>VLOOKUP($M$15,'CAP Data'!$C$3:$Q$2638,11,FALSE)</f>
        <v>#N/A</v>
      </c>
      <c r="D17" s="913"/>
      <c r="E17" s="469"/>
      <c r="F17" s="914" t="e">
        <f>VLOOKUP($M$15,'CAP Data'!$C$3:$Q$2638,13,FALSE)</f>
        <v>#N/A</v>
      </c>
      <c r="G17" s="914"/>
      <c r="H17" s="914"/>
      <c r="I17" s="914"/>
      <c r="J17" s="915" t="e">
        <f>VLOOKUP($M$15,'CAP Data'!$C$3:$Q$2638,14,FALSE)</f>
        <v>#N/A</v>
      </c>
      <c r="K17" s="915"/>
      <c r="L17" s="916"/>
    </row>
    <row r="18" spans="1:13" ht="39" customHeight="1" thickBot="1" x14ac:dyDescent="0.25">
      <c r="A18" s="917" t="s">
        <v>726</v>
      </c>
      <c r="B18" s="918"/>
      <c r="C18" s="919" t="e">
        <f>VLOOKUP($M$15,'CAP Data'!$C$3:$Q$2638,15,FALSE)</f>
        <v>#N/A</v>
      </c>
      <c r="D18" s="920"/>
      <c r="E18" s="920"/>
      <c r="F18" s="920"/>
      <c r="G18" s="920"/>
      <c r="H18" s="920"/>
      <c r="I18" s="920"/>
      <c r="J18" s="920"/>
      <c r="K18" s="920"/>
      <c r="L18" s="921"/>
    </row>
    <row r="19" spans="1:13" ht="13.5" thickBot="1" x14ac:dyDescent="0.25">
      <c r="A19" s="463"/>
      <c r="B19" s="463"/>
      <c r="C19" s="463"/>
      <c r="D19" s="463"/>
      <c r="E19" s="463"/>
      <c r="F19" s="463"/>
      <c r="G19" s="463"/>
      <c r="H19" s="463"/>
      <c r="I19" s="463"/>
      <c r="J19" s="463"/>
      <c r="K19" s="463"/>
      <c r="L19" s="463"/>
    </row>
    <row r="20" spans="1:13" ht="15.75" x14ac:dyDescent="0.25">
      <c r="A20" s="465" t="s">
        <v>721</v>
      </c>
      <c r="B20" s="466">
        <v>3</v>
      </c>
      <c r="C20" s="466"/>
      <c r="D20" s="466"/>
      <c r="E20" s="466"/>
      <c r="F20" s="922" t="s">
        <v>722</v>
      </c>
      <c r="G20" s="922"/>
      <c r="H20" s="922"/>
      <c r="I20" s="922"/>
      <c r="J20" s="922"/>
      <c r="K20" s="923" t="e">
        <f>CONCATENATE(VLOOKUP($M$21,'CAP Data'!$C$3:$Q$2638,3,FALSE),"-",VLOOKUP($M$21,'CAP Data'!$C$3:$Q$2638,4,FALSE))</f>
        <v>#N/A</v>
      </c>
      <c r="L20" s="924"/>
      <c r="M20" s="467"/>
    </row>
    <row r="21" spans="1:13" ht="15" x14ac:dyDescent="0.2">
      <c r="A21" s="925" t="s">
        <v>702</v>
      </c>
      <c r="B21" s="926"/>
      <c r="C21" s="927" t="e">
        <f>VLOOKUP($M$21,'CAP Data'!$C$3:$Q$2638,5,FALSE)</f>
        <v>#N/A</v>
      </c>
      <c r="D21" s="928"/>
      <c r="E21" s="468"/>
      <c r="F21" s="929" t="s">
        <v>723</v>
      </c>
      <c r="G21" s="929"/>
      <c r="H21" s="929"/>
      <c r="I21" s="929"/>
      <c r="J21" s="929"/>
      <c r="K21" s="929"/>
      <c r="L21" s="930"/>
      <c r="M21" s="472" t="str">
        <f>CONCATENATE($O$1,B20)</f>
        <v>03</v>
      </c>
    </row>
    <row r="22" spans="1:13" ht="15" x14ac:dyDescent="0.2">
      <c r="A22" s="911" t="s">
        <v>724</v>
      </c>
      <c r="B22" s="912"/>
      <c r="C22" s="931" t="e">
        <f>VLOOKUP($M$21,'CAP Data'!$C$3:$Q$2638,10,FALSE)</f>
        <v>#N/A</v>
      </c>
      <c r="D22" s="931"/>
      <c r="E22" s="469"/>
      <c r="F22" s="914" t="e">
        <f>VLOOKUP($M$21,'CAP Data'!$C$3:$Q$2638,12,FALSE)</f>
        <v>#N/A</v>
      </c>
      <c r="G22" s="914"/>
      <c r="H22" s="914"/>
      <c r="I22" s="914"/>
      <c r="J22" s="914"/>
      <c r="K22" s="914"/>
      <c r="L22" s="932"/>
    </row>
    <row r="23" spans="1:13" ht="15" x14ac:dyDescent="0.2">
      <c r="A23" s="911" t="s">
        <v>725</v>
      </c>
      <c r="B23" s="912"/>
      <c r="C23" s="913" t="e">
        <f>VLOOKUP($M$21,'CAP Data'!$C$3:$Q$2638,11,FALSE)</f>
        <v>#N/A</v>
      </c>
      <c r="D23" s="913"/>
      <c r="E23" s="469"/>
      <c r="F23" s="914" t="e">
        <f>VLOOKUP($M$21,'CAP Data'!$C$3:$Q$2638,13,FALSE)</f>
        <v>#N/A</v>
      </c>
      <c r="G23" s="914"/>
      <c r="H23" s="914"/>
      <c r="I23" s="914"/>
      <c r="J23" s="915" t="e">
        <f>VLOOKUP($M$21,'CAP Data'!$C$3:$Q$2638,14,FALSE)</f>
        <v>#N/A</v>
      </c>
      <c r="K23" s="915"/>
      <c r="L23" s="916"/>
    </row>
    <row r="24" spans="1:13" ht="38.25" customHeight="1" thickBot="1" x14ac:dyDescent="0.25">
      <c r="A24" s="917" t="s">
        <v>726</v>
      </c>
      <c r="B24" s="918"/>
      <c r="C24" s="919" t="e">
        <f>VLOOKUP($M$21,'CAP Data'!$C$3:$Q$2638,15,FALSE)</f>
        <v>#N/A</v>
      </c>
      <c r="D24" s="920"/>
      <c r="E24" s="920"/>
      <c r="F24" s="920"/>
      <c r="G24" s="920"/>
      <c r="H24" s="920"/>
      <c r="I24" s="920"/>
      <c r="J24" s="920"/>
      <c r="K24" s="920"/>
      <c r="L24" s="921"/>
    </row>
    <row r="25" spans="1:13" ht="13.5" thickBot="1" x14ac:dyDescent="0.25">
      <c r="A25" s="463"/>
      <c r="B25" s="463"/>
      <c r="C25" s="463"/>
      <c r="D25" s="463"/>
      <c r="E25" s="463"/>
      <c r="F25" s="463"/>
      <c r="G25" s="463"/>
      <c r="H25" s="463"/>
      <c r="I25" s="463"/>
      <c r="J25" s="463"/>
      <c r="K25" s="463"/>
      <c r="L25" s="463"/>
    </row>
    <row r="26" spans="1:13" ht="15.75" x14ac:dyDescent="0.25">
      <c r="A26" s="465" t="s">
        <v>721</v>
      </c>
      <c r="B26" s="466">
        <v>4</v>
      </c>
      <c r="C26" s="466"/>
      <c r="D26" s="466"/>
      <c r="E26" s="466"/>
      <c r="F26" s="922" t="s">
        <v>722</v>
      </c>
      <c r="G26" s="922"/>
      <c r="H26" s="922"/>
      <c r="I26" s="922"/>
      <c r="J26" s="922"/>
      <c r="K26" s="923" t="e">
        <f>CONCATENATE(VLOOKUP($M$27,'CAP Data'!$C$3:$Q$2638,3,FALSE),"-",VLOOKUP($M$27,'CAP Data'!$C$3:$Q$2638,4,FALSE))</f>
        <v>#N/A</v>
      </c>
      <c r="L26" s="924"/>
      <c r="M26" s="467"/>
    </row>
    <row r="27" spans="1:13" ht="15" x14ac:dyDescent="0.2">
      <c r="A27" s="925" t="s">
        <v>702</v>
      </c>
      <c r="B27" s="926"/>
      <c r="C27" s="927" t="e">
        <f>VLOOKUP($M$27,'CAP Data'!$C$3:$Q$2638,5,FALSE)</f>
        <v>#N/A</v>
      </c>
      <c r="D27" s="928"/>
      <c r="E27" s="468"/>
      <c r="F27" s="929" t="s">
        <v>723</v>
      </c>
      <c r="G27" s="929"/>
      <c r="H27" s="929"/>
      <c r="I27" s="929"/>
      <c r="J27" s="929"/>
      <c r="K27" s="929"/>
      <c r="L27" s="930"/>
      <c r="M27" s="472" t="str">
        <f>CONCATENATE($O$1,B26)</f>
        <v>04</v>
      </c>
    </row>
    <row r="28" spans="1:13" ht="15" x14ac:dyDescent="0.2">
      <c r="A28" s="911" t="s">
        <v>724</v>
      </c>
      <c r="B28" s="912"/>
      <c r="C28" s="931" t="e">
        <f>VLOOKUP($M$27,'CAP Data'!$C$3:$Q$2638,10,FALSE)</f>
        <v>#N/A</v>
      </c>
      <c r="D28" s="931"/>
      <c r="E28" s="469"/>
      <c r="F28" s="914" t="e">
        <f>VLOOKUP($M$27,'CAP Data'!$C$3:$Q$2638,12,FALSE)</f>
        <v>#N/A</v>
      </c>
      <c r="G28" s="914"/>
      <c r="H28" s="914"/>
      <c r="I28" s="914"/>
      <c r="J28" s="914"/>
      <c r="K28" s="914"/>
      <c r="L28" s="932"/>
    </row>
    <row r="29" spans="1:13" ht="15" x14ac:dyDescent="0.2">
      <c r="A29" s="911" t="s">
        <v>725</v>
      </c>
      <c r="B29" s="912"/>
      <c r="C29" s="913" t="e">
        <f>VLOOKUP($M$27,'CAP Data'!$C$3:$Q$2638,11,FALSE)</f>
        <v>#N/A</v>
      </c>
      <c r="D29" s="913"/>
      <c r="E29" s="469"/>
      <c r="F29" s="914" t="e">
        <f>VLOOKUP($M$27,'CAP Data'!$C$3:$Q$2638,13,FALSE)</f>
        <v>#N/A</v>
      </c>
      <c r="G29" s="914"/>
      <c r="H29" s="914"/>
      <c r="I29" s="914"/>
      <c r="J29" s="915" t="e">
        <f>VLOOKUP($M$27,'CAP Data'!$C$3:$Q$2638,14,FALSE)</f>
        <v>#N/A</v>
      </c>
      <c r="K29" s="915"/>
      <c r="L29" s="916"/>
    </row>
    <row r="30" spans="1:13" ht="38.25" customHeight="1" thickBot="1" x14ac:dyDescent="0.25">
      <c r="A30" s="917" t="s">
        <v>726</v>
      </c>
      <c r="B30" s="918"/>
      <c r="C30" s="919" t="e">
        <f>VLOOKUP($M$27,'CAP Data'!$C$3:$Q$2638,15,FALSE)</f>
        <v>#N/A</v>
      </c>
      <c r="D30" s="920"/>
      <c r="E30" s="920"/>
      <c r="F30" s="920"/>
      <c r="G30" s="920"/>
      <c r="H30" s="920"/>
      <c r="I30" s="920"/>
      <c r="J30" s="920"/>
      <c r="K30" s="920"/>
      <c r="L30" s="921"/>
    </row>
    <row r="31" spans="1:13" ht="13.5" thickBot="1" x14ac:dyDescent="0.25">
      <c r="A31" s="463"/>
      <c r="B31" s="463"/>
      <c r="C31" s="463"/>
      <c r="D31" s="463"/>
      <c r="E31" s="463"/>
      <c r="F31" s="463"/>
      <c r="G31" s="463"/>
      <c r="H31" s="463"/>
      <c r="I31" s="463"/>
      <c r="J31" s="463"/>
      <c r="K31" s="463"/>
      <c r="L31" s="463"/>
    </row>
    <row r="32" spans="1:13" ht="15.75" x14ac:dyDescent="0.25">
      <c r="A32" s="465" t="s">
        <v>721</v>
      </c>
      <c r="B32" s="466">
        <v>5</v>
      </c>
      <c r="C32" s="466"/>
      <c r="D32" s="466"/>
      <c r="E32" s="466"/>
      <c r="F32" s="922" t="s">
        <v>722</v>
      </c>
      <c r="G32" s="922"/>
      <c r="H32" s="922"/>
      <c r="I32" s="922"/>
      <c r="J32" s="922"/>
      <c r="K32" s="923" t="e">
        <f>CONCATENATE(VLOOKUP($M$33,'CAP Data'!$C$3:$Q$2638,3,FALSE),"-",VLOOKUP($M$33,'CAP Data'!$C$3:$Q$2638,4,FALSE))</f>
        <v>#N/A</v>
      </c>
      <c r="L32" s="924"/>
      <c r="M32" s="467"/>
    </row>
    <row r="33" spans="1:13" ht="15" x14ac:dyDescent="0.2">
      <c r="A33" s="925" t="s">
        <v>702</v>
      </c>
      <c r="B33" s="926"/>
      <c r="C33" s="927" t="e">
        <f>VLOOKUP($M$33,'CAP Data'!$C$3:$Q$2638,5,FALSE)</f>
        <v>#N/A</v>
      </c>
      <c r="D33" s="928"/>
      <c r="E33" s="468"/>
      <c r="F33" s="929" t="s">
        <v>723</v>
      </c>
      <c r="G33" s="929"/>
      <c r="H33" s="929"/>
      <c r="I33" s="929"/>
      <c r="J33" s="929"/>
      <c r="K33" s="929"/>
      <c r="L33" s="930"/>
      <c r="M33" s="472" t="str">
        <f>CONCATENATE($O$1,B32)</f>
        <v>05</v>
      </c>
    </row>
    <row r="34" spans="1:13" ht="15" x14ac:dyDescent="0.2">
      <c r="A34" s="911" t="s">
        <v>724</v>
      </c>
      <c r="B34" s="912"/>
      <c r="C34" s="931" t="e">
        <f>VLOOKUP($M$33,'CAP Data'!$C$3:$Q$2638,10,FALSE)</f>
        <v>#N/A</v>
      </c>
      <c r="D34" s="931"/>
      <c r="E34" s="469"/>
      <c r="F34" s="914" t="e">
        <f>VLOOKUP($M$33,'CAP Data'!$C$3:$Q$2638,12,FALSE)</f>
        <v>#N/A</v>
      </c>
      <c r="G34" s="914"/>
      <c r="H34" s="914"/>
      <c r="I34" s="914"/>
      <c r="J34" s="914"/>
      <c r="K34" s="914"/>
      <c r="L34" s="932"/>
    </row>
    <row r="35" spans="1:13" ht="15" x14ac:dyDescent="0.2">
      <c r="A35" s="911" t="s">
        <v>725</v>
      </c>
      <c r="B35" s="912"/>
      <c r="C35" s="913" t="e">
        <f>VLOOKUP($M$33,'CAP Data'!$C$3:$Q$2638,11,FALSE)</f>
        <v>#N/A</v>
      </c>
      <c r="D35" s="913"/>
      <c r="E35" s="469"/>
      <c r="F35" s="914" t="e">
        <f>VLOOKUP($M$33,'CAP Data'!$C$3:$Q$2638,13,FALSE)</f>
        <v>#N/A</v>
      </c>
      <c r="G35" s="914"/>
      <c r="H35" s="914"/>
      <c r="I35" s="914"/>
      <c r="J35" s="915" t="e">
        <f>VLOOKUP($M$33,'CAP Data'!$C$3:$Q$2638,14,FALSE)</f>
        <v>#N/A</v>
      </c>
      <c r="K35" s="915"/>
      <c r="L35" s="916"/>
    </row>
    <row r="36" spans="1:13" ht="38.25" customHeight="1" thickBot="1" x14ac:dyDescent="0.25">
      <c r="A36" s="917" t="s">
        <v>726</v>
      </c>
      <c r="B36" s="918"/>
      <c r="C36" s="919" t="e">
        <f>VLOOKUP($M$33,'CAP Data'!$C$3:$Q$2638,15,FALSE)</f>
        <v>#N/A</v>
      </c>
      <c r="D36" s="920"/>
      <c r="E36" s="920"/>
      <c r="F36" s="920"/>
      <c r="G36" s="920"/>
      <c r="H36" s="920"/>
      <c r="I36" s="920"/>
      <c r="J36" s="920"/>
      <c r="K36" s="920"/>
      <c r="L36" s="921"/>
    </row>
    <row r="37" spans="1:13" ht="13.5" thickBot="1" x14ac:dyDescent="0.25">
      <c r="A37" s="463"/>
      <c r="B37" s="463"/>
      <c r="C37" s="463"/>
      <c r="D37" s="463"/>
      <c r="E37" s="463"/>
      <c r="F37" s="463"/>
      <c r="G37" s="463"/>
      <c r="H37" s="463"/>
      <c r="I37" s="463"/>
      <c r="J37" s="463"/>
      <c r="K37" s="463"/>
      <c r="L37" s="463"/>
    </row>
    <row r="38" spans="1:13" ht="15.75" x14ac:dyDescent="0.25">
      <c r="A38" s="465" t="s">
        <v>721</v>
      </c>
      <c r="B38" s="466">
        <v>6</v>
      </c>
      <c r="C38" s="466"/>
      <c r="D38" s="466"/>
      <c r="E38" s="466"/>
      <c r="F38" s="922" t="s">
        <v>722</v>
      </c>
      <c r="G38" s="922"/>
      <c r="H38" s="922"/>
      <c r="I38" s="922"/>
      <c r="J38" s="922"/>
      <c r="K38" s="923" t="e">
        <f>CONCATENATE(VLOOKUP($M$39,'CAP Data'!$C$3:$Q$2638,3,FALSE),"-",VLOOKUP($M$39,'CAP Data'!$C$3:$Q$2638,4,FALSE))</f>
        <v>#N/A</v>
      </c>
      <c r="L38" s="924"/>
      <c r="M38" s="467"/>
    </row>
    <row r="39" spans="1:13" ht="15" x14ac:dyDescent="0.2">
      <c r="A39" s="925" t="s">
        <v>702</v>
      </c>
      <c r="B39" s="926"/>
      <c r="C39" s="927" t="e">
        <f>VLOOKUP($M$39,'CAP Data'!$C$3:$Q$2638,5,FALSE)</f>
        <v>#N/A</v>
      </c>
      <c r="D39" s="928"/>
      <c r="E39" s="468"/>
      <c r="F39" s="929" t="s">
        <v>723</v>
      </c>
      <c r="G39" s="929"/>
      <c r="H39" s="929"/>
      <c r="I39" s="929"/>
      <c r="J39" s="929"/>
      <c r="K39" s="929"/>
      <c r="L39" s="930"/>
      <c r="M39" s="472" t="str">
        <f>CONCATENATE($O$1,B38)</f>
        <v>06</v>
      </c>
    </row>
    <row r="40" spans="1:13" ht="15" x14ac:dyDescent="0.2">
      <c r="A40" s="911" t="s">
        <v>724</v>
      </c>
      <c r="B40" s="912"/>
      <c r="C40" s="931" t="e">
        <f>VLOOKUP($M$39,'CAP Data'!$C$3:$Q$2638,10,FALSE)</f>
        <v>#N/A</v>
      </c>
      <c r="D40" s="931"/>
      <c r="E40" s="469"/>
      <c r="F40" s="914" t="e">
        <f>VLOOKUP($M$39,'CAP Data'!$C$3:$Q$2638,12,FALSE)</f>
        <v>#N/A</v>
      </c>
      <c r="G40" s="914"/>
      <c r="H40" s="914"/>
      <c r="I40" s="914"/>
      <c r="J40" s="914"/>
      <c r="K40" s="914"/>
      <c r="L40" s="932"/>
    </row>
    <row r="41" spans="1:13" ht="15" x14ac:dyDescent="0.2">
      <c r="A41" s="911" t="s">
        <v>725</v>
      </c>
      <c r="B41" s="912"/>
      <c r="C41" s="913" t="e">
        <f>VLOOKUP($M$39,'CAP Data'!$C$3:$Q$2638,11,FALSE)</f>
        <v>#N/A</v>
      </c>
      <c r="D41" s="913"/>
      <c r="E41" s="469"/>
      <c r="F41" s="914" t="e">
        <f>VLOOKUP($M$39,'CAP Data'!$C$3:$Q$2638,13,FALSE)</f>
        <v>#N/A</v>
      </c>
      <c r="G41" s="914"/>
      <c r="H41" s="914"/>
      <c r="I41" s="914"/>
      <c r="J41" s="915" t="e">
        <f>VLOOKUP($M$39,'CAP Data'!$C$3:$Q$2638,14,FALSE)</f>
        <v>#N/A</v>
      </c>
      <c r="K41" s="915"/>
      <c r="L41" s="916"/>
    </row>
    <row r="42" spans="1:13" ht="38.25" customHeight="1" thickBot="1" x14ac:dyDescent="0.25">
      <c r="A42" s="917" t="s">
        <v>726</v>
      </c>
      <c r="B42" s="918"/>
      <c r="C42" s="919" t="e">
        <f>VLOOKUP($M$39,'CAP Data'!$C$3:$Q$2638,15,FALSE)</f>
        <v>#N/A</v>
      </c>
      <c r="D42" s="920"/>
      <c r="E42" s="920"/>
      <c r="F42" s="920"/>
      <c r="G42" s="920"/>
      <c r="H42" s="920"/>
      <c r="I42" s="920"/>
      <c r="J42" s="920"/>
      <c r="K42" s="920"/>
      <c r="L42" s="921"/>
    </row>
    <row r="43" spans="1:13" ht="13.5" thickBot="1" x14ac:dyDescent="0.25">
      <c r="A43" s="463"/>
      <c r="B43" s="463"/>
      <c r="C43" s="463"/>
      <c r="D43" s="463"/>
      <c r="E43" s="463"/>
      <c r="F43" s="463"/>
      <c r="G43" s="463"/>
      <c r="H43" s="463"/>
      <c r="I43" s="463"/>
      <c r="J43" s="463"/>
      <c r="K43" s="463"/>
      <c r="L43" s="463"/>
    </row>
    <row r="44" spans="1:13" ht="15.75" x14ac:dyDescent="0.25">
      <c r="A44" s="465" t="s">
        <v>721</v>
      </c>
      <c r="B44" s="466">
        <v>7</v>
      </c>
      <c r="C44" s="466"/>
      <c r="D44" s="466"/>
      <c r="E44" s="466"/>
      <c r="F44" s="922" t="s">
        <v>722</v>
      </c>
      <c r="G44" s="922"/>
      <c r="H44" s="922"/>
      <c r="I44" s="922"/>
      <c r="J44" s="922"/>
      <c r="K44" s="923" t="e">
        <f>CONCATENATE(VLOOKUP($M$45,'CAP Data'!$C$3:$Q$2638,3,FALSE),"-",VLOOKUP($M$45,'CAP Data'!$C$3:$Q$2638,4,FALSE))</f>
        <v>#N/A</v>
      </c>
      <c r="L44" s="924"/>
      <c r="M44" s="467"/>
    </row>
    <row r="45" spans="1:13" ht="15" x14ac:dyDescent="0.2">
      <c r="A45" s="925" t="s">
        <v>702</v>
      </c>
      <c r="B45" s="926"/>
      <c r="C45" s="927" t="e">
        <f>VLOOKUP($M$45,'CAP Data'!$C$3:$Q$2638,5,FALSE)</f>
        <v>#N/A</v>
      </c>
      <c r="D45" s="928"/>
      <c r="E45" s="468"/>
      <c r="F45" s="929" t="s">
        <v>723</v>
      </c>
      <c r="G45" s="929"/>
      <c r="H45" s="929"/>
      <c r="I45" s="929"/>
      <c r="J45" s="929"/>
      <c r="K45" s="929"/>
      <c r="L45" s="930"/>
      <c r="M45" s="472" t="str">
        <f>CONCATENATE($O$1,B44)</f>
        <v>07</v>
      </c>
    </row>
    <row r="46" spans="1:13" ht="15" x14ac:dyDescent="0.2">
      <c r="A46" s="911" t="s">
        <v>724</v>
      </c>
      <c r="B46" s="912"/>
      <c r="C46" s="931" t="e">
        <f>VLOOKUP($M$45,'CAP Data'!$C$3:$Q$2638,10,FALSE)</f>
        <v>#N/A</v>
      </c>
      <c r="D46" s="931"/>
      <c r="E46" s="469"/>
      <c r="F46" s="914" t="e">
        <f>VLOOKUP($M$45,'CAP Data'!$C$3:$Q$2638,12,FALSE)</f>
        <v>#N/A</v>
      </c>
      <c r="G46" s="914"/>
      <c r="H46" s="914"/>
      <c r="I46" s="914"/>
      <c r="J46" s="914"/>
      <c r="K46" s="914"/>
      <c r="L46" s="932"/>
    </row>
    <row r="47" spans="1:13" ht="15" x14ac:dyDescent="0.2">
      <c r="A47" s="911" t="s">
        <v>725</v>
      </c>
      <c r="B47" s="912"/>
      <c r="C47" s="913" t="e">
        <f>VLOOKUP($M$45,'CAP Data'!$C$3:$Q$2638,11,FALSE)</f>
        <v>#N/A</v>
      </c>
      <c r="D47" s="913"/>
      <c r="E47" s="469"/>
      <c r="F47" s="914" t="e">
        <f>VLOOKUP($M$45,'CAP Data'!$C$3:$Q$2638,13,FALSE)</f>
        <v>#N/A</v>
      </c>
      <c r="G47" s="914"/>
      <c r="H47" s="914"/>
      <c r="I47" s="914"/>
      <c r="J47" s="915" t="e">
        <f>VLOOKUP($M$45,'CAP Data'!$C$3:$Q$2638,14,FALSE)</f>
        <v>#N/A</v>
      </c>
      <c r="K47" s="915"/>
      <c r="L47" s="916"/>
    </row>
    <row r="48" spans="1:13" ht="38.25" customHeight="1" thickBot="1" x14ac:dyDescent="0.25">
      <c r="A48" s="917" t="s">
        <v>726</v>
      </c>
      <c r="B48" s="918"/>
      <c r="C48" s="919" t="e">
        <f>VLOOKUP($M$45,'CAP Data'!$C$3:$Q$2638,15,FALSE)</f>
        <v>#N/A</v>
      </c>
      <c r="D48" s="920"/>
      <c r="E48" s="920"/>
      <c r="F48" s="920"/>
      <c r="G48" s="920"/>
      <c r="H48" s="920"/>
      <c r="I48" s="920"/>
      <c r="J48" s="920"/>
      <c r="K48" s="920"/>
      <c r="L48" s="921"/>
    </row>
    <row r="49" spans="1:13" ht="13.5" thickBot="1" x14ac:dyDescent="0.25"/>
    <row r="50" spans="1:13" ht="15.75" x14ac:dyDescent="0.25">
      <c r="A50" s="465" t="s">
        <v>721</v>
      </c>
      <c r="B50" s="466">
        <v>8</v>
      </c>
      <c r="C50" s="466"/>
      <c r="D50" s="466"/>
      <c r="E50" s="466"/>
      <c r="F50" s="922" t="s">
        <v>722</v>
      </c>
      <c r="G50" s="922"/>
      <c r="H50" s="922"/>
      <c r="I50" s="922"/>
      <c r="J50" s="922"/>
      <c r="K50" s="923" t="e">
        <f>CONCATENATE(VLOOKUP($M$51,'CAP Data'!$C$3:$Q$2638,3,FALSE),"-",VLOOKUP($M$51,'CAP Data'!$C$3:$Q$2638,4,FALSE))</f>
        <v>#N/A</v>
      </c>
      <c r="L50" s="924"/>
      <c r="M50" s="467"/>
    </row>
    <row r="51" spans="1:13" ht="15" x14ac:dyDescent="0.2">
      <c r="A51" s="925" t="s">
        <v>702</v>
      </c>
      <c r="B51" s="926"/>
      <c r="C51" s="927" t="e">
        <f>VLOOKUP($M$51,'CAP Data'!$C$3:$Q$2638,5,FALSE)</f>
        <v>#N/A</v>
      </c>
      <c r="D51" s="928"/>
      <c r="E51" s="468"/>
      <c r="F51" s="929" t="s">
        <v>723</v>
      </c>
      <c r="G51" s="929"/>
      <c r="H51" s="929"/>
      <c r="I51" s="929"/>
      <c r="J51" s="929"/>
      <c r="K51" s="929"/>
      <c r="L51" s="930"/>
      <c r="M51" s="472" t="str">
        <f>CONCATENATE($O$1,B50)</f>
        <v>08</v>
      </c>
    </row>
    <row r="52" spans="1:13" ht="15" x14ac:dyDescent="0.2">
      <c r="A52" s="911" t="s">
        <v>724</v>
      </c>
      <c r="B52" s="912"/>
      <c r="C52" s="931" t="e">
        <f>VLOOKUP($M$51,'CAP Data'!$C$3:$Q$2638,10,FALSE)</f>
        <v>#N/A</v>
      </c>
      <c r="D52" s="931"/>
      <c r="E52" s="469"/>
      <c r="F52" s="914" t="e">
        <f>VLOOKUP($M$51,'CAP Data'!$C$3:$Q$2638,12,FALSE)</f>
        <v>#N/A</v>
      </c>
      <c r="G52" s="914"/>
      <c r="H52" s="914"/>
      <c r="I52" s="914"/>
      <c r="J52" s="914"/>
      <c r="K52" s="914"/>
      <c r="L52" s="932"/>
    </row>
    <row r="53" spans="1:13" ht="15" x14ac:dyDescent="0.2">
      <c r="A53" s="911" t="s">
        <v>725</v>
      </c>
      <c r="B53" s="912"/>
      <c r="C53" s="913" t="e">
        <f>VLOOKUP($M$51,'CAP Data'!$C$3:$Q$2638,11,FALSE)</f>
        <v>#N/A</v>
      </c>
      <c r="D53" s="913"/>
      <c r="E53" s="469"/>
      <c r="F53" s="914" t="e">
        <f>VLOOKUP($M$51,'CAP Data'!$C$3:$Q$2638,13,FALSE)</f>
        <v>#N/A</v>
      </c>
      <c r="G53" s="914"/>
      <c r="H53" s="914"/>
      <c r="I53" s="914"/>
      <c r="J53" s="915" t="e">
        <f>VLOOKUP($M$51,'CAP Data'!$C$3:$Q$2638,14,FALSE)</f>
        <v>#N/A</v>
      </c>
      <c r="K53" s="915"/>
      <c r="L53" s="916"/>
    </row>
    <row r="54" spans="1:13" ht="38.25" customHeight="1" thickBot="1" x14ac:dyDescent="0.25">
      <c r="A54" s="917" t="s">
        <v>726</v>
      </c>
      <c r="B54" s="918"/>
      <c r="C54" s="919" t="e">
        <f>VLOOKUP($M$51,'CAP Data'!$C$3:$Q$2638,15,FALSE)</f>
        <v>#N/A</v>
      </c>
      <c r="D54" s="920"/>
      <c r="E54" s="920"/>
      <c r="F54" s="920"/>
      <c r="G54" s="920"/>
      <c r="H54" s="920"/>
      <c r="I54" s="920"/>
      <c r="J54" s="920"/>
      <c r="K54" s="920"/>
      <c r="L54" s="921"/>
    </row>
    <row r="55" spans="1:13" ht="13.5" thickBot="1" x14ac:dyDescent="0.25">
      <c r="A55" s="463"/>
      <c r="B55" s="463"/>
      <c r="C55" s="463"/>
      <c r="D55" s="463"/>
      <c r="E55" s="463"/>
      <c r="F55" s="463"/>
      <c r="G55" s="463"/>
      <c r="H55" s="463"/>
      <c r="I55" s="463"/>
      <c r="J55" s="463"/>
      <c r="K55" s="463"/>
      <c r="L55" s="463"/>
    </row>
    <row r="56" spans="1:13" ht="15.75" x14ac:dyDescent="0.25">
      <c r="A56" s="465" t="s">
        <v>721</v>
      </c>
      <c r="B56" s="466">
        <v>9</v>
      </c>
      <c r="C56" s="466"/>
      <c r="D56" s="466"/>
      <c r="E56" s="466"/>
      <c r="F56" s="922" t="s">
        <v>722</v>
      </c>
      <c r="G56" s="922"/>
      <c r="H56" s="922"/>
      <c r="I56" s="922"/>
      <c r="J56" s="922"/>
      <c r="K56" s="923" t="e">
        <f>CONCATENATE(VLOOKUP($M$57,'CAP Data'!$C$3:$Q$2638,3,FALSE),"-",VLOOKUP($M$57,'CAP Data'!$C$3:$Q$2638,4,FALSE))</f>
        <v>#N/A</v>
      </c>
      <c r="L56" s="924"/>
      <c r="M56" s="467"/>
    </row>
    <row r="57" spans="1:13" ht="15" x14ac:dyDescent="0.2">
      <c r="A57" s="925" t="s">
        <v>702</v>
      </c>
      <c r="B57" s="926"/>
      <c r="C57" s="927" t="e">
        <f>VLOOKUP($M$57,'CAP Data'!$C$3:$Q$2638,5,FALSE)</f>
        <v>#N/A</v>
      </c>
      <c r="D57" s="928"/>
      <c r="E57" s="468"/>
      <c r="F57" s="929" t="s">
        <v>723</v>
      </c>
      <c r="G57" s="929"/>
      <c r="H57" s="929"/>
      <c r="I57" s="929"/>
      <c r="J57" s="929"/>
      <c r="K57" s="929"/>
      <c r="L57" s="930"/>
      <c r="M57" s="472" t="str">
        <f>CONCATENATE($O$1,B56)</f>
        <v>09</v>
      </c>
    </row>
    <row r="58" spans="1:13" ht="15" x14ac:dyDescent="0.2">
      <c r="A58" s="911" t="s">
        <v>724</v>
      </c>
      <c r="B58" s="912"/>
      <c r="C58" s="931" t="e">
        <f>VLOOKUP($M$57,'CAP Data'!$C$3:$Q$2638,10,FALSE)</f>
        <v>#N/A</v>
      </c>
      <c r="D58" s="931"/>
      <c r="E58" s="469"/>
      <c r="F58" s="914" t="e">
        <f>VLOOKUP($M$57,'CAP Data'!$C$3:$Q$2638,12,FALSE)</f>
        <v>#N/A</v>
      </c>
      <c r="G58" s="914"/>
      <c r="H58" s="914"/>
      <c r="I58" s="914"/>
      <c r="J58" s="914"/>
      <c r="K58" s="914"/>
      <c r="L58" s="932"/>
    </row>
    <row r="59" spans="1:13" ht="15" x14ac:dyDescent="0.2">
      <c r="A59" s="911" t="s">
        <v>725</v>
      </c>
      <c r="B59" s="912"/>
      <c r="C59" s="913" t="e">
        <f>VLOOKUP($M$57,'CAP Data'!$C$3:$Q$2638,11,FALSE)</f>
        <v>#N/A</v>
      </c>
      <c r="D59" s="913"/>
      <c r="E59" s="469"/>
      <c r="F59" s="914" t="e">
        <f>VLOOKUP($M$57,'CAP Data'!$C$3:$Q$2638,13,FALSE)</f>
        <v>#N/A</v>
      </c>
      <c r="G59" s="914"/>
      <c r="H59" s="914"/>
      <c r="I59" s="914"/>
      <c r="J59" s="915" t="e">
        <f>VLOOKUP($M$57,'CAP Data'!$C$3:$Q$2638,14,FALSE)</f>
        <v>#N/A</v>
      </c>
      <c r="K59" s="915"/>
      <c r="L59" s="916"/>
    </row>
    <row r="60" spans="1:13" ht="38.25" customHeight="1" thickBot="1" x14ac:dyDescent="0.25">
      <c r="A60" s="917" t="s">
        <v>726</v>
      </c>
      <c r="B60" s="918"/>
      <c r="C60" s="919" t="e">
        <f>VLOOKUP($M$57,'CAP Data'!$C$3:$Q$2638,15,FALSE)</f>
        <v>#N/A</v>
      </c>
      <c r="D60" s="920"/>
      <c r="E60" s="920"/>
      <c r="F60" s="920"/>
      <c r="G60" s="920"/>
      <c r="H60" s="920"/>
      <c r="I60" s="920"/>
      <c r="J60" s="920"/>
      <c r="K60" s="920"/>
      <c r="L60" s="921"/>
    </row>
    <row r="61" spans="1:13" ht="13.5" thickBot="1" x14ac:dyDescent="0.25">
      <c r="A61" s="463"/>
      <c r="B61" s="463"/>
      <c r="C61" s="463"/>
      <c r="D61" s="463"/>
      <c r="E61" s="463"/>
      <c r="F61" s="463"/>
      <c r="G61" s="463"/>
      <c r="H61" s="463"/>
      <c r="I61" s="463"/>
      <c r="J61" s="463"/>
      <c r="K61" s="463"/>
      <c r="L61" s="463"/>
    </row>
    <row r="62" spans="1:13" ht="15.75" x14ac:dyDescent="0.25">
      <c r="A62" s="465" t="s">
        <v>721</v>
      </c>
      <c r="B62" s="466">
        <v>10</v>
      </c>
      <c r="C62" s="466"/>
      <c r="D62" s="466"/>
      <c r="E62" s="466"/>
      <c r="F62" s="922" t="s">
        <v>722</v>
      </c>
      <c r="G62" s="922"/>
      <c r="H62" s="922"/>
      <c r="I62" s="922"/>
      <c r="J62" s="922"/>
      <c r="K62" s="923" t="e">
        <f>CONCATENATE(VLOOKUP($M$63,'CAP Data'!$C$3:$Q$2638,3,FALSE),"-",VLOOKUP($M$63,'CAP Data'!$C$3:$Q$2638,4,FALSE))</f>
        <v>#N/A</v>
      </c>
      <c r="L62" s="924"/>
      <c r="M62" s="467"/>
    </row>
    <row r="63" spans="1:13" ht="15" x14ac:dyDescent="0.2">
      <c r="A63" s="925" t="s">
        <v>702</v>
      </c>
      <c r="B63" s="926"/>
      <c r="C63" s="927" t="e">
        <f>VLOOKUP($M$63,'CAP Data'!$C$3:$Q$2638,5,FALSE)</f>
        <v>#N/A</v>
      </c>
      <c r="D63" s="928"/>
      <c r="E63" s="468"/>
      <c r="F63" s="929" t="s">
        <v>723</v>
      </c>
      <c r="G63" s="929"/>
      <c r="H63" s="929"/>
      <c r="I63" s="929"/>
      <c r="J63" s="929"/>
      <c r="K63" s="929"/>
      <c r="L63" s="930"/>
      <c r="M63" s="472" t="str">
        <f>CONCATENATE($O$1,B62)</f>
        <v>010</v>
      </c>
    </row>
    <row r="64" spans="1:13" ht="15" x14ac:dyDescent="0.2">
      <c r="A64" s="911" t="s">
        <v>724</v>
      </c>
      <c r="B64" s="912"/>
      <c r="C64" s="931" t="e">
        <f>VLOOKUP($M$63,'CAP Data'!$C$3:$Q$2638,10,FALSE)</f>
        <v>#N/A</v>
      </c>
      <c r="D64" s="931"/>
      <c r="E64" s="469"/>
      <c r="F64" s="914" t="e">
        <f>VLOOKUP($M$63,'CAP Data'!$C$3:$Q$2638,12,FALSE)</f>
        <v>#N/A</v>
      </c>
      <c r="G64" s="914"/>
      <c r="H64" s="914"/>
      <c r="I64" s="914"/>
      <c r="J64" s="914"/>
      <c r="K64" s="914"/>
      <c r="L64" s="932"/>
    </row>
    <row r="65" spans="1:13" ht="15" x14ac:dyDescent="0.2">
      <c r="A65" s="911" t="s">
        <v>725</v>
      </c>
      <c r="B65" s="912"/>
      <c r="C65" s="913" t="e">
        <f>VLOOKUP($M$63,'CAP Data'!$C$3:$Q$2638,11,FALSE)</f>
        <v>#N/A</v>
      </c>
      <c r="D65" s="913"/>
      <c r="E65" s="469"/>
      <c r="F65" s="914" t="e">
        <f>VLOOKUP($M$63,'CAP Data'!$C$3:$Q$2638,13,FALSE)</f>
        <v>#N/A</v>
      </c>
      <c r="G65" s="914"/>
      <c r="H65" s="914"/>
      <c r="I65" s="914"/>
      <c r="J65" s="915" t="e">
        <f>VLOOKUP($M$63,'CAP Data'!$C$3:$Q$2638,14,FALSE)</f>
        <v>#N/A</v>
      </c>
      <c r="K65" s="915"/>
      <c r="L65" s="916"/>
    </row>
    <row r="66" spans="1:13" ht="38.25" customHeight="1" thickBot="1" x14ac:dyDescent="0.25">
      <c r="A66" s="917" t="s">
        <v>726</v>
      </c>
      <c r="B66" s="918"/>
      <c r="C66" s="919" t="e">
        <f>VLOOKUP($M$63,'CAP Data'!$C$3:$Q$2638,15,FALSE)</f>
        <v>#N/A</v>
      </c>
      <c r="D66" s="920"/>
      <c r="E66" s="920"/>
      <c r="F66" s="920"/>
      <c r="G66" s="920"/>
      <c r="H66" s="920"/>
      <c r="I66" s="920"/>
      <c r="J66" s="920"/>
      <c r="K66" s="920"/>
      <c r="L66" s="921"/>
    </row>
    <row r="67" spans="1:13" ht="13.5" thickBot="1" x14ac:dyDescent="0.25">
      <c r="A67" s="463"/>
      <c r="B67" s="463"/>
      <c r="C67" s="463"/>
      <c r="D67" s="463"/>
      <c r="E67" s="463"/>
      <c r="F67" s="463"/>
      <c r="G67" s="463"/>
      <c r="H67" s="463"/>
      <c r="I67" s="463"/>
      <c r="J67" s="463"/>
      <c r="K67" s="463"/>
      <c r="L67" s="463"/>
    </row>
    <row r="68" spans="1:13" ht="15.75" x14ac:dyDescent="0.25">
      <c r="A68" s="465" t="s">
        <v>721</v>
      </c>
      <c r="B68" s="466">
        <v>11</v>
      </c>
      <c r="C68" s="466"/>
      <c r="D68" s="466"/>
      <c r="E68" s="466"/>
      <c r="F68" s="922" t="s">
        <v>722</v>
      </c>
      <c r="G68" s="922"/>
      <c r="H68" s="922"/>
      <c r="I68" s="922"/>
      <c r="J68" s="922"/>
      <c r="K68" s="923" t="e">
        <f>CONCATENATE(VLOOKUP($M$69,'CAP Data'!$C$3:$Q$2638,3,FALSE),"-",VLOOKUP($M$69,'CAP Data'!$C$3:$Q$2638,4,FALSE))</f>
        <v>#N/A</v>
      </c>
      <c r="L68" s="924"/>
      <c r="M68" s="467"/>
    </row>
    <row r="69" spans="1:13" ht="15" x14ac:dyDescent="0.2">
      <c r="A69" s="925" t="s">
        <v>702</v>
      </c>
      <c r="B69" s="926"/>
      <c r="C69" s="927" t="e">
        <f>VLOOKUP($M$69,'CAP Data'!$C$3:$Q$2638,5,FALSE)</f>
        <v>#N/A</v>
      </c>
      <c r="D69" s="928"/>
      <c r="E69" s="468"/>
      <c r="F69" s="929" t="s">
        <v>723</v>
      </c>
      <c r="G69" s="929"/>
      <c r="H69" s="929"/>
      <c r="I69" s="929"/>
      <c r="J69" s="929"/>
      <c r="K69" s="929"/>
      <c r="L69" s="930"/>
      <c r="M69" s="472" t="str">
        <f>CONCATENATE($O$1,B68)</f>
        <v>011</v>
      </c>
    </row>
    <row r="70" spans="1:13" ht="15" x14ac:dyDescent="0.2">
      <c r="A70" s="911" t="s">
        <v>724</v>
      </c>
      <c r="B70" s="912"/>
      <c r="C70" s="931" t="e">
        <f>VLOOKUP($M$69,'CAP Data'!$C$3:$Q$2638,10,FALSE)</f>
        <v>#N/A</v>
      </c>
      <c r="D70" s="931"/>
      <c r="E70" s="469"/>
      <c r="F70" s="914" t="e">
        <f>VLOOKUP($M$69,'CAP Data'!$C$3:$Q$2638,12,FALSE)</f>
        <v>#N/A</v>
      </c>
      <c r="G70" s="914"/>
      <c r="H70" s="914"/>
      <c r="I70" s="914"/>
      <c r="J70" s="914"/>
      <c r="K70" s="914"/>
      <c r="L70" s="932"/>
    </row>
    <row r="71" spans="1:13" ht="15" x14ac:dyDescent="0.2">
      <c r="A71" s="911" t="s">
        <v>725</v>
      </c>
      <c r="B71" s="912"/>
      <c r="C71" s="913" t="e">
        <f>VLOOKUP($M$69,'CAP Data'!$C$3:$Q$2638,11,FALSE)</f>
        <v>#N/A</v>
      </c>
      <c r="D71" s="913"/>
      <c r="E71" s="469"/>
      <c r="F71" s="914" t="e">
        <f>VLOOKUP($M$69,'CAP Data'!$C$3:$Q$2638,13,FALSE)</f>
        <v>#N/A</v>
      </c>
      <c r="G71" s="914"/>
      <c r="H71" s="914"/>
      <c r="I71" s="914"/>
      <c r="J71" s="915" t="e">
        <f>VLOOKUP($M$69,'CAP Data'!$C$3:$Q$2638,14,FALSE)</f>
        <v>#N/A</v>
      </c>
      <c r="K71" s="915"/>
      <c r="L71" s="916"/>
    </row>
    <row r="72" spans="1:13" ht="38.25" customHeight="1" thickBot="1" x14ac:dyDescent="0.25">
      <c r="A72" s="917" t="s">
        <v>726</v>
      </c>
      <c r="B72" s="918"/>
      <c r="C72" s="919" t="e">
        <f>VLOOKUP($M$69,'CAP Data'!$C$3:$Q$2638,15,FALSE)</f>
        <v>#N/A</v>
      </c>
      <c r="D72" s="920"/>
      <c r="E72" s="920"/>
      <c r="F72" s="920"/>
      <c r="G72" s="920"/>
      <c r="H72" s="920"/>
      <c r="I72" s="920"/>
      <c r="J72" s="920"/>
      <c r="K72" s="920"/>
      <c r="L72" s="921"/>
    </row>
    <row r="73" spans="1:13" ht="13.5" thickBot="1" x14ac:dyDescent="0.25">
      <c r="A73" s="463"/>
      <c r="B73" s="463"/>
      <c r="C73" s="463"/>
      <c r="D73" s="463"/>
      <c r="E73" s="463"/>
      <c r="F73" s="463"/>
      <c r="G73" s="463"/>
      <c r="H73" s="463"/>
      <c r="I73" s="463"/>
      <c r="J73" s="463"/>
      <c r="K73" s="463"/>
      <c r="L73" s="463"/>
    </row>
    <row r="74" spans="1:13" ht="15.75" x14ac:dyDescent="0.25">
      <c r="A74" s="465" t="s">
        <v>721</v>
      </c>
      <c r="B74" s="466">
        <v>12</v>
      </c>
      <c r="C74" s="466"/>
      <c r="D74" s="466"/>
      <c r="E74" s="466"/>
      <c r="F74" s="922" t="s">
        <v>722</v>
      </c>
      <c r="G74" s="922"/>
      <c r="H74" s="922"/>
      <c r="I74" s="922"/>
      <c r="J74" s="922"/>
      <c r="K74" s="923" t="e">
        <f>CONCATENATE(VLOOKUP($M$75,'CAP Data'!$C$3:$Q$2638,3,FALSE),"-",VLOOKUP($M$75,'CAP Data'!$C$3:$Q$2638,4,FALSE))</f>
        <v>#N/A</v>
      </c>
      <c r="L74" s="924"/>
      <c r="M74" s="467"/>
    </row>
    <row r="75" spans="1:13" ht="15" x14ac:dyDescent="0.2">
      <c r="A75" s="925" t="s">
        <v>702</v>
      </c>
      <c r="B75" s="926"/>
      <c r="C75" s="927" t="e">
        <f>VLOOKUP($M$75,'CAP Data'!$C$3:$Q$2638,5,FALSE)</f>
        <v>#N/A</v>
      </c>
      <c r="D75" s="928"/>
      <c r="E75" s="468"/>
      <c r="F75" s="929" t="s">
        <v>723</v>
      </c>
      <c r="G75" s="929"/>
      <c r="H75" s="929"/>
      <c r="I75" s="929"/>
      <c r="J75" s="929"/>
      <c r="K75" s="929"/>
      <c r="L75" s="930"/>
      <c r="M75" s="472" t="str">
        <f>CONCATENATE($O$1,B74)</f>
        <v>012</v>
      </c>
    </row>
    <row r="76" spans="1:13" ht="15" x14ac:dyDescent="0.2">
      <c r="A76" s="911" t="s">
        <v>724</v>
      </c>
      <c r="B76" s="912"/>
      <c r="C76" s="931" t="e">
        <f>VLOOKUP($M$75,'CAP Data'!$C$3:$Q$2638,10,FALSE)</f>
        <v>#N/A</v>
      </c>
      <c r="D76" s="931"/>
      <c r="E76" s="469"/>
      <c r="F76" s="914" t="e">
        <f>VLOOKUP($M$75,'CAP Data'!$C$3:$Q$2638,12,FALSE)</f>
        <v>#N/A</v>
      </c>
      <c r="G76" s="914"/>
      <c r="H76" s="914"/>
      <c r="I76" s="914"/>
      <c r="J76" s="914"/>
      <c r="K76" s="914"/>
      <c r="L76" s="932"/>
    </row>
    <row r="77" spans="1:13" ht="15" x14ac:dyDescent="0.2">
      <c r="A77" s="911" t="s">
        <v>725</v>
      </c>
      <c r="B77" s="912"/>
      <c r="C77" s="913" t="e">
        <f>VLOOKUP($M$75,'CAP Data'!$C$3:$Q$2638,11,FALSE)</f>
        <v>#N/A</v>
      </c>
      <c r="D77" s="913"/>
      <c r="E77" s="469"/>
      <c r="F77" s="914" t="e">
        <f>VLOOKUP($M$75,'CAP Data'!$C$3:$Q$2638,13,FALSE)</f>
        <v>#N/A</v>
      </c>
      <c r="G77" s="914"/>
      <c r="H77" s="914"/>
      <c r="I77" s="914"/>
      <c r="J77" s="915" t="e">
        <f>VLOOKUP($M$75,'CAP Data'!$C$3:$Q$2638,14,FALSE)</f>
        <v>#N/A</v>
      </c>
      <c r="K77" s="915"/>
      <c r="L77" s="916"/>
    </row>
    <row r="78" spans="1:13" ht="38.25" customHeight="1" thickBot="1" x14ac:dyDescent="0.25">
      <c r="A78" s="917" t="s">
        <v>726</v>
      </c>
      <c r="B78" s="918"/>
      <c r="C78" s="919" t="e">
        <f>VLOOKUP($M$75,'CAP Data'!$C$3:$Q$2638,15,FALSE)</f>
        <v>#N/A</v>
      </c>
      <c r="D78" s="920"/>
      <c r="E78" s="920"/>
      <c r="F78" s="920"/>
      <c r="G78" s="920"/>
      <c r="H78" s="920"/>
      <c r="I78" s="920"/>
      <c r="J78" s="920"/>
      <c r="K78" s="920"/>
      <c r="L78" s="921"/>
    </row>
    <row r="79" spans="1:13" ht="13.5" thickBot="1" x14ac:dyDescent="0.25">
      <c r="A79" s="463"/>
      <c r="B79" s="463"/>
      <c r="C79" s="463"/>
      <c r="D79" s="463"/>
      <c r="E79" s="463"/>
      <c r="F79" s="463"/>
      <c r="G79" s="463"/>
      <c r="H79" s="463"/>
      <c r="I79" s="463"/>
      <c r="J79" s="463"/>
      <c r="K79" s="463"/>
      <c r="L79" s="463"/>
    </row>
    <row r="80" spans="1:13" ht="15.75" x14ac:dyDescent="0.25">
      <c r="A80" s="465" t="s">
        <v>721</v>
      </c>
      <c r="B80" s="466">
        <v>13</v>
      </c>
      <c r="C80" s="466"/>
      <c r="D80" s="466"/>
      <c r="E80" s="466"/>
      <c r="F80" s="922" t="s">
        <v>722</v>
      </c>
      <c r="G80" s="922"/>
      <c r="H80" s="922"/>
      <c r="I80" s="922"/>
      <c r="J80" s="922"/>
      <c r="K80" s="923" t="e">
        <f>CONCATENATE(VLOOKUP($M$81,'CAP Data'!$C$3:$Q$2638,3,FALSE),"-",VLOOKUP($M$81,'CAP Data'!$C$3:$Q$2638,4,FALSE))</f>
        <v>#N/A</v>
      </c>
      <c r="L80" s="924"/>
      <c r="M80" s="467"/>
    </row>
    <row r="81" spans="1:13" ht="15" x14ac:dyDescent="0.2">
      <c r="A81" s="925" t="s">
        <v>702</v>
      </c>
      <c r="B81" s="926"/>
      <c r="C81" s="927" t="e">
        <f>VLOOKUP($M$81,'CAP Data'!$C$3:$Q$2638,5,FALSE)</f>
        <v>#N/A</v>
      </c>
      <c r="D81" s="928"/>
      <c r="E81" s="468"/>
      <c r="F81" s="929" t="s">
        <v>723</v>
      </c>
      <c r="G81" s="929"/>
      <c r="H81" s="929"/>
      <c r="I81" s="929"/>
      <c r="J81" s="929"/>
      <c r="K81" s="929"/>
      <c r="L81" s="930"/>
      <c r="M81" s="472" t="str">
        <f>CONCATENATE($O$1,B80)</f>
        <v>013</v>
      </c>
    </row>
    <row r="82" spans="1:13" ht="15" x14ac:dyDescent="0.2">
      <c r="A82" s="911" t="s">
        <v>724</v>
      </c>
      <c r="B82" s="912"/>
      <c r="C82" s="931" t="e">
        <f>VLOOKUP($M$81,'CAP Data'!$C$3:$Q$2638,10,FALSE)</f>
        <v>#N/A</v>
      </c>
      <c r="D82" s="931"/>
      <c r="E82" s="469"/>
      <c r="F82" s="914" t="e">
        <f>VLOOKUP($M$81,'CAP Data'!$C$3:$Q$2638,12,FALSE)</f>
        <v>#N/A</v>
      </c>
      <c r="G82" s="914"/>
      <c r="H82" s="914"/>
      <c r="I82" s="914"/>
      <c r="J82" s="914"/>
      <c r="K82" s="914"/>
      <c r="L82" s="932"/>
    </row>
    <row r="83" spans="1:13" ht="15" x14ac:dyDescent="0.2">
      <c r="A83" s="911" t="s">
        <v>725</v>
      </c>
      <c r="B83" s="912"/>
      <c r="C83" s="913" t="e">
        <f>VLOOKUP($M$81,'CAP Data'!$C$3:$Q$2638,11,FALSE)</f>
        <v>#N/A</v>
      </c>
      <c r="D83" s="913"/>
      <c r="E83" s="469"/>
      <c r="F83" s="914" t="e">
        <f>VLOOKUP($M$81,'CAP Data'!$C$3:$Q$2638,13,FALSE)</f>
        <v>#N/A</v>
      </c>
      <c r="G83" s="914"/>
      <c r="H83" s="914"/>
      <c r="I83" s="914"/>
      <c r="J83" s="915" t="e">
        <f>VLOOKUP($M$81,'CAP Data'!$C$3:$Q$2638,14,FALSE)</f>
        <v>#N/A</v>
      </c>
      <c r="K83" s="915"/>
      <c r="L83" s="916"/>
    </row>
    <row r="84" spans="1:13" ht="38.25" customHeight="1" thickBot="1" x14ac:dyDescent="0.25">
      <c r="A84" s="917" t="s">
        <v>726</v>
      </c>
      <c r="B84" s="918"/>
      <c r="C84" s="919" t="e">
        <f>VLOOKUP($M$81,'CAP Data'!$C$3:$Q$2638,15,FALSE)</f>
        <v>#N/A</v>
      </c>
      <c r="D84" s="920"/>
      <c r="E84" s="920"/>
      <c r="F84" s="920"/>
      <c r="G84" s="920"/>
      <c r="H84" s="920"/>
      <c r="I84" s="920"/>
      <c r="J84" s="920"/>
      <c r="K84" s="920"/>
      <c r="L84" s="921"/>
    </row>
    <row r="85" spans="1:13" ht="13.5" thickBot="1" x14ac:dyDescent="0.25">
      <c r="A85" s="463"/>
      <c r="B85" s="463"/>
      <c r="C85" s="463"/>
      <c r="D85" s="463"/>
      <c r="E85" s="463"/>
      <c r="F85" s="463"/>
      <c r="G85" s="463"/>
      <c r="H85" s="463"/>
      <c r="I85" s="463"/>
      <c r="J85" s="463"/>
      <c r="K85" s="463"/>
      <c r="L85" s="463"/>
    </row>
    <row r="86" spans="1:13" ht="15.75" x14ac:dyDescent="0.25">
      <c r="A86" s="465" t="s">
        <v>721</v>
      </c>
      <c r="B86" s="466">
        <v>14</v>
      </c>
      <c r="C86" s="466"/>
      <c r="D86" s="466"/>
      <c r="E86" s="466"/>
      <c r="F86" s="922" t="s">
        <v>722</v>
      </c>
      <c r="G86" s="922"/>
      <c r="H86" s="922"/>
      <c r="I86" s="922"/>
      <c r="J86" s="922"/>
      <c r="K86" s="923" t="e">
        <f>CONCATENATE(VLOOKUP($M$93,'CAP Data'!$C$3:$Q$2638,3,FALSE),"-",VLOOKUP($M$93,'CAP Data'!$C$3:$Q$2638,4,FALSE))</f>
        <v>#N/A</v>
      </c>
      <c r="L86" s="924"/>
      <c r="M86" s="467"/>
    </row>
    <row r="87" spans="1:13" ht="15" x14ac:dyDescent="0.2">
      <c r="A87" s="925" t="s">
        <v>702</v>
      </c>
      <c r="B87" s="926"/>
      <c r="C87" s="927" t="e">
        <f>VLOOKUP($M$93,'CAP Data'!$C$3:$Q$2638,5,FALSE)</f>
        <v>#N/A</v>
      </c>
      <c r="D87" s="928"/>
      <c r="E87" s="468"/>
      <c r="F87" s="929" t="s">
        <v>723</v>
      </c>
      <c r="G87" s="929"/>
      <c r="H87" s="929"/>
      <c r="I87" s="929"/>
      <c r="J87" s="929"/>
      <c r="K87" s="929"/>
      <c r="L87" s="930"/>
      <c r="M87" s="472" t="str">
        <f>CONCATENATE($O$1,B86)</f>
        <v>014</v>
      </c>
    </row>
    <row r="88" spans="1:13" ht="15" x14ac:dyDescent="0.2">
      <c r="A88" s="911" t="s">
        <v>724</v>
      </c>
      <c r="B88" s="912"/>
      <c r="C88" s="931" t="e">
        <f>VLOOKUP($M$93,'CAP Data'!$C$3:$Q$2638,10,FALSE)</f>
        <v>#N/A</v>
      </c>
      <c r="D88" s="931"/>
      <c r="E88" s="469"/>
      <c r="F88" s="914" t="e">
        <f>VLOOKUP($M$93,'CAP Data'!$C$3:$Q$2638,12,FALSE)</f>
        <v>#N/A</v>
      </c>
      <c r="G88" s="914"/>
      <c r="H88" s="914"/>
      <c r="I88" s="914"/>
      <c r="J88" s="914"/>
      <c r="K88" s="914"/>
      <c r="L88" s="932"/>
    </row>
    <row r="89" spans="1:13" ht="15" x14ac:dyDescent="0.2">
      <c r="A89" s="911" t="s">
        <v>725</v>
      </c>
      <c r="B89" s="912"/>
      <c r="C89" s="913" t="e">
        <f>VLOOKUP($M$93,'CAP Data'!$C$3:$Q$2638,11,FALSE)</f>
        <v>#N/A</v>
      </c>
      <c r="D89" s="913"/>
      <c r="E89" s="469"/>
      <c r="F89" s="914" t="e">
        <f>VLOOKUP($M$93,'CAP Data'!$C$3:$Q$2638,13,FALSE)</f>
        <v>#N/A</v>
      </c>
      <c r="G89" s="914"/>
      <c r="H89" s="914"/>
      <c r="I89" s="914"/>
      <c r="J89" s="915" t="e">
        <f>VLOOKUP($M$93,'CAP Data'!$C$3:$Q$2638,14,FALSE)</f>
        <v>#N/A</v>
      </c>
      <c r="K89" s="915"/>
      <c r="L89" s="916"/>
    </row>
    <row r="90" spans="1:13" ht="38.25" customHeight="1" thickBot="1" x14ac:dyDescent="0.25">
      <c r="A90" s="917" t="s">
        <v>726</v>
      </c>
      <c r="B90" s="918"/>
      <c r="C90" s="919" t="e">
        <f>VLOOKUP($M$93,'CAP Data'!$C$3:$Q$2638,15,FALSE)</f>
        <v>#N/A</v>
      </c>
      <c r="D90" s="920"/>
      <c r="E90" s="920"/>
      <c r="F90" s="920"/>
      <c r="G90" s="920"/>
      <c r="H90" s="920"/>
      <c r="I90" s="920"/>
      <c r="J90" s="920"/>
      <c r="K90" s="920"/>
      <c r="L90" s="921"/>
    </row>
    <row r="91" spans="1:13" ht="13.5" thickBot="1" x14ac:dyDescent="0.25">
      <c r="A91" s="463"/>
      <c r="B91" s="463"/>
      <c r="C91" s="463"/>
      <c r="D91" s="463"/>
      <c r="E91" s="463"/>
      <c r="F91" s="463"/>
      <c r="G91" s="463"/>
      <c r="H91" s="463"/>
      <c r="I91" s="463"/>
      <c r="J91" s="463"/>
      <c r="K91" s="463"/>
      <c r="L91" s="463"/>
    </row>
    <row r="92" spans="1:13" ht="15.75" x14ac:dyDescent="0.25">
      <c r="A92" s="465" t="s">
        <v>721</v>
      </c>
      <c r="B92" s="466">
        <v>15</v>
      </c>
      <c r="C92" s="466"/>
      <c r="D92" s="466"/>
      <c r="E92" s="466"/>
      <c r="F92" s="922" t="s">
        <v>722</v>
      </c>
      <c r="G92" s="922"/>
      <c r="H92" s="922"/>
      <c r="I92" s="922"/>
      <c r="J92" s="922"/>
      <c r="K92" s="923" t="e">
        <f>CONCATENATE(VLOOKUP($M$93,'CAP Data'!$C$3:$Q$2638,3,FALSE),"-",VLOOKUP($M$93,'CAP Data'!$C$3:$Q$2638,4,FALSE))</f>
        <v>#N/A</v>
      </c>
      <c r="L92" s="924"/>
      <c r="M92" s="467"/>
    </row>
    <row r="93" spans="1:13" ht="15" x14ac:dyDescent="0.2">
      <c r="A93" s="925" t="s">
        <v>702</v>
      </c>
      <c r="B93" s="926"/>
      <c r="C93" s="927" t="e">
        <f>VLOOKUP($M$93,'CAP Data'!$C$3:$Q$2638,5,FALSE)</f>
        <v>#N/A</v>
      </c>
      <c r="D93" s="928"/>
      <c r="E93" s="468"/>
      <c r="F93" s="929" t="s">
        <v>723</v>
      </c>
      <c r="G93" s="929"/>
      <c r="H93" s="929"/>
      <c r="I93" s="929"/>
      <c r="J93" s="929"/>
      <c r="K93" s="929"/>
      <c r="L93" s="930"/>
      <c r="M93" s="472" t="str">
        <f>CONCATENATE($O$1,B92)</f>
        <v>015</v>
      </c>
    </row>
    <row r="94" spans="1:13" ht="15" x14ac:dyDescent="0.2">
      <c r="A94" s="911" t="s">
        <v>724</v>
      </c>
      <c r="B94" s="912"/>
      <c r="C94" s="931" t="e">
        <f>VLOOKUP($M$93,'CAP Data'!$C$3:$Q$2638,10,FALSE)</f>
        <v>#N/A</v>
      </c>
      <c r="D94" s="931"/>
      <c r="E94" s="469"/>
      <c r="F94" s="914" t="e">
        <f>VLOOKUP($M$93,'CAP Data'!$C$3:$Q$2638,12,FALSE)</f>
        <v>#N/A</v>
      </c>
      <c r="G94" s="914"/>
      <c r="H94" s="914"/>
      <c r="I94" s="914"/>
      <c r="J94" s="914"/>
      <c r="K94" s="914"/>
      <c r="L94" s="932"/>
    </row>
    <row r="95" spans="1:13" ht="15" x14ac:dyDescent="0.2">
      <c r="A95" s="911" t="s">
        <v>725</v>
      </c>
      <c r="B95" s="912"/>
      <c r="C95" s="913" t="e">
        <f>VLOOKUP($M$93,'CAP Data'!$C$3:$Q$2638,11,FALSE)</f>
        <v>#N/A</v>
      </c>
      <c r="D95" s="913"/>
      <c r="E95" s="469"/>
      <c r="F95" s="914" t="e">
        <f>VLOOKUP($M$93,'CAP Data'!$C$3:$Q$2638,13,FALSE)</f>
        <v>#N/A</v>
      </c>
      <c r="G95" s="914"/>
      <c r="H95" s="914"/>
      <c r="I95" s="914"/>
      <c r="J95" s="915" t="e">
        <f>VLOOKUP($M$93,'CAP Data'!$C$3:$Q$2638,14,FALSE)</f>
        <v>#N/A</v>
      </c>
      <c r="K95" s="915"/>
      <c r="L95" s="916"/>
    </row>
    <row r="96" spans="1:13" ht="38.25" customHeight="1" thickBot="1" x14ac:dyDescent="0.25">
      <c r="A96" s="917" t="s">
        <v>726</v>
      </c>
      <c r="B96" s="918"/>
      <c r="C96" s="919" t="e">
        <f>VLOOKUP($M$93,'CAP Data'!$C$3:$Q$2638,15,FALSE)</f>
        <v>#N/A</v>
      </c>
      <c r="D96" s="920"/>
      <c r="E96" s="920"/>
      <c r="F96" s="920"/>
      <c r="G96" s="920"/>
      <c r="H96" s="920"/>
      <c r="I96" s="920"/>
      <c r="J96" s="920"/>
      <c r="K96" s="920"/>
      <c r="L96" s="921"/>
    </row>
    <row r="97" spans="1:13" ht="13.5" thickBot="1" x14ac:dyDescent="0.25">
      <c r="A97" s="463"/>
      <c r="B97" s="463"/>
      <c r="C97" s="463"/>
      <c r="D97" s="463"/>
      <c r="E97" s="463"/>
      <c r="F97" s="463"/>
      <c r="G97" s="463"/>
      <c r="H97" s="463"/>
      <c r="I97" s="463"/>
      <c r="J97" s="463"/>
      <c r="K97" s="463"/>
      <c r="L97" s="463"/>
    </row>
    <row r="98" spans="1:13" ht="15.75" x14ac:dyDescent="0.25">
      <c r="A98" s="465" t="s">
        <v>721</v>
      </c>
      <c r="B98" s="466">
        <v>16</v>
      </c>
      <c r="C98" s="466"/>
      <c r="D98" s="466"/>
      <c r="E98" s="466"/>
      <c r="F98" s="922" t="s">
        <v>722</v>
      </c>
      <c r="G98" s="922"/>
      <c r="H98" s="922"/>
      <c r="I98" s="922"/>
      <c r="J98" s="922"/>
      <c r="K98" s="923" t="e">
        <f>CONCATENATE(VLOOKUP($M$99,'CAP Data'!$C$3:$Q$2638,3,FALSE),"-",VLOOKUP($M$99,'CAP Data'!$C$3:$Q$2638,4,FALSE))</f>
        <v>#N/A</v>
      </c>
      <c r="L98" s="924"/>
      <c r="M98" s="467"/>
    </row>
    <row r="99" spans="1:13" ht="15" x14ac:dyDescent="0.2">
      <c r="A99" s="925" t="s">
        <v>702</v>
      </c>
      <c r="B99" s="926"/>
      <c r="C99" s="927" t="e">
        <f>VLOOKUP($M$99,'CAP Data'!$C$3:$Q$2638,5,FALSE)</f>
        <v>#N/A</v>
      </c>
      <c r="D99" s="928"/>
      <c r="E99" s="468"/>
      <c r="F99" s="929" t="s">
        <v>723</v>
      </c>
      <c r="G99" s="929"/>
      <c r="H99" s="929"/>
      <c r="I99" s="929"/>
      <c r="J99" s="929"/>
      <c r="K99" s="929"/>
      <c r="L99" s="930"/>
      <c r="M99" s="472" t="str">
        <f>CONCATENATE($O$1,B98)</f>
        <v>016</v>
      </c>
    </row>
    <row r="100" spans="1:13" ht="15" x14ac:dyDescent="0.2">
      <c r="A100" s="911" t="s">
        <v>724</v>
      </c>
      <c r="B100" s="912"/>
      <c r="C100" s="931" t="e">
        <f>VLOOKUP($M$99,'CAP Data'!$C$3:$Q$2638,10,FALSE)</f>
        <v>#N/A</v>
      </c>
      <c r="D100" s="931"/>
      <c r="E100" s="469"/>
      <c r="F100" s="914" t="e">
        <f>VLOOKUP($M$99,'CAP Data'!$C$3:$Q$2638,12,FALSE)</f>
        <v>#N/A</v>
      </c>
      <c r="G100" s="914"/>
      <c r="H100" s="914"/>
      <c r="I100" s="914"/>
      <c r="J100" s="914"/>
      <c r="K100" s="914"/>
      <c r="L100" s="932"/>
    </row>
    <row r="101" spans="1:13" ht="15" x14ac:dyDescent="0.2">
      <c r="A101" s="911" t="s">
        <v>725</v>
      </c>
      <c r="B101" s="912"/>
      <c r="C101" s="913" t="e">
        <f>VLOOKUP($M$99,'CAP Data'!$C$3:$Q$2638,11,FALSE)</f>
        <v>#N/A</v>
      </c>
      <c r="D101" s="913"/>
      <c r="E101" s="469"/>
      <c r="F101" s="914" t="e">
        <f>VLOOKUP($M$99,'CAP Data'!$C$3:$Q$2638,13,FALSE)</f>
        <v>#N/A</v>
      </c>
      <c r="G101" s="914"/>
      <c r="H101" s="914"/>
      <c r="I101" s="914"/>
      <c r="J101" s="915" t="e">
        <f>VLOOKUP($M$99,'CAP Data'!$C$3:$Q$2638,14,FALSE)</f>
        <v>#N/A</v>
      </c>
      <c r="K101" s="915"/>
      <c r="L101" s="916"/>
    </row>
    <row r="102" spans="1:13" ht="38.25" customHeight="1" thickBot="1" x14ac:dyDescent="0.25">
      <c r="A102" s="917" t="s">
        <v>726</v>
      </c>
      <c r="B102" s="918"/>
      <c r="C102" s="919" t="e">
        <f>VLOOKUP($M$99,'CAP Data'!$C$3:$Q$2638,15,FALSE)</f>
        <v>#N/A</v>
      </c>
      <c r="D102" s="920"/>
      <c r="E102" s="920"/>
      <c r="F102" s="920"/>
      <c r="G102" s="920"/>
      <c r="H102" s="920"/>
      <c r="I102" s="920"/>
      <c r="J102" s="920"/>
      <c r="K102" s="920"/>
      <c r="L102" s="921"/>
    </row>
    <row r="103" spans="1:13" ht="13.5" thickBot="1" x14ac:dyDescent="0.25">
      <c r="A103" s="463"/>
      <c r="B103" s="463"/>
      <c r="C103" s="463"/>
      <c r="D103" s="463"/>
      <c r="E103" s="463"/>
      <c r="F103" s="463"/>
      <c r="G103" s="463"/>
      <c r="H103" s="463"/>
      <c r="I103" s="463"/>
      <c r="J103" s="463"/>
      <c r="K103" s="463"/>
      <c r="L103" s="463"/>
    </row>
    <row r="104" spans="1:13" ht="15.75" x14ac:dyDescent="0.25">
      <c r="A104" s="465" t="s">
        <v>721</v>
      </c>
      <c r="B104" s="466">
        <v>17</v>
      </c>
      <c r="C104" s="466"/>
      <c r="D104" s="466"/>
      <c r="E104" s="466"/>
      <c r="F104" s="922" t="s">
        <v>722</v>
      </c>
      <c r="G104" s="922"/>
      <c r="H104" s="922"/>
      <c r="I104" s="922"/>
      <c r="J104" s="922"/>
      <c r="K104" s="923" t="e">
        <f>CONCATENATE(VLOOKUP($M$105,'CAP Data'!$C$3:$Q$2638,3,FALSE),"-",VLOOKUP($M$105,'CAP Data'!$C$3:$Q$2638,4,FALSE))</f>
        <v>#N/A</v>
      </c>
      <c r="L104" s="924"/>
      <c r="M104" s="467"/>
    </row>
    <row r="105" spans="1:13" ht="15" x14ac:dyDescent="0.2">
      <c r="A105" s="925" t="s">
        <v>702</v>
      </c>
      <c r="B105" s="926"/>
      <c r="C105" s="927" t="e">
        <f>VLOOKUP($M$105,'CAP Data'!$C$3:$Q$2638,5,FALSE)</f>
        <v>#N/A</v>
      </c>
      <c r="D105" s="928"/>
      <c r="E105" s="468"/>
      <c r="F105" s="929" t="s">
        <v>723</v>
      </c>
      <c r="G105" s="929"/>
      <c r="H105" s="929"/>
      <c r="I105" s="929"/>
      <c r="J105" s="929"/>
      <c r="K105" s="929"/>
      <c r="L105" s="930"/>
      <c r="M105" s="472" t="str">
        <f>CONCATENATE($O$1,B104)</f>
        <v>017</v>
      </c>
    </row>
    <row r="106" spans="1:13" ht="15" x14ac:dyDescent="0.2">
      <c r="A106" s="911" t="s">
        <v>724</v>
      </c>
      <c r="B106" s="912"/>
      <c r="C106" s="931" t="e">
        <f>VLOOKUP($M$105,'CAP Data'!$C$3:$Q$2638,10,FALSE)</f>
        <v>#N/A</v>
      </c>
      <c r="D106" s="931"/>
      <c r="E106" s="469"/>
      <c r="F106" s="914" t="e">
        <f>VLOOKUP($M$105,'CAP Data'!$C$3:$Q$2638,12,FALSE)</f>
        <v>#N/A</v>
      </c>
      <c r="G106" s="914"/>
      <c r="H106" s="914"/>
      <c r="I106" s="914"/>
      <c r="J106" s="914"/>
      <c r="K106" s="914"/>
      <c r="L106" s="932"/>
    </row>
    <row r="107" spans="1:13" ht="15" x14ac:dyDescent="0.2">
      <c r="A107" s="911" t="s">
        <v>725</v>
      </c>
      <c r="B107" s="912"/>
      <c r="C107" s="913" t="e">
        <f>VLOOKUP($M$105,'CAP Data'!$C$3:$Q$2638,11,FALSE)</f>
        <v>#N/A</v>
      </c>
      <c r="D107" s="913"/>
      <c r="E107" s="469"/>
      <c r="F107" s="914" t="e">
        <f>VLOOKUP($M$105,'CAP Data'!$C$3:$Q$2638,13,FALSE)</f>
        <v>#N/A</v>
      </c>
      <c r="G107" s="914"/>
      <c r="H107" s="914"/>
      <c r="I107" s="914"/>
      <c r="J107" s="915" t="e">
        <f>VLOOKUP($M$105,'CAP Data'!$C$3:$Q$2638,14,FALSE)</f>
        <v>#N/A</v>
      </c>
      <c r="K107" s="915"/>
      <c r="L107" s="916"/>
    </row>
    <row r="108" spans="1:13" ht="38.25" customHeight="1" thickBot="1" x14ac:dyDescent="0.25">
      <c r="A108" s="917" t="s">
        <v>726</v>
      </c>
      <c r="B108" s="918"/>
      <c r="C108" s="919" t="e">
        <f>VLOOKUP($M$105,'CAP Data'!$C$3:$Q$2638,15,FALSE)</f>
        <v>#N/A</v>
      </c>
      <c r="D108" s="920"/>
      <c r="E108" s="920"/>
      <c r="F108" s="920"/>
      <c r="G108" s="920"/>
      <c r="H108" s="920"/>
      <c r="I108" s="920"/>
      <c r="J108" s="920"/>
      <c r="K108" s="920"/>
      <c r="L108" s="921"/>
    </row>
    <row r="109" spans="1:13" ht="13.5" thickBot="1" x14ac:dyDescent="0.25">
      <c r="A109" s="463"/>
      <c r="B109" s="463"/>
      <c r="C109" s="463"/>
      <c r="D109" s="463"/>
      <c r="E109" s="463"/>
      <c r="F109" s="463"/>
      <c r="G109" s="463"/>
      <c r="H109" s="463"/>
      <c r="I109" s="463"/>
      <c r="J109" s="463"/>
      <c r="K109" s="463"/>
      <c r="L109" s="463"/>
    </row>
    <row r="110" spans="1:13" ht="15.75" x14ac:dyDescent="0.25">
      <c r="A110" s="465" t="s">
        <v>721</v>
      </c>
      <c r="B110" s="466">
        <v>18</v>
      </c>
      <c r="C110" s="466"/>
      <c r="D110" s="466"/>
      <c r="E110" s="466"/>
      <c r="F110" s="922" t="s">
        <v>722</v>
      </c>
      <c r="G110" s="922"/>
      <c r="H110" s="922"/>
      <c r="I110" s="922"/>
      <c r="J110" s="922"/>
      <c r="K110" s="923" t="e">
        <f>CONCATENATE(VLOOKUP($M$111,'CAP Data'!$C$3:$Q$2638,3,FALSE),"-",VLOOKUP($M$111,'CAP Data'!$C$3:$Q$2638,4,FALSE))</f>
        <v>#N/A</v>
      </c>
      <c r="L110" s="924"/>
      <c r="M110" s="467"/>
    </row>
    <row r="111" spans="1:13" ht="15" x14ac:dyDescent="0.2">
      <c r="A111" s="925" t="s">
        <v>702</v>
      </c>
      <c r="B111" s="926"/>
      <c r="C111" s="927" t="e">
        <f>VLOOKUP($M$111,'CAP Data'!$C$3:$Q$2638,5,FALSE)</f>
        <v>#N/A</v>
      </c>
      <c r="D111" s="928"/>
      <c r="E111" s="468"/>
      <c r="F111" s="929" t="s">
        <v>723</v>
      </c>
      <c r="G111" s="929"/>
      <c r="H111" s="929"/>
      <c r="I111" s="929"/>
      <c r="J111" s="929"/>
      <c r="K111" s="929"/>
      <c r="L111" s="930"/>
      <c r="M111" s="472" t="str">
        <f>CONCATENATE($O$1,B110)</f>
        <v>018</v>
      </c>
    </row>
    <row r="112" spans="1:13" ht="15" x14ac:dyDescent="0.2">
      <c r="A112" s="911" t="s">
        <v>724</v>
      </c>
      <c r="B112" s="912"/>
      <c r="C112" s="931" t="e">
        <f>VLOOKUP($M$111,'CAP Data'!$C$3:$Q$2638,10,FALSE)</f>
        <v>#N/A</v>
      </c>
      <c r="D112" s="931"/>
      <c r="E112" s="469"/>
      <c r="F112" s="914" t="e">
        <f>VLOOKUP($M$111,'CAP Data'!$C$3:$Q$2638,12,FALSE)</f>
        <v>#N/A</v>
      </c>
      <c r="G112" s="914"/>
      <c r="H112" s="914"/>
      <c r="I112" s="914"/>
      <c r="J112" s="914"/>
      <c r="K112" s="914"/>
      <c r="L112" s="932"/>
    </row>
    <row r="113" spans="1:13" ht="15" x14ac:dyDescent="0.2">
      <c r="A113" s="911" t="s">
        <v>725</v>
      </c>
      <c r="B113" s="912"/>
      <c r="C113" s="913" t="e">
        <f>VLOOKUP($M$111,'CAP Data'!$C$3:$Q$2638,11,FALSE)</f>
        <v>#N/A</v>
      </c>
      <c r="D113" s="913"/>
      <c r="E113" s="469"/>
      <c r="F113" s="914" t="e">
        <f>VLOOKUP($M$111,'CAP Data'!$C$3:$Q$2638,13,FALSE)</f>
        <v>#N/A</v>
      </c>
      <c r="G113" s="914"/>
      <c r="H113" s="914"/>
      <c r="I113" s="914"/>
      <c r="J113" s="915" t="e">
        <f>VLOOKUP($M$111,'CAP Data'!$C$3:$Q$2638,14,FALSE)</f>
        <v>#N/A</v>
      </c>
      <c r="K113" s="915"/>
      <c r="L113" s="916"/>
    </row>
    <row r="114" spans="1:13" ht="38.25" customHeight="1" thickBot="1" x14ac:dyDescent="0.25">
      <c r="A114" s="917" t="s">
        <v>726</v>
      </c>
      <c r="B114" s="918"/>
      <c r="C114" s="919" t="e">
        <f>VLOOKUP($M$111,'CAP Data'!$C$3:$Q$2638,15,FALSE)</f>
        <v>#N/A</v>
      </c>
      <c r="D114" s="920"/>
      <c r="E114" s="920"/>
      <c r="F114" s="920"/>
      <c r="G114" s="920"/>
      <c r="H114" s="920"/>
      <c r="I114" s="920"/>
      <c r="J114" s="920"/>
      <c r="K114" s="920"/>
      <c r="L114" s="921"/>
    </row>
    <row r="115" spans="1:13" ht="13.5" thickBot="1" x14ac:dyDescent="0.25">
      <c r="A115" s="463"/>
      <c r="B115" s="463"/>
      <c r="C115" s="463"/>
      <c r="D115" s="463"/>
      <c r="E115" s="463"/>
      <c r="F115" s="463"/>
      <c r="G115" s="463"/>
      <c r="H115" s="463"/>
      <c r="I115" s="463"/>
      <c r="J115" s="463"/>
      <c r="K115" s="463"/>
      <c r="L115" s="463"/>
    </row>
    <row r="116" spans="1:13" ht="15.75" x14ac:dyDescent="0.25">
      <c r="A116" s="465" t="s">
        <v>721</v>
      </c>
      <c r="B116" s="466">
        <v>19</v>
      </c>
      <c r="C116" s="466"/>
      <c r="D116" s="466"/>
      <c r="E116" s="466"/>
      <c r="F116" s="922" t="s">
        <v>722</v>
      </c>
      <c r="G116" s="922"/>
      <c r="H116" s="922"/>
      <c r="I116" s="922"/>
      <c r="J116" s="922"/>
      <c r="K116" s="923" t="e">
        <f>CONCATENATE(VLOOKUP($M$117,'CAP Data'!$C$3:$Q$2638,3,FALSE),"-",VLOOKUP($M$117,'CAP Data'!$C$3:$Q$2638,4,FALSE))</f>
        <v>#N/A</v>
      </c>
      <c r="L116" s="924"/>
      <c r="M116" s="467"/>
    </row>
    <row r="117" spans="1:13" ht="15" x14ac:dyDescent="0.2">
      <c r="A117" s="925" t="s">
        <v>702</v>
      </c>
      <c r="B117" s="926"/>
      <c r="C117" s="927" t="e">
        <f>VLOOKUP($M$117,'CAP Data'!$C$3:$Q$2638,5,FALSE)</f>
        <v>#N/A</v>
      </c>
      <c r="D117" s="928"/>
      <c r="E117" s="468"/>
      <c r="F117" s="929" t="s">
        <v>723</v>
      </c>
      <c r="G117" s="929"/>
      <c r="H117" s="929"/>
      <c r="I117" s="929"/>
      <c r="J117" s="929"/>
      <c r="K117" s="929"/>
      <c r="L117" s="930"/>
      <c r="M117" s="472" t="str">
        <f>CONCATENATE($O$1,B116)</f>
        <v>019</v>
      </c>
    </row>
    <row r="118" spans="1:13" ht="15" x14ac:dyDescent="0.2">
      <c r="A118" s="911" t="s">
        <v>724</v>
      </c>
      <c r="B118" s="912"/>
      <c r="C118" s="931" t="e">
        <f>VLOOKUP($M$117,'CAP Data'!$C$3:$Q$2638,10,FALSE)</f>
        <v>#N/A</v>
      </c>
      <c r="D118" s="931"/>
      <c r="E118" s="469"/>
      <c r="F118" s="914" t="e">
        <f>VLOOKUP($M$117,'CAP Data'!$C$3:$Q$2638,12,FALSE)</f>
        <v>#N/A</v>
      </c>
      <c r="G118" s="914"/>
      <c r="H118" s="914"/>
      <c r="I118" s="914"/>
      <c r="J118" s="914"/>
      <c r="K118" s="914"/>
      <c r="L118" s="932"/>
    </row>
    <row r="119" spans="1:13" ht="15" x14ac:dyDescent="0.2">
      <c r="A119" s="911" t="s">
        <v>725</v>
      </c>
      <c r="B119" s="912"/>
      <c r="C119" s="913" t="e">
        <f>VLOOKUP($M$117,'CAP Data'!$C$3:$Q$2638,11,FALSE)</f>
        <v>#N/A</v>
      </c>
      <c r="D119" s="913"/>
      <c r="E119" s="469"/>
      <c r="F119" s="914" t="e">
        <f>VLOOKUP($M$117,'CAP Data'!$C$3:$Q$2638,13,FALSE)</f>
        <v>#N/A</v>
      </c>
      <c r="G119" s="914"/>
      <c r="H119" s="914"/>
      <c r="I119" s="914"/>
      <c r="J119" s="915" t="e">
        <f>VLOOKUP($M$117,'CAP Data'!$C$3:$Q$2638,14,FALSE)</f>
        <v>#N/A</v>
      </c>
      <c r="K119" s="915"/>
      <c r="L119" s="916"/>
    </row>
    <row r="120" spans="1:13" ht="38.25" customHeight="1" thickBot="1" x14ac:dyDescent="0.25">
      <c r="A120" s="917" t="s">
        <v>726</v>
      </c>
      <c r="B120" s="918"/>
      <c r="C120" s="919" t="e">
        <f>VLOOKUP($M$117,'CAP Data'!$C$3:$Q$2638,15,FALSE)</f>
        <v>#N/A</v>
      </c>
      <c r="D120" s="920"/>
      <c r="E120" s="920"/>
      <c r="F120" s="920"/>
      <c r="G120" s="920"/>
      <c r="H120" s="920"/>
      <c r="I120" s="920"/>
      <c r="J120" s="920"/>
      <c r="K120" s="920"/>
      <c r="L120" s="921"/>
    </row>
    <row r="121" spans="1:13" ht="13.5" thickBot="1" x14ac:dyDescent="0.25">
      <c r="A121" s="463"/>
      <c r="B121" s="463"/>
      <c r="C121" s="463"/>
      <c r="D121" s="463"/>
      <c r="E121" s="463"/>
      <c r="F121" s="463"/>
      <c r="G121" s="463"/>
      <c r="H121" s="463"/>
      <c r="I121" s="463"/>
      <c r="J121" s="463"/>
      <c r="K121" s="463"/>
      <c r="L121" s="463"/>
    </row>
    <row r="122" spans="1:13" ht="15.75" x14ac:dyDescent="0.25">
      <c r="A122" s="465" t="s">
        <v>721</v>
      </c>
      <c r="B122" s="466">
        <v>20</v>
      </c>
      <c r="C122" s="466"/>
      <c r="D122" s="466"/>
      <c r="E122" s="466"/>
      <c r="F122" s="922" t="s">
        <v>722</v>
      </c>
      <c r="G122" s="922"/>
      <c r="H122" s="922"/>
      <c r="I122" s="922"/>
      <c r="J122" s="922"/>
      <c r="K122" s="923" t="e">
        <f>CONCATENATE(VLOOKUP($M$123,'CAP Data'!$C$3:$Q$2638,3,FALSE),"-",VLOOKUP($M$123,'CAP Data'!$C$3:$Q$2638,4,FALSE))</f>
        <v>#N/A</v>
      </c>
      <c r="L122" s="924"/>
      <c r="M122" s="467"/>
    </row>
    <row r="123" spans="1:13" ht="15" x14ac:dyDescent="0.2">
      <c r="A123" s="925" t="s">
        <v>702</v>
      </c>
      <c r="B123" s="926"/>
      <c r="C123" s="927" t="e">
        <f>VLOOKUP($M$123,'CAP Data'!$C$3:$Q$2638,5,FALSE)</f>
        <v>#N/A</v>
      </c>
      <c r="D123" s="928"/>
      <c r="E123" s="468"/>
      <c r="F123" s="929" t="s">
        <v>723</v>
      </c>
      <c r="G123" s="929"/>
      <c r="H123" s="929"/>
      <c r="I123" s="929"/>
      <c r="J123" s="929"/>
      <c r="K123" s="929"/>
      <c r="L123" s="930"/>
      <c r="M123" s="472" t="str">
        <f>CONCATENATE($O$1,B122)</f>
        <v>020</v>
      </c>
    </row>
    <row r="124" spans="1:13" ht="15" x14ac:dyDescent="0.2">
      <c r="A124" s="911" t="s">
        <v>724</v>
      </c>
      <c r="B124" s="912"/>
      <c r="C124" s="931" t="e">
        <f>VLOOKUP($M$123,'CAP Data'!$C$3:$Q$2638,10,FALSE)</f>
        <v>#N/A</v>
      </c>
      <c r="D124" s="931"/>
      <c r="E124" s="469"/>
      <c r="F124" s="914" t="e">
        <f>VLOOKUP($M$123,'CAP Data'!$C$3:$Q$2638,12,FALSE)</f>
        <v>#N/A</v>
      </c>
      <c r="G124" s="914"/>
      <c r="H124" s="914"/>
      <c r="I124" s="914"/>
      <c r="J124" s="914"/>
      <c r="K124" s="914"/>
      <c r="L124" s="932"/>
    </row>
    <row r="125" spans="1:13" ht="15" x14ac:dyDescent="0.2">
      <c r="A125" s="911" t="s">
        <v>725</v>
      </c>
      <c r="B125" s="912"/>
      <c r="C125" s="913" t="e">
        <f>VLOOKUP($M$123,'CAP Data'!$C$3:$Q$2638,11,FALSE)</f>
        <v>#N/A</v>
      </c>
      <c r="D125" s="913"/>
      <c r="E125" s="469"/>
      <c r="F125" s="914" t="e">
        <f>VLOOKUP($M$123,'CAP Data'!$C$3:$Q$2638,13,FALSE)</f>
        <v>#N/A</v>
      </c>
      <c r="G125" s="914"/>
      <c r="H125" s="914"/>
      <c r="I125" s="914"/>
      <c r="J125" s="915" t="e">
        <f>VLOOKUP($M$123,'CAP Data'!$C$3:$Q$2638,14,FALSE)</f>
        <v>#N/A</v>
      </c>
      <c r="K125" s="915"/>
      <c r="L125" s="916"/>
    </row>
    <row r="126" spans="1:13" ht="38.25" customHeight="1" thickBot="1" x14ac:dyDescent="0.25">
      <c r="A126" s="917" t="s">
        <v>726</v>
      </c>
      <c r="B126" s="918"/>
      <c r="C126" s="919" t="e">
        <f>VLOOKUP($M$123,'CAP Data'!$C$3:$Q$2638,15,FALSE)</f>
        <v>#N/A</v>
      </c>
      <c r="D126" s="920"/>
      <c r="E126" s="920"/>
      <c r="F126" s="920"/>
      <c r="G126" s="920"/>
      <c r="H126" s="920"/>
      <c r="I126" s="920"/>
      <c r="J126" s="920"/>
      <c r="K126" s="920"/>
      <c r="L126" s="921"/>
    </row>
    <row r="127" spans="1:13" ht="15.75" thickBot="1" x14ac:dyDescent="0.25">
      <c r="A127" s="492"/>
      <c r="B127" s="470"/>
      <c r="C127" s="471"/>
      <c r="D127" s="471"/>
      <c r="E127" s="471"/>
      <c r="F127" s="471"/>
      <c r="G127" s="471"/>
      <c r="H127" s="471"/>
      <c r="I127" s="471"/>
      <c r="J127" s="471"/>
      <c r="K127" s="471"/>
      <c r="L127" s="491"/>
    </row>
    <row r="128" spans="1:13" ht="15.75" x14ac:dyDescent="0.2">
      <c r="A128" s="465" t="s">
        <v>721</v>
      </c>
      <c r="B128" s="466">
        <v>21</v>
      </c>
      <c r="C128" s="466"/>
      <c r="D128" s="466"/>
      <c r="E128" s="466"/>
      <c r="F128" s="922" t="s">
        <v>722</v>
      </c>
      <c r="G128" s="922"/>
      <c r="H128" s="922"/>
      <c r="I128" s="922"/>
      <c r="J128" s="922"/>
      <c r="K128" s="923" t="e">
        <f>CONCATENATE(VLOOKUP($M$123,'CAP Data'!$C$3:$Q$2638,3,FALSE),"-",VLOOKUP($M$123,'CAP Data'!$C$3:$Q$2638,4,FALSE))</f>
        <v>#N/A</v>
      </c>
      <c r="L128" s="924"/>
    </row>
    <row r="129" spans="1:13" ht="15" x14ac:dyDescent="0.2">
      <c r="A129" s="925" t="s">
        <v>702</v>
      </c>
      <c r="B129" s="926"/>
      <c r="C129" s="927" t="e">
        <f>VLOOKUP($M$129,'CAP Data'!$C$3:$Q$2638,5,FALSE)</f>
        <v>#N/A</v>
      </c>
      <c r="D129" s="928"/>
      <c r="E129" s="468"/>
      <c r="F129" s="929" t="s">
        <v>723</v>
      </c>
      <c r="G129" s="929"/>
      <c r="H129" s="929"/>
      <c r="I129" s="929"/>
      <c r="J129" s="929"/>
      <c r="K129" s="929"/>
      <c r="L129" s="930"/>
      <c r="M129" s="472" t="str">
        <f>CONCATENATE($O$1,B128)</f>
        <v>021</v>
      </c>
    </row>
    <row r="130" spans="1:13" ht="15" x14ac:dyDescent="0.2">
      <c r="A130" s="911" t="s">
        <v>724</v>
      </c>
      <c r="B130" s="912"/>
      <c r="C130" s="931" t="e">
        <f>VLOOKUP($M$129,'CAP Data'!$C$3:$Q$2638,10,FALSE)</f>
        <v>#N/A</v>
      </c>
      <c r="D130" s="931"/>
      <c r="E130" s="469"/>
      <c r="F130" s="914" t="e">
        <f>VLOOKUP($M$129,'CAP Data'!$C$3:$Q$2638,12,FALSE)</f>
        <v>#N/A</v>
      </c>
      <c r="G130" s="914"/>
      <c r="H130" s="914"/>
      <c r="I130" s="914"/>
      <c r="J130" s="914"/>
      <c r="K130" s="914"/>
      <c r="L130" s="932"/>
    </row>
    <row r="131" spans="1:13" ht="15" x14ac:dyDescent="0.2">
      <c r="A131" s="911" t="s">
        <v>725</v>
      </c>
      <c r="B131" s="912"/>
      <c r="C131" s="913" t="e">
        <f>VLOOKUP($M$129,'CAP Data'!$C$3:$Q$2638,11,FALSE)</f>
        <v>#N/A</v>
      </c>
      <c r="D131" s="913"/>
      <c r="E131" s="469"/>
      <c r="F131" s="914" t="e">
        <f>VLOOKUP($M$129,'CAP Data'!$C$3:$Q$2638,13,FALSE)</f>
        <v>#N/A</v>
      </c>
      <c r="G131" s="914"/>
      <c r="H131" s="914"/>
      <c r="I131" s="914"/>
      <c r="J131" s="915" t="e">
        <f>VLOOKUP($M$129,'CAP Data'!$C$3:$Q$2638,14,FALSE)</f>
        <v>#N/A</v>
      </c>
      <c r="K131" s="915"/>
      <c r="L131" s="916"/>
    </row>
    <row r="132" spans="1:13" ht="38.25" customHeight="1" thickBot="1" x14ac:dyDescent="0.25">
      <c r="A132" s="917" t="s">
        <v>726</v>
      </c>
      <c r="B132" s="918"/>
      <c r="C132" s="919" t="e">
        <f>VLOOKUP($M$129,'CAP Data'!$C$3:$Q$2638,15,FALSE)</f>
        <v>#N/A</v>
      </c>
      <c r="D132" s="920"/>
      <c r="E132" s="920"/>
      <c r="F132" s="920"/>
      <c r="G132" s="920"/>
      <c r="H132" s="920"/>
      <c r="I132" s="920"/>
      <c r="J132" s="920"/>
      <c r="K132" s="920"/>
      <c r="L132" s="921"/>
    </row>
  </sheetData>
  <sheetProtection sheet="1" objects="1" scenarios="1"/>
  <mergeCells count="298">
    <mergeCell ref="A2:L2"/>
    <mergeCell ref="M2:M7"/>
    <mergeCell ref="A3:L4"/>
    <mergeCell ref="A6:L6"/>
    <mergeCell ref="F8:J8"/>
    <mergeCell ref="K8:L8"/>
    <mergeCell ref="A11:B11"/>
    <mergeCell ref="C11:D11"/>
    <mergeCell ref="F11:I11"/>
    <mergeCell ref="J11:L11"/>
    <mergeCell ref="A12:B12"/>
    <mergeCell ref="C12:L12"/>
    <mergeCell ref="A9:B9"/>
    <mergeCell ref="C9:D9"/>
    <mergeCell ref="F9:L9"/>
    <mergeCell ref="A10:B10"/>
    <mergeCell ref="C10:D10"/>
    <mergeCell ref="F10:L10"/>
    <mergeCell ref="A17:B17"/>
    <mergeCell ref="C17:D17"/>
    <mergeCell ref="F17:I17"/>
    <mergeCell ref="J17:L17"/>
    <mergeCell ref="A18:B18"/>
    <mergeCell ref="C18:L18"/>
    <mergeCell ref="F14:J14"/>
    <mergeCell ref="K14:L14"/>
    <mergeCell ref="A15:B15"/>
    <mergeCell ref="C15:D15"/>
    <mergeCell ref="F15:L15"/>
    <mergeCell ref="A16:B16"/>
    <mergeCell ref="C16:D16"/>
    <mergeCell ref="F16:L16"/>
    <mergeCell ref="A23:B23"/>
    <mergeCell ref="C23:D23"/>
    <mergeCell ref="F23:I23"/>
    <mergeCell ref="J23:L23"/>
    <mergeCell ref="A24:B24"/>
    <mergeCell ref="C24:L24"/>
    <mergeCell ref="F20:J20"/>
    <mergeCell ref="K20:L20"/>
    <mergeCell ref="A21:B21"/>
    <mergeCell ref="C21:D21"/>
    <mergeCell ref="F21:L21"/>
    <mergeCell ref="A22:B22"/>
    <mergeCell ref="C22:D22"/>
    <mergeCell ref="F22:L22"/>
    <mergeCell ref="A29:B29"/>
    <mergeCell ref="C29:D29"/>
    <mergeCell ref="F29:I29"/>
    <mergeCell ref="J29:L29"/>
    <mergeCell ref="A30:B30"/>
    <mergeCell ref="C30:L30"/>
    <mergeCell ref="F26:J26"/>
    <mergeCell ref="K26:L26"/>
    <mergeCell ref="A27:B27"/>
    <mergeCell ref="C27:D27"/>
    <mergeCell ref="F27:L27"/>
    <mergeCell ref="A28:B28"/>
    <mergeCell ref="C28:D28"/>
    <mergeCell ref="F28:L28"/>
    <mergeCell ref="A35:B35"/>
    <mergeCell ref="C35:D35"/>
    <mergeCell ref="F35:I35"/>
    <mergeCell ref="J35:L35"/>
    <mergeCell ref="A36:B36"/>
    <mergeCell ref="C36:L36"/>
    <mergeCell ref="F32:J32"/>
    <mergeCell ref="K32:L32"/>
    <mergeCell ref="A33:B33"/>
    <mergeCell ref="C33:D33"/>
    <mergeCell ref="F33:L33"/>
    <mergeCell ref="A34:B34"/>
    <mergeCell ref="C34:D34"/>
    <mergeCell ref="F34:L34"/>
    <mergeCell ref="A41:B41"/>
    <mergeCell ref="C41:D41"/>
    <mergeCell ref="F41:I41"/>
    <mergeCell ref="J41:L41"/>
    <mergeCell ref="A42:B42"/>
    <mergeCell ref="C42:L42"/>
    <mergeCell ref="F38:J38"/>
    <mergeCell ref="K38:L38"/>
    <mergeCell ref="A39:B39"/>
    <mergeCell ref="C39:D39"/>
    <mergeCell ref="F39:L39"/>
    <mergeCell ref="A40:B40"/>
    <mergeCell ref="C40:D40"/>
    <mergeCell ref="F40:L40"/>
    <mergeCell ref="A47:B47"/>
    <mergeCell ref="C47:D47"/>
    <mergeCell ref="F47:I47"/>
    <mergeCell ref="J47:L47"/>
    <mergeCell ref="A48:B48"/>
    <mergeCell ref="C48:L48"/>
    <mergeCell ref="F44:J44"/>
    <mergeCell ref="K44:L44"/>
    <mergeCell ref="A45:B45"/>
    <mergeCell ref="C45:D45"/>
    <mergeCell ref="F45:L45"/>
    <mergeCell ref="A46:B46"/>
    <mergeCell ref="C46:D46"/>
    <mergeCell ref="F46:L46"/>
    <mergeCell ref="A53:B53"/>
    <mergeCell ref="C53:D53"/>
    <mergeCell ref="F53:I53"/>
    <mergeCell ref="J53:L53"/>
    <mergeCell ref="A54:B54"/>
    <mergeCell ref="C54:L54"/>
    <mergeCell ref="F50:J50"/>
    <mergeCell ref="K50:L50"/>
    <mergeCell ref="A51:B51"/>
    <mergeCell ref="C51:D51"/>
    <mergeCell ref="F51:L51"/>
    <mergeCell ref="A52:B52"/>
    <mergeCell ref="C52:D52"/>
    <mergeCell ref="F52:L52"/>
    <mergeCell ref="A59:B59"/>
    <mergeCell ref="C59:D59"/>
    <mergeCell ref="F59:I59"/>
    <mergeCell ref="J59:L59"/>
    <mergeCell ref="A60:B60"/>
    <mergeCell ref="C60:L60"/>
    <mergeCell ref="F56:J56"/>
    <mergeCell ref="K56:L56"/>
    <mergeCell ref="A57:B57"/>
    <mergeCell ref="C57:D57"/>
    <mergeCell ref="F57:L57"/>
    <mergeCell ref="A58:B58"/>
    <mergeCell ref="C58:D58"/>
    <mergeCell ref="F58:L58"/>
    <mergeCell ref="A65:B65"/>
    <mergeCell ref="C65:D65"/>
    <mergeCell ref="F65:I65"/>
    <mergeCell ref="J65:L65"/>
    <mergeCell ref="A66:B66"/>
    <mergeCell ref="C66:L66"/>
    <mergeCell ref="F62:J62"/>
    <mergeCell ref="K62:L62"/>
    <mergeCell ref="A63:B63"/>
    <mergeCell ref="C63:D63"/>
    <mergeCell ref="F63:L63"/>
    <mergeCell ref="A64:B64"/>
    <mergeCell ref="C64:D64"/>
    <mergeCell ref="F64:L64"/>
    <mergeCell ref="A71:B71"/>
    <mergeCell ref="C71:D71"/>
    <mergeCell ref="F71:I71"/>
    <mergeCell ref="J71:L71"/>
    <mergeCell ref="A72:B72"/>
    <mergeCell ref="C72:L72"/>
    <mergeCell ref="F68:J68"/>
    <mergeCell ref="K68:L68"/>
    <mergeCell ref="A69:B69"/>
    <mergeCell ref="C69:D69"/>
    <mergeCell ref="F69:L69"/>
    <mergeCell ref="A70:B70"/>
    <mergeCell ref="C70:D70"/>
    <mergeCell ref="F70:L70"/>
    <mergeCell ref="A77:B77"/>
    <mergeCell ref="C77:D77"/>
    <mergeCell ref="F77:I77"/>
    <mergeCell ref="J77:L77"/>
    <mergeCell ref="A78:B78"/>
    <mergeCell ref="C78:L78"/>
    <mergeCell ref="F74:J74"/>
    <mergeCell ref="K74:L74"/>
    <mergeCell ref="A75:B75"/>
    <mergeCell ref="C75:D75"/>
    <mergeCell ref="F75:L75"/>
    <mergeCell ref="A76:B76"/>
    <mergeCell ref="C76:D76"/>
    <mergeCell ref="F76:L76"/>
    <mergeCell ref="A83:B83"/>
    <mergeCell ref="C83:D83"/>
    <mergeCell ref="F83:I83"/>
    <mergeCell ref="J83:L83"/>
    <mergeCell ref="A84:B84"/>
    <mergeCell ref="C84:L84"/>
    <mergeCell ref="F80:J80"/>
    <mergeCell ref="K80:L80"/>
    <mergeCell ref="A81:B81"/>
    <mergeCell ref="C81:D81"/>
    <mergeCell ref="F81:L81"/>
    <mergeCell ref="A82:B82"/>
    <mergeCell ref="C82:D82"/>
    <mergeCell ref="F82:L82"/>
    <mergeCell ref="A89:B89"/>
    <mergeCell ref="C89:D89"/>
    <mergeCell ref="F89:I89"/>
    <mergeCell ref="J89:L89"/>
    <mergeCell ref="A90:B90"/>
    <mergeCell ref="C90:L90"/>
    <mergeCell ref="F86:J86"/>
    <mergeCell ref="K86:L86"/>
    <mergeCell ref="A87:B87"/>
    <mergeCell ref="C87:D87"/>
    <mergeCell ref="F87:L87"/>
    <mergeCell ref="A88:B88"/>
    <mergeCell ref="C88:D88"/>
    <mergeCell ref="F88:L88"/>
    <mergeCell ref="A95:B95"/>
    <mergeCell ref="C95:D95"/>
    <mergeCell ref="F95:I95"/>
    <mergeCell ref="J95:L95"/>
    <mergeCell ref="A96:B96"/>
    <mergeCell ref="C96:L96"/>
    <mergeCell ref="F92:J92"/>
    <mergeCell ref="K92:L92"/>
    <mergeCell ref="A93:B93"/>
    <mergeCell ref="C93:D93"/>
    <mergeCell ref="F93:L93"/>
    <mergeCell ref="A94:B94"/>
    <mergeCell ref="C94:D94"/>
    <mergeCell ref="F94:L94"/>
    <mergeCell ref="A101:B101"/>
    <mergeCell ref="C101:D101"/>
    <mergeCell ref="F101:I101"/>
    <mergeCell ref="J101:L101"/>
    <mergeCell ref="A102:B102"/>
    <mergeCell ref="C102:L102"/>
    <mergeCell ref="F98:J98"/>
    <mergeCell ref="K98:L98"/>
    <mergeCell ref="A99:B99"/>
    <mergeCell ref="C99:D99"/>
    <mergeCell ref="F99:L99"/>
    <mergeCell ref="A100:B100"/>
    <mergeCell ref="C100:D100"/>
    <mergeCell ref="F100:L100"/>
    <mergeCell ref="A107:B107"/>
    <mergeCell ref="C107:D107"/>
    <mergeCell ref="F107:I107"/>
    <mergeCell ref="J107:L107"/>
    <mergeCell ref="A108:B108"/>
    <mergeCell ref="C108:L108"/>
    <mergeCell ref="F104:J104"/>
    <mergeCell ref="K104:L104"/>
    <mergeCell ref="A105:B105"/>
    <mergeCell ref="C105:D105"/>
    <mergeCell ref="F105:L105"/>
    <mergeCell ref="A106:B106"/>
    <mergeCell ref="C106:D106"/>
    <mergeCell ref="F106:L106"/>
    <mergeCell ref="A113:B113"/>
    <mergeCell ref="C113:D113"/>
    <mergeCell ref="F113:I113"/>
    <mergeCell ref="J113:L113"/>
    <mergeCell ref="A114:B114"/>
    <mergeCell ref="C114:L114"/>
    <mergeCell ref="F110:J110"/>
    <mergeCell ref="K110:L110"/>
    <mergeCell ref="A111:B111"/>
    <mergeCell ref="C111:D111"/>
    <mergeCell ref="F111:L111"/>
    <mergeCell ref="A112:B112"/>
    <mergeCell ref="C112:D112"/>
    <mergeCell ref="F112:L112"/>
    <mergeCell ref="A119:B119"/>
    <mergeCell ref="C119:D119"/>
    <mergeCell ref="F119:I119"/>
    <mergeCell ref="J119:L119"/>
    <mergeCell ref="A120:B120"/>
    <mergeCell ref="C120:L120"/>
    <mergeCell ref="F116:J116"/>
    <mergeCell ref="K116:L116"/>
    <mergeCell ref="A117:B117"/>
    <mergeCell ref="C117:D117"/>
    <mergeCell ref="F117:L117"/>
    <mergeCell ref="A118:B118"/>
    <mergeCell ref="C118:D118"/>
    <mergeCell ref="F118:L118"/>
    <mergeCell ref="A125:B125"/>
    <mergeCell ref="C125:D125"/>
    <mergeCell ref="F125:I125"/>
    <mergeCell ref="J125:L125"/>
    <mergeCell ref="A126:B126"/>
    <mergeCell ref="C126:L126"/>
    <mergeCell ref="F122:J122"/>
    <mergeCell ref="K122:L122"/>
    <mergeCell ref="A123:B123"/>
    <mergeCell ref="C123:D123"/>
    <mergeCell ref="F123:L123"/>
    <mergeCell ref="A124:B124"/>
    <mergeCell ref="C124:D124"/>
    <mergeCell ref="F124:L124"/>
    <mergeCell ref="A131:B131"/>
    <mergeCell ref="C131:D131"/>
    <mergeCell ref="F131:I131"/>
    <mergeCell ref="J131:L131"/>
    <mergeCell ref="A132:B132"/>
    <mergeCell ref="C132:L132"/>
    <mergeCell ref="F128:J128"/>
    <mergeCell ref="K128:L128"/>
    <mergeCell ref="A129:B129"/>
    <mergeCell ref="C129:D129"/>
    <mergeCell ref="F129:L129"/>
    <mergeCell ref="A130:B130"/>
    <mergeCell ref="C130:D130"/>
    <mergeCell ref="F130:L130"/>
  </mergeCells>
  <hyperlinks>
    <hyperlink ref="M2:M7" location="'Capital Expend Project Specific'!A1" display="Return to Capital Expend Project Specific tab" xr:uid="{00000000-0004-0000-0700-000000000000}"/>
  </hyperlinks>
  <printOptions horizontalCentered="1"/>
  <pageMargins left="0.75" right="0.75" top="1" bottom="1" header="0.5" footer="0.5"/>
  <pageSetup scale="83" fitToHeight="7" orientation="portrait" r:id="rId1"/>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rowBreaks count="3" manualBreakCount="3">
    <brk id="36" max="11" man="1"/>
    <brk id="72" max="11" man="1"/>
    <brk id="10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C26"/>
  <sheetViews>
    <sheetView zoomScaleNormal="100" workbookViewId="0">
      <selection activeCell="H20" sqref="H20"/>
    </sheetView>
  </sheetViews>
  <sheetFormatPr defaultRowHeight="12.75" x14ac:dyDescent="0.2"/>
  <cols>
    <col min="1" max="1" width="9.140625" style="348"/>
    <col min="2" max="2" width="41" style="375" customWidth="1"/>
    <col min="3" max="3" width="81.5703125" style="370" customWidth="1"/>
    <col min="4" max="16384" width="9.140625" style="348"/>
  </cols>
  <sheetData>
    <row r="1" spans="1:3" ht="50.25" customHeight="1" x14ac:dyDescent="0.2">
      <c r="A1" s="946" t="str">
        <f>CONCATENATE("Definitions of Codes used on the ",'Capital Expend Detail'!$N$1," Health Care System
Capital Expenditure Retrospective Review Formset")</f>
        <v>Definitions of Codes used on the 2022 Health Care System
Capital Expenditure Retrospective Review Formset</v>
      </c>
      <c r="B1" s="947"/>
      <c r="C1" s="947"/>
    </row>
    <row r="2" spans="1:3" ht="16.5" thickBot="1" x14ac:dyDescent="0.3">
      <c r="A2" s="349" t="s">
        <v>131</v>
      </c>
      <c r="B2" s="350" t="s">
        <v>130</v>
      </c>
      <c r="C2" s="351" t="s">
        <v>129</v>
      </c>
    </row>
    <row r="3" spans="1:3" ht="15.75" x14ac:dyDescent="0.25">
      <c r="A3" s="352"/>
      <c r="B3" s="353"/>
      <c r="C3" s="354"/>
    </row>
    <row r="4" spans="1:3" ht="30" x14ac:dyDescent="0.25">
      <c r="A4" s="355"/>
      <c r="B4" s="356" t="s">
        <v>299</v>
      </c>
      <c r="C4" s="357" t="s">
        <v>301</v>
      </c>
    </row>
    <row r="5" spans="1:3" ht="12.75" customHeight="1" x14ac:dyDescent="0.25">
      <c r="A5" s="352"/>
      <c r="B5" s="353"/>
      <c r="C5" s="354"/>
    </row>
    <row r="6" spans="1:3" ht="165" x14ac:dyDescent="0.25">
      <c r="A6" s="358"/>
      <c r="B6" s="359" t="s">
        <v>300</v>
      </c>
      <c r="C6" s="360" t="s">
        <v>647</v>
      </c>
    </row>
    <row r="7" spans="1:3" ht="21" customHeight="1" x14ac:dyDescent="0.25">
      <c r="A7" s="361"/>
      <c r="B7" s="362"/>
      <c r="C7" s="363" t="s">
        <v>320</v>
      </c>
    </row>
    <row r="8" spans="1:3" ht="12.75" customHeight="1" x14ac:dyDescent="0.25">
      <c r="A8" s="352"/>
      <c r="B8" s="353"/>
      <c r="C8" s="364"/>
    </row>
    <row r="9" spans="1:3" ht="45" x14ac:dyDescent="0.2">
      <c r="A9" s="365" t="s">
        <v>64</v>
      </c>
      <c r="B9" s="356" t="s">
        <v>65</v>
      </c>
      <c r="C9" s="366" t="s">
        <v>648</v>
      </c>
    </row>
    <row r="11" spans="1:3" ht="285" x14ac:dyDescent="0.2">
      <c r="A11" s="367">
        <v>7594</v>
      </c>
      <c r="B11" s="356" t="s">
        <v>298</v>
      </c>
      <c r="C11" s="368" t="s">
        <v>210</v>
      </c>
    </row>
    <row r="12" spans="1:3" x14ac:dyDescent="0.2">
      <c r="B12" s="369"/>
    </row>
    <row r="13" spans="1:3" ht="25.5" x14ac:dyDescent="0.2">
      <c r="A13" s="371" t="s">
        <v>96</v>
      </c>
      <c r="B13" s="356" t="s">
        <v>97</v>
      </c>
      <c r="C13" s="368" t="s">
        <v>141</v>
      </c>
    </row>
    <row r="15" spans="1:3" ht="30" x14ac:dyDescent="0.25">
      <c r="A15" s="355"/>
      <c r="B15" s="356" t="s">
        <v>83</v>
      </c>
      <c r="C15" s="372" t="s">
        <v>302</v>
      </c>
    </row>
    <row r="17" spans="1:3" ht="30" x14ac:dyDescent="0.25">
      <c r="A17" s="355"/>
      <c r="B17" s="356" t="s">
        <v>303</v>
      </c>
      <c r="C17" s="372" t="s">
        <v>304</v>
      </c>
    </row>
    <row r="19" spans="1:3" ht="31.5" x14ac:dyDescent="0.25">
      <c r="A19" s="355"/>
      <c r="B19" s="356" t="s">
        <v>305</v>
      </c>
      <c r="C19" s="373" t="s">
        <v>306</v>
      </c>
    </row>
    <row r="21" spans="1:3" ht="255" x14ac:dyDescent="0.2">
      <c r="A21" s="374" t="s">
        <v>319</v>
      </c>
      <c r="B21" s="356" t="s">
        <v>307</v>
      </c>
      <c r="C21" s="372" t="s">
        <v>649</v>
      </c>
    </row>
    <row r="22" spans="1:3" ht="15.75" x14ac:dyDescent="0.25">
      <c r="C22" s="376"/>
    </row>
    <row r="23" spans="1:3" ht="15.75" x14ac:dyDescent="0.25">
      <c r="C23" s="377"/>
    </row>
    <row r="24" spans="1:3" ht="15.75" x14ac:dyDescent="0.25">
      <c r="C24" s="377"/>
    </row>
    <row r="25" spans="1:3" ht="15.75" x14ac:dyDescent="0.25">
      <c r="C25" s="377"/>
    </row>
    <row r="26" spans="1:3" ht="15.75" x14ac:dyDescent="0.25">
      <c r="C26" s="377"/>
    </row>
  </sheetData>
  <sheetProtection sheet="1" objects="1" scenarios="1"/>
  <mergeCells count="1">
    <mergeCell ref="A1:C1"/>
  </mergeCells>
  <phoneticPr fontId="0" type="noConversion"/>
  <hyperlinks>
    <hyperlink ref="A9" location="NPI" display="NPI" xr:uid="{00000000-0004-0000-0800-000000000000}"/>
    <hyperlink ref="C9" r:id="rId1" display=" Enter this number if you have been assigned an NPI from the Centers for Medicare &amp; Medicaid Services (CMS).  See http://www.cms.hhs.gov/NationalProvIdentStand/ for more information." xr:uid="{00000000-0004-0000-0800-000001000000}"/>
    <hyperlink ref="A11" location="code_7594" display="code_7594" xr:uid="{00000000-0004-0000-0800-000002000000}"/>
    <hyperlink ref="A13" location="'Capital Expend Project Specific'!A1" display="back to formset" xr:uid="{00000000-0004-0000-0800-000003000000}"/>
    <hyperlink ref="A21" location="'Capital Expend Project Specific'!A1" display="Returen to Project Specific tab" xr:uid="{00000000-0004-0000-0800-000004000000}"/>
    <hyperlink ref="C7" r:id="rId2" location="stat.256B.0625" xr:uid="{00000000-0004-0000-0800-000005000000}"/>
  </hyperlinks>
  <printOptions horizontalCentered="1"/>
  <pageMargins left="0.75" right="0.75" top="1" bottom="1" header="0.5" footer="0.5"/>
  <pageSetup scale="55" orientation="portrait" r:id="rId3"/>
  <headerFooter alignWithMargins="0">
    <oddFooter>&amp;L&amp;"Calibri,Regular"Fiscal Year 2022
Capital Expenditure Reporting for a Health Care System&amp;C&amp;"Calibri,Regular"&amp;P of &amp;N&amp;R&amp;"Calibri,Regular"Minnesota Department of Health
phone 651-238-1968 or 651-201-3572/fax 651-201-5179
health.hccis@state.mn.us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demog check</vt:lpstr>
      <vt:lpstr>load script</vt:lpstr>
      <vt:lpstr>Instructions</vt:lpstr>
      <vt:lpstr>CAP Data</vt:lpstr>
      <vt:lpstr>Capital Expend Detail</vt:lpstr>
      <vt:lpstr>Demog Contact (2)</vt:lpstr>
      <vt:lpstr>Capital Expend Project Specific</vt:lpstr>
      <vt:lpstr>Prior Cap Exp Report</vt:lpstr>
      <vt:lpstr>Definitions</vt:lpstr>
      <vt:lpstr>System_ID</vt:lpstr>
      <vt:lpstr>CapExpData</vt:lpstr>
      <vt:lpstr>cap_exp_contact</vt:lpstr>
      <vt:lpstr>cap_exp_errors</vt:lpstr>
      <vt:lpstr>code_7594</vt:lpstr>
      <vt:lpstr>code_7595</vt:lpstr>
      <vt:lpstr>code_7596</vt:lpstr>
      <vt:lpstr>def_7594</vt:lpstr>
      <vt:lpstr>def_cap_exp</vt:lpstr>
      <vt:lpstr>def_date_of_spending_commitment</vt:lpstr>
      <vt:lpstr>def_exceptions</vt:lpstr>
      <vt:lpstr>def_NPI</vt:lpstr>
      <vt:lpstr>ID_list</vt:lpstr>
      <vt:lpstr>NPI</vt:lpstr>
      <vt:lpstr>CapExpData!Print_Area</vt:lpstr>
      <vt:lpstr>'Capital Expend Detail'!Print_Area</vt:lpstr>
      <vt:lpstr>'Capital Expend Project Specific'!Print_Area</vt:lpstr>
      <vt:lpstr>Definitions!Print_Area</vt:lpstr>
      <vt:lpstr>'demog check'!Print_Area</vt:lpstr>
      <vt:lpstr>Instructions!Print_Area</vt:lpstr>
      <vt:lpstr>'Prior Cap Exp Report'!Print_Area</vt:lpstr>
      <vt:lpstr>System_ID!Print_Area</vt:lpstr>
      <vt:lpstr>'CAP Data'!Print_Titles</vt:lpstr>
      <vt:lpstr>Definitions!Print_Titles</vt:lpstr>
      <vt:lpstr>System_ID!Print_Titles</vt:lpstr>
      <vt:lpstr>start</vt:lpstr>
      <vt:lpstr>System_ID_list</vt:lpstr>
      <vt:lpstr>ValidCapacity</vt:lpstr>
      <vt:lpstr>ValidEvidence</vt:lpstr>
      <vt:lpstr>ValidImpact</vt:lpstr>
      <vt:lpstr>ValidPriorCap</vt:lpstr>
      <vt:lpstr>ValidProjType</vt:lpstr>
      <vt:lpstr>ValidRemote</vt:lpstr>
      <vt:lpstr>ValidSubtype1</vt:lpstr>
      <vt:lpstr>ValidSubtype2</vt:lpstr>
      <vt:lpstr>ValidSubtype3</vt:lpstr>
      <vt:lpstr>VCapacity</vt:lpstr>
      <vt:lpstr>VEvidence</vt:lpstr>
      <vt:lpstr>VImpact</vt:lpstr>
      <vt:lpstr>VPriorCap</vt:lpstr>
      <vt:lpstr>VProjType</vt:lpstr>
      <vt:lpstr>VRemote</vt:lpstr>
      <vt:lpstr>VSubtype1</vt:lpstr>
      <vt:lpstr>VSubtype2</vt:lpstr>
      <vt:lpstr>VSubtype3</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Expenditure Retrospective Review</dc:title>
  <dc:subject>Capital Expenditure Reporting</dc:subject>
  <dc:creator>Tracy.L Johnson</dc:creator>
  <cp:lastModifiedBy>Morgan Foster</cp:lastModifiedBy>
  <cp:lastPrinted>2022-11-10T16:44:42Z</cp:lastPrinted>
  <dcterms:created xsi:type="dcterms:W3CDTF">2004-03-09T13:38:39Z</dcterms:created>
  <dcterms:modified xsi:type="dcterms:W3CDTF">2022-12-02T20:58:15Z</dcterms:modified>
</cp:coreProperties>
</file>