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0" yWindow="135" windowWidth="9735" windowHeight="5655" tabRatio="875" firstSheet="1" activeTab="4"/>
  </bookViews>
  <sheets>
    <sheet name="Template IF 2" sheetId="1" state="hidden" r:id="rId1"/>
    <sheet name="Title Page" sheetId="10" r:id="rId2"/>
    <sheet name="Instructions" sheetId="5" r:id="rId3"/>
    <sheet name="Trends" sheetId="2" r:id="rId4"/>
    <sheet name="Sheet1" sheetId="11" r:id="rId5"/>
  </sheets>
  <definedNames>
    <definedName name="_xlnm.Print_Area" localSheetId="3">Trends!$A$1:$L$321</definedName>
  </definedNames>
  <calcPr calcId="145621"/>
</workbook>
</file>

<file path=xl/calcChain.xml><?xml version="1.0" encoding="utf-8"?>
<calcChain xmlns="http://schemas.openxmlformats.org/spreadsheetml/2006/main">
  <c r="K276" i="2" l="1"/>
  <c r="I127" i="2" l="1"/>
  <c r="J127" i="2"/>
  <c r="K127" i="2"/>
  <c r="H127" i="2"/>
  <c r="H129" i="2"/>
  <c r="I129" i="2"/>
  <c r="J129" i="2"/>
  <c r="K129" i="2"/>
  <c r="H130" i="2"/>
  <c r="I130" i="2"/>
  <c r="J130" i="2"/>
  <c r="K130" i="2"/>
  <c r="H131" i="2"/>
  <c r="I131" i="2"/>
  <c r="J131" i="2"/>
  <c r="K131" i="2"/>
  <c r="H132" i="2"/>
  <c r="I132" i="2"/>
  <c r="J132" i="2"/>
  <c r="K132" i="2"/>
  <c r="H133" i="2"/>
  <c r="I133" i="2"/>
  <c r="J133" i="2"/>
  <c r="K133" i="2"/>
  <c r="K128" i="2"/>
  <c r="J128" i="2"/>
  <c r="I128" i="2"/>
  <c r="H128" i="2"/>
  <c r="I209" i="2" l="1"/>
  <c r="J209" i="2"/>
  <c r="K209" i="2"/>
  <c r="L209" i="2"/>
  <c r="H209" i="2"/>
  <c r="I230" i="2"/>
  <c r="J230" i="2"/>
  <c r="K230" i="2"/>
  <c r="H230" i="2"/>
  <c r="C230" i="2"/>
  <c r="D230" i="2"/>
  <c r="E230" i="2"/>
  <c r="B230" i="2"/>
  <c r="I271" i="2"/>
  <c r="J271" i="2"/>
  <c r="K271" i="2"/>
  <c r="H271" i="2"/>
  <c r="I261" i="2"/>
  <c r="J261" i="2"/>
  <c r="K261" i="2"/>
  <c r="H261" i="2"/>
  <c r="I251" i="2"/>
  <c r="J251" i="2"/>
  <c r="K251" i="2"/>
  <c r="H251" i="2"/>
  <c r="I241" i="2"/>
  <c r="J241" i="2"/>
  <c r="K241" i="2"/>
  <c r="H241" i="2"/>
  <c r="C271" i="2"/>
  <c r="D271" i="2"/>
  <c r="E271" i="2"/>
  <c r="B271" i="2"/>
  <c r="C261" i="2"/>
  <c r="D261" i="2"/>
  <c r="E261" i="2"/>
  <c r="B261" i="2"/>
  <c r="C251" i="2"/>
  <c r="D251" i="2"/>
  <c r="E251" i="2"/>
  <c r="B251" i="2"/>
  <c r="C241" i="2"/>
  <c r="D241" i="2"/>
  <c r="E241" i="2"/>
  <c r="B241" i="2"/>
  <c r="C220" i="2"/>
  <c r="D220" i="2"/>
  <c r="E220" i="2"/>
  <c r="B220" i="2"/>
  <c r="K220" i="2"/>
  <c r="J220" i="2"/>
  <c r="I220" i="2"/>
  <c r="H220" i="2"/>
  <c r="C209" i="2"/>
  <c r="D209" i="2"/>
  <c r="E209" i="2"/>
  <c r="B209" i="2"/>
  <c r="K197" i="2"/>
  <c r="I197" i="2"/>
  <c r="J197" i="2"/>
  <c r="H197" i="2"/>
  <c r="C197" i="2"/>
  <c r="D197" i="2"/>
  <c r="E197" i="2"/>
  <c r="F197" i="2"/>
  <c r="B197" i="2"/>
  <c r="I186" i="2"/>
  <c r="J186" i="2"/>
  <c r="K186" i="2"/>
  <c r="H186" i="2"/>
  <c r="C186" i="2"/>
  <c r="D186" i="2"/>
  <c r="E186" i="2"/>
  <c r="B186" i="2"/>
  <c r="I175" i="2"/>
  <c r="J175" i="2"/>
  <c r="K175" i="2"/>
  <c r="H175" i="2"/>
  <c r="C175" i="2"/>
  <c r="D175" i="2"/>
  <c r="E175" i="2"/>
  <c r="B175" i="2"/>
  <c r="I163" i="2"/>
  <c r="J163" i="2"/>
  <c r="K163" i="2"/>
  <c r="H163" i="2"/>
  <c r="I152" i="2"/>
  <c r="J152" i="2"/>
  <c r="K152" i="2"/>
  <c r="H152" i="2"/>
  <c r="C163" i="2"/>
  <c r="D163" i="2"/>
  <c r="E163" i="2"/>
  <c r="B163" i="2"/>
  <c r="C152" i="2"/>
  <c r="D152" i="2"/>
  <c r="E152" i="2"/>
  <c r="B152" i="2"/>
  <c r="I141" i="2"/>
  <c r="J141" i="2"/>
  <c r="K141" i="2"/>
  <c r="H141" i="2"/>
  <c r="C141" i="2"/>
  <c r="D141" i="2"/>
  <c r="E141" i="2"/>
  <c r="B141" i="2"/>
  <c r="C127" i="2"/>
  <c r="D127" i="2"/>
  <c r="E127" i="2"/>
  <c r="B127" i="2"/>
  <c r="I116" i="2"/>
  <c r="J116" i="2"/>
  <c r="K116" i="2"/>
  <c r="H116" i="2"/>
  <c r="C116" i="2"/>
  <c r="D116" i="2"/>
  <c r="E116" i="2"/>
  <c r="B116" i="2"/>
  <c r="I105" i="2"/>
  <c r="J105" i="2"/>
  <c r="K105" i="2"/>
  <c r="H105" i="2"/>
  <c r="C105" i="2"/>
  <c r="D105" i="2"/>
  <c r="E105" i="2"/>
  <c r="B105" i="2"/>
  <c r="I92" i="2"/>
  <c r="J92" i="2"/>
  <c r="K92" i="2"/>
  <c r="L92" i="2"/>
  <c r="H92" i="2"/>
  <c r="C92" i="2"/>
  <c r="D92" i="2"/>
  <c r="E92" i="2"/>
  <c r="F92" i="2"/>
  <c r="B92" i="2"/>
  <c r="I82" i="2"/>
  <c r="J82" i="2"/>
  <c r="K82" i="2"/>
  <c r="L82" i="2"/>
  <c r="H82" i="2"/>
  <c r="C82" i="2"/>
  <c r="D82" i="2"/>
  <c r="E82" i="2"/>
  <c r="F82" i="2"/>
  <c r="B82" i="2"/>
  <c r="I72" i="2"/>
  <c r="J72" i="2"/>
  <c r="K72" i="2"/>
  <c r="L72" i="2"/>
  <c r="H72" i="2"/>
  <c r="C72" i="2"/>
  <c r="D72" i="2"/>
  <c r="E72" i="2"/>
  <c r="F72" i="2"/>
  <c r="B72" i="2"/>
  <c r="I59" i="2"/>
  <c r="J59" i="2"/>
  <c r="K59" i="2"/>
  <c r="L59" i="2"/>
  <c r="H59" i="2"/>
  <c r="C59" i="2"/>
  <c r="D59" i="2"/>
  <c r="E59" i="2"/>
  <c r="F59" i="2"/>
  <c r="B59" i="2"/>
  <c r="K48" i="2"/>
  <c r="L48" i="2"/>
  <c r="I48" i="2"/>
  <c r="J48" i="2"/>
  <c r="H48" i="2"/>
  <c r="F48" i="2"/>
  <c r="E48" i="2"/>
  <c r="D48" i="2"/>
  <c r="C48" i="2"/>
  <c r="B48" i="2"/>
  <c r="L37" i="2"/>
  <c r="K37" i="2"/>
  <c r="J37" i="2"/>
  <c r="I37" i="2"/>
  <c r="H37" i="2"/>
  <c r="C37" i="2"/>
  <c r="D37" i="2"/>
  <c r="E37" i="2"/>
  <c r="F37" i="2"/>
  <c r="B37" i="2"/>
  <c r="GB117" i="1" l="1"/>
  <c r="GC117" i="1"/>
  <c r="GD117" i="1"/>
  <c r="GE117" i="1"/>
  <c r="GF117" i="1"/>
  <c r="GG117" i="1"/>
  <c r="GH117" i="1"/>
  <c r="GI117" i="1"/>
  <c r="GJ117" i="1"/>
  <c r="GK117" i="1"/>
  <c r="GL117" i="1"/>
  <c r="GM117" i="1"/>
  <c r="GN117" i="1"/>
  <c r="GO117" i="1"/>
  <c r="GP117" i="1"/>
  <c r="GQ117" i="1"/>
  <c r="GR117" i="1"/>
  <c r="GS117" i="1"/>
  <c r="GT117" i="1"/>
  <c r="GU117" i="1"/>
  <c r="GV117" i="1"/>
  <c r="GW117" i="1"/>
  <c r="GX117" i="1"/>
  <c r="GY117" i="1"/>
  <c r="GZ117" i="1"/>
  <c r="HA117" i="1"/>
  <c r="HB117" i="1"/>
  <c r="HC117" i="1"/>
  <c r="HD117" i="1"/>
  <c r="HE117" i="1"/>
  <c r="HF117" i="1"/>
  <c r="HG117" i="1"/>
  <c r="HH117" i="1"/>
  <c r="HI117" i="1"/>
  <c r="HJ117" i="1"/>
  <c r="HK117" i="1"/>
  <c r="HL117" i="1"/>
  <c r="HM117" i="1"/>
  <c r="HN117" i="1"/>
  <c r="HO117" i="1"/>
  <c r="HP117" i="1"/>
  <c r="HQ117" i="1"/>
  <c r="HR117" i="1"/>
  <c r="HS117" i="1"/>
  <c r="HT117" i="1"/>
  <c r="HU117" i="1"/>
  <c r="CW117" i="1"/>
  <c r="CX117" i="1"/>
  <c r="CY117" i="1"/>
  <c r="CZ117" i="1"/>
  <c r="DA117" i="1"/>
  <c r="DB117" i="1"/>
  <c r="DC117" i="1"/>
  <c r="DD117" i="1"/>
  <c r="DE117" i="1"/>
  <c r="DF117" i="1"/>
  <c r="DG117" i="1"/>
  <c r="DH117" i="1"/>
  <c r="DI117" i="1"/>
  <c r="DJ117" i="1"/>
  <c r="DK117" i="1"/>
  <c r="DL117" i="1"/>
  <c r="DM117" i="1"/>
  <c r="DN117" i="1"/>
  <c r="DO117" i="1"/>
  <c r="DP117" i="1"/>
  <c r="DQ117" i="1"/>
  <c r="DR117" i="1"/>
  <c r="DS117" i="1"/>
  <c r="DT117" i="1"/>
  <c r="DU117" i="1"/>
  <c r="DV117" i="1"/>
  <c r="DW117" i="1"/>
  <c r="DX117" i="1"/>
  <c r="DY117" i="1"/>
  <c r="DZ117" i="1"/>
  <c r="EA117" i="1"/>
  <c r="EB117" i="1"/>
  <c r="EC117" i="1"/>
  <c r="ED117" i="1"/>
  <c r="EE117" i="1"/>
  <c r="EF117" i="1"/>
  <c r="EG117" i="1"/>
  <c r="EH117" i="1"/>
  <c r="EI117" i="1"/>
  <c r="EJ117" i="1"/>
  <c r="EK117" i="1"/>
  <c r="EL117" i="1"/>
  <c r="EM117" i="1"/>
  <c r="EN117" i="1"/>
  <c r="EO117" i="1"/>
  <c r="EP117" i="1"/>
  <c r="EQ117" i="1"/>
  <c r="ER117" i="1"/>
  <c r="ES117" i="1"/>
  <c r="ET117" i="1"/>
  <c r="EU117" i="1"/>
  <c r="EV117" i="1"/>
  <c r="EW117" i="1"/>
  <c r="EX117" i="1"/>
  <c r="EY117" i="1"/>
  <c r="EZ117" i="1"/>
  <c r="FA117" i="1"/>
  <c r="FB117" i="1"/>
  <c r="FC117" i="1"/>
  <c r="FD117" i="1"/>
  <c r="FE117" i="1"/>
  <c r="FF117" i="1"/>
  <c r="FG117" i="1"/>
  <c r="FH117" i="1"/>
  <c r="FI117" i="1"/>
  <c r="FJ117" i="1"/>
  <c r="FK117" i="1"/>
  <c r="FL117" i="1"/>
  <c r="FM117" i="1"/>
  <c r="FN117" i="1"/>
  <c r="FO117" i="1"/>
  <c r="FP117" i="1"/>
  <c r="FQ117" i="1"/>
  <c r="FR117" i="1"/>
  <c r="FS117" i="1"/>
  <c r="FT117" i="1"/>
  <c r="FU117" i="1"/>
  <c r="FV117" i="1"/>
  <c r="FW117" i="1"/>
  <c r="FX117" i="1"/>
  <c r="FY117" i="1"/>
  <c r="FZ117" i="1"/>
  <c r="GA117" i="1"/>
  <c r="CD117" i="1"/>
  <c r="CE117" i="1"/>
  <c r="CF117" i="1"/>
  <c r="CG117" i="1"/>
  <c r="CH117" i="1"/>
  <c r="CI117" i="1"/>
  <c r="CJ117" i="1"/>
  <c r="CK117" i="1"/>
  <c r="CL117" i="1"/>
  <c r="CM117" i="1"/>
  <c r="CN117" i="1"/>
  <c r="CO117" i="1"/>
  <c r="CP117" i="1"/>
  <c r="CQ117" i="1"/>
  <c r="CR117" i="1"/>
  <c r="CS117" i="1"/>
  <c r="CT117" i="1"/>
  <c r="CU117" i="1"/>
  <c r="CV117" i="1"/>
  <c r="BN117" i="1"/>
  <c r="BO117" i="1"/>
  <c r="BP117" i="1"/>
  <c r="BQ117" i="1"/>
  <c r="BR117" i="1"/>
  <c r="BS117" i="1"/>
  <c r="BT117" i="1"/>
  <c r="BU117" i="1"/>
  <c r="BV117" i="1"/>
  <c r="BW117" i="1"/>
  <c r="BX117" i="1"/>
  <c r="BY117" i="1"/>
  <c r="BZ117" i="1"/>
  <c r="CA117" i="1"/>
  <c r="CB117" i="1"/>
  <c r="CC117" i="1"/>
  <c r="AP117" i="1"/>
  <c r="AQ117" i="1"/>
  <c r="AR117" i="1"/>
  <c r="AS117" i="1"/>
  <c r="AT117" i="1"/>
  <c r="AU117" i="1"/>
  <c r="AV117" i="1"/>
  <c r="AW117" i="1"/>
  <c r="AX117" i="1"/>
  <c r="AY117" i="1"/>
  <c r="AZ117" i="1"/>
  <c r="BA117" i="1"/>
  <c r="BB117" i="1"/>
  <c r="BC117" i="1"/>
  <c r="BD117" i="1"/>
  <c r="BE117" i="1"/>
  <c r="BF117" i="1"/>
  <c r="BG117" i="1"/>
  <c r="BH117" i="1"/>
  <c r="BI117" i="1"/>
  <c r="BJ117" i="1"/>
  <c r="BK117" i="1"/>
  <c r="BL117" i="1"/>
  <c r="BM117" i="1"/>
  <c r="AC117" i="1"/>
  <c r="AD117" i="1"/>
  <c r="AE117" i="1"/>
  <c r="AF117" i="1"/>
  <c r="AG117" i="1"/>
  <c r="AH117" i="1"/>
  <c r="AI117" i="1"/>
  <c r="AJ117" i="1"/>
  <c r="AK117" i="1"/>
  <c r="AL117" i="1"/>
  <c r="AM117" i="1"/>
  <c r="AN117" i="1"/>
  <c r="AO117" i="1"/>
  <c r="K117" i="1"/>
  <c r="L117" i="1"/>
  <c r="M117" i="1"/>
  <c r="N117" i="1"/>
  <c r="O117" i="1"/>
  <c r="P117" i="1"/>
  <c r="Q117" i="1"/>
  <c r="R117" i="1"/>
  <c r="S117" i="1"/>
  <c r="T117" i="1"/>
  <c r="U117" i="1"/>
  <c r="V117" i="1"/>
  <c r="W117" i="1"/>
  <c r="X117" i="1"/>
  <c r="Y117" i="1"/>
  <c r="Z117" i="1"/>
  <c r="AA117" i="1"/>
  <c r="AB117" i="1"/>
  <c r="D117" i="1"/>
  <c r="E117" i="1"/>
  <c r="F117" i="1"/>
  <c r="G117" i="1"/>
  <c r="H117" i="1"/>
  <c r="I117" i="1"/>
  <c r="J117" i="1"/>
  <c r="C117" i="1"/>
  <c r="C116" i="1"/>
  <c r="D116" i="1" l="1"/>
  <c r="E116" i="1"/>
  <c r="F116" i="1"/>
  <c r="G116" i="1"/>
  <c r="H116" i="1"/>
  <c r="I116" i="1"/>
  <c r="J116" i="1"/>
  <c r="K116" i="1"/>
  <c r="L116" i="1"/>
  <c r="M116" i="1"/>
  <c r="N116" i="1"/>
  <c r="O116" i="1"/>
  <c r="P116" i="1"/>
  <c r="Q116" i="1"/>
  <c r="R116" i="1"/>
  <c r="S116" i="1"/>
  <c r="T116" i="1"/>
  <c r="U116" i="1"/>
  <c r="V116" i="1"/>
  <c r="W116" i="1"/>
  <c r="X116" i="1"/>
  <c r="Y116" i="1"/>
  <c r="Z116" i="1"/>
  <c r="AA116" i="1"/>
  <c r="AB116" i="1"/>
  <c r="AC116" i="1"/>
  <c r="AD116" i="1"/>
  <c r="AE116" i="1"/>
  <c r="AF116" i="1"/>
  <c r="AG116"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BH116" i="1"/>
  <c r="BI116" i="1"/>
  <c r="BJ116" i="1"/>
  <c r="BK116" i="1"/>
  <c r="BL116" i="1"/>
  <c r="BM116" i="1"/>
  <c r="BN116" i="1"/>
  <c r="BO116" i="1"/>
  <c r="BP116" i="1"/>
  <c r="BQ116" i="1"/>
  <c r="BR116" i="1"/>
  <c r="BS116" i="1"/>
  <c r="BT116" i="1"/>
  <c r="BU116" i="1"/>
  <c r="BV116" i="1"/>
  <c r="BW116" i="1"/>
  <c r="BX116" i="1"/>
  <c r="BY116" i="1"/>
  <c r="BZ116" i="1"/>
  <c r="CA116" i="1"/>
  <c r="CB116" i="1"/>
  <c r="CC116" i="1"/>
  <c r="CD116" i="1"/>
  <c r="CE116" i="1"/>
  <c r="CF116" i="1"/>
  <c r="CG116" i="1"/>
  <c r="CH116" i="1"/>
  <c r="CI116" i="1"/>
  <c r="CJ116" i="1"/>
  <c r="CK116" i="1"/>
  <c r="CL116" i="1"/>
  <c r="CM116" i="1"/>
  <c r="CN116" i="1"/>
  <c r="CO116" i="1"/>
  <c r="CP116" i="1"/>
  <c r="CQ116" i="1"/>
  <c r="CR116" i="1"/>
  <c r="CS116" i="1"/>
  <c r="CT116" i="1"/>
  <c r="CU116" i="1"/>
  <c r="CV116" i="1"/>
  <c r="CW116" i="1"/>
  <c r="CX116" i="1"/>
  <c r="CY116" i="1"/>
  <c r="CZ116" i="1"/>
  <c r="DA116" i="1"/>
  <c r="DB116" i="1"/>
  <c r="DC116" i="1"/>
  <c r="DD116" i="1"/>
  <c r="DE116" i="1"/>
  <c r="DF116" i="1"/>
  <c r="DG116" i="1"/>
  <c r="DH116" i="1"/>
  <c r="DI116" i="1"/>
  <c r="DJ116" i="1"/>
  <c r="DK116" i="1"/>
  <c r="DL116" i="1"/>
  <c r="DM116" i="1"/>
  <c r="DN116" i="1"/>
  <c r="DO116" i="1"/>
  <c r="DP116" i="1"/>
  <c r="DQ116" i="1"/>
  <c r="DR116" i="1"/>
  <c r="DS116" i="1"/>
  <c r="DT116" i="1"/>
  <c r="DU116" i="1"/>
  <c r="DV116" i="1"/>
  <c r="DW116" i="1"/>
  <c r="DX116" i="1"/>
  <c r="DY116" i="1"/>
  <c r="DZ116" i="1"/>
  <c r="EA116" i="1"/>
  <c r="EB116" i="1"/>
  <c r="EC116" i="1"/>
  <c r="ED116" i="1"/>
  <c r="EE116" i="1"/>
  <c r="EF116" i="1"/>
  <c r="EG116" i="1"/>
  <c r="EH116" i="1"/>
  <c r="EI116" i="1"/>
  <c r="EJ116" i="1"/>
  <c r="EK116" i="1"/>
  <c r="EL116" i="1"/>
  <c r="EM116" i="1"/>
  <c r="EN116" i="1"/>
  <c r="EO116" i="1"/>
  <c r="EP116" i="1"/>
  <c r="EQ116" i="1"/>
  <c r="ER116" i="1"/>
  <c r="ES116" i="1"/>
  <c r="ET116" i="1"/>
  <c r="EU116" i="1"/>
  <c r="EV116" i="1"/>
  <c r="EW116" i="1"/>
  <c r="EX116" i="1"/>
  <c r="EY116" i="1"/>
  <c r="EZ116" i="1"/>
  <c r="FA116" i="1"/>
  <c r="FB116" i="1"/>
  <c r="FC116" i="1"/>
  <c r="FD116" i="1"/>
  <c r="FE116" i="1"/>
  <c r="FF116" i="1"/>
  <c r="FG116" i="1"/>
  <c r="FH116" i="1"/>
  <c r="FI116" i="1"/>
  <c r="FJ116" i="1"/>
  <c r="FK116" i="1"/>
  <c r="FL116" i="1"/>
  <c r="FM116" i="1"/>
  <c r="FN116" i="1"/>
  <c r="FO116" i="1"/>
  <c r="FP116" i="1"/>
  <c r="FQ116" i="1"/>
  <c r="FR116" i="1"/>
  <c r="FS116" i="1"/>
  <c r="FT116" i="1"/>
  <c r="FU116" i="1"/>
  <c r="FV116" i="1"/>
  <c r="FW116" i="1"/>
  <c r="FX116" i="1"/>
  <c r="FY116" i="1"/>
  <c r="FZ116" i="1"/>
  <c r="GA116" i="1"/>
  <c r="GB116" i="1"/>
  <c r="GC116" i="1"/>
  <c r="GD116" i="1"/>
  <c r="GE116" i="1"/>
  <c r="GF116" i="1"/>
  <c r="GG116" i="1"/>
  <c r="GH116" i="1"/>
  <c r="GI116" i="1"/>
  <c r="GJ116" i="1"/>
  <c r="GK116" i="1"/>
  <c r="GL116" i="1"/>
  <c r="GM116" i="1"/>
  <c r="GN116" i="1"/>
  <c r="GO116" i="1"/>
  <c r="GP116" i="1"/>
  <c r="GQ116" i="1"/>
  <c r="GR116" i="1"/>
  <c r="GS116" i="1"/>
  <c r="GT116" i="1"/>
  <c r="GU116" i="1"/>
  <c r="GV116" i="1"/>
  <c r="GW116" i="1"/>
  <c r="GX116" i="1"/>
  <c r="GY116" i="1"/>
  <c r="GZ116" i="1"/>
  <c r="HA116" i="1"/>
  <c r="HB116" i="1"/>
  <c r="HC116" i="1"/>
  <c r="HD116" i="1"/>
  <c r="HE116" i="1"/>
  <c r="HF116" i="1"/>
  <c r="HG116" i="1"/>
  <c r="HH116" i="1"/>
  <c r="HI116" i="1"/>
  <c r="HJ116" i="1"/>
  <c r="HK116" i="1"/>
  <c r="HL116" i="1"/>
  <c r="HM116" i="1"/>
  <c r="HN116" i="1"/>
  <c r="HO116" i="1"/>
  <c r="HP116" i="1"/>
  <c r="HQ116" i="1"/>
  <c r="HR116" i="1"/>
  <c r="HS116" i="1"/>
  <c r="HT116" i="1"/>
  <c r="HU116" i="1"/>
  <c r="HV116" i="1" l="1"/>
  <c r="K277" i="2"/>
  <c r="J277" i="2"/>
  <c r="I277" i="2"/>
  <c r="H277" i="2"/>
  <c r="E277" i="2"/>
  <c r="D277" i="2"/>
  <c r="C277" i="2"/>
  <c r="B277" i="2"/>
  <c r="J276" i="2"/>
  <c r="I276" i="2"/>
  <c r="H276" i="2"/>
  <c r="E276" i="2"/>
  <c r="D276" i="2"/>
  <c r="C276" i="2"/>
  <c r="B276" i="2"/>
  <c r="K275" i="2"/>
  <c r="J275" i="2"/>
  <c r="I275" i="2"/>
  <c r="H275" i="2"/>
  <c r="E275" i="2"/>
  <c r="D275" i="2"/>
  <c r="C275" i="2"/>
  <c r="B275" i="2"/>
  <c r="K274" i="2"/>
  <c r="J274" i="2"/>
  <c r="I274" i="2"/>
  <c r="H274" i="2"/>
  <c r="E274" i="2"/>
  <c r="D274" i="2"/>
  <c r="C274" i="2"/>
  <c r="B274" i="2"/>
  <c r="K273" i="2"/>
  <c r="J273" i="2"/>
  <c r="I273" i="2"/>
  <c r="H273" i="2"/>
  <c r="E273" i="2"/>
  <c r="D273" i="2"/>
  <c r="C273" i="2"/>
  <c r="B273" i="2"/>
  <c r="K272" i="2"/>
  <c r="J272" i="2"/>
  <c r="I272" i="2"/>
  <c r="H272" i="2"/>
  <c r="E272" i="2"/>
  <c r="D272" i="2"/>
  <c r="C272" i="2"/>
  <c r="B272" i="2"/>
  <c r="K267" i="2"/>
  <c r="J267" i="2"/>
  <c r="I267" i="2"/>
  <c r="H267" i="2"/>
  <c r="E267" i="2"/>
  <c r="D267" i="2"/>
  <c r="C267" i="2"/>
  <c r="B267" i="2"/>
  <c r="K266" i="2"/>
  <c r="J266" i="2"/>
  <c r="I266" i="2"/>
  <c r="H266" i="2"/>
  <c r="E266" i="2"/>
  <c r="D266" i="2"/>
  <c r="C266" i="2"/>
  <c r="B266" i="2"/>
  <c r="K265" i="2"/>
  <c r="J265" i="2"/>
  <c r="I265" i="2"/>
  <c r="H265" i="2"/>
  <c r="E265" i="2"/>
  <c r="D265" i="2"/>
  <c r="C265" i="2"/>
  <c r="B265" i="2"/>
  <c r="K264" i="2"/>
  <c r="J264" i="2"/>
  <c r="I264" i="2"/>
  <c r="H264" i="2"/>
  <c r="E264" i="2"/>
  <c r="D264" i="2"/>
  <c r="C264" i="2"/>
  <c r="B264" i="2"/>
  <c r="K263" i="2"/>
  <c r="J263" i="2"/>
  <c r="I263" i="2"/>
  <c r="H263" i="2"/>
  <c r="E263" i="2"/>
  <c r="D263" i="2"/>
  <c r="C263" i="2"/>
  <c r="B263" i="2"/>
  <c r="K262" i="2"/>
  <c r="J262" i="2"/>
  <c r="I262" i="2"/>
  <c r="H262" i="2"/>
  <c r="E262" i="2"/>
  <c r="D262" i="2"/>
  <c r="C262" i="2"/>
  <c r="B262" i="2"/>
  <c r="K257" i="2"/>
  <c r="J257" i="2"/>
  <c r="I257" i="2"/>
  <c r="H257" i="2"/>
  <c r="E257" i="2"/>
  <c r="D257" i="2"/>
  <c r="C257" i="2"/>
  <c r="B257" i="2"/>
  <c r="K256" i="2"/>
  <c r="J256" i="2"/>
  <c r="I256" i="2"/>
  <c r="H256" i="2"/>
  <c r="E256" i="2"/>
  <c r="D256" i="2"/>
  <c r="C256" i="2"/>
  <c r="B256" i="2"/>
  <c r="K255" i="2"/>
  <c r="J255" i="2"/>
  <c r="I255" i="2"/>
  <c r="H255" i="2"/>
  <c r="E255" i="2"/>
  <c r="D255" i="2"/>
  <c r="C255" i="2"/>
  <c r="B255" i="2"/>
  <c r="K254" i="2"/>
  <c r="J254" i="2"/>
  <c r="I254" i="2"/>
  <c r="H254" i="2"/>
  <c r="E254" i="2"/>
  <c r="D254" i="2"/>
  <c r="C254" i="2"/>
  <c r="B254" i="2"/>
  <c r="K253" i="2"/>
  <c r="J253" i="2"/>
  <c r="I253" i="2"/>
  <c r="H253" i="2"/>
  <c r="E253" i="2"/>
  <c r="D253" i="2"/>
  <c r="C253" i="2"/>
  <c r="B253" i="2"/>
  <c r="K252" i="2"/>
  <c r="J252" i="2"/>
  <c r="I252" i="2"/>
  <c r="H252" i="2"/>
  <c r="E252" i="2"/>
  <c r="D252" i="2"/>
  <c r="C252" i="2"/>
  <c r="B252" i="2"/>
  <c r="K247" i="2"/>
  <c r="J247" i="2"/>
  <c r="I247" i="2"/>
  <c r="H247" i="2"/>
  <c r="E247" i="2"/>
  <c r="D247" i="2"/>
  <c r="C247" i="2"/>
  <c r="B247" i="2"/>
  <c r="K246" i="2"/>
  <c r="J246" i="2"/>
  <c r="I246" i="2"/>
  <c r="H246" i="2"/>
  <c r="E246" i="2"/>
  <c r="D246" i="2"/>
  <c r="C246" i="2"/>
  <c r="B246" i="2"/>
  <c r="K245" i="2"/>
  <c r="J245" i="2"/>
  <c r="I245" i="2"/>
  <c r="H245" i="2"/>
  <c r="E245" i="2"/>
  <c r="D245" i="2"/>
  <c r="C245" i="2"/>
  <c r="B245" i="2"/>
  <c r="K244" i="2"/>
  <c r="J244" i="2"/>
  <c r="I244" i="2"/>
  <c r="H244" i="2"/>
  <c r="E244" i="2"/>
  <c r="D244" i="2"/>
  <c r="C244" i="2"/>
  <c r="B244" i="2"/>
  <c r="K243" i="2"/>
  <c r="J243" i="2"/>
  <c r="I243" i="2"/>
  <c r="H243" i="2"/>
  <c r="E243" i="2"/>
  <c r="D243" i="2"/>
  <c r="C243" i="2"/>
  <c r="B243" i="2"/>
  <c r="K242" i="2"/>
  <c r="J242" i="2"/>
  <c r="I242" i="2"/>
  <c r="H242" i="2"/>
  <c r="E242" i="2"/>
  <c r="D242" i="2"/>
  <c r="C242" i="2"/>
  <c r="B242" i="2"/>
  <c r="K236" i="2"/>
  <c r="J236" i="2"/>
  <c r="I236" i="2"/>
  <c r="H236" i="2"/>
  <c r="E236" i="2"/>
  <c r="D236" i="2"/>
  <c r="C236" i="2"/>
  <c r="B236" i="2"/>
  <c r="K235" i="2"/>
  <c r="J235" i="2"/>
  <c r="I235" i="2"/>
  <c r="H235" i="2"/>
  <c r="E235" i="2"/>
  <c r="D235" i="2"/>
  <c r="C235" i="2"/>
  <c r="B235" i="2"/>
  <c r="K234" i="2"/>
  <c r="J234" i="2"/>
  <c r="I234" i="2"/>
  <c r="H234" i="2"/>
  <c r="E234" i="2"/>
  <c r="D234" i="2"/>
  <c r="C234" i="2"/>
  <c r="B234" i="2"/>
  <c r="K233" i="2"/>
  <c r="J233" i="2"/>
  <c r="I233" i="2"/>
  <c r="H233" i="2"/>
  <c r="E233" i="2"/>
  <c r="D233" i="2"/>
  <c r="C233" i="2"/>
  <c r="B233" i="2"/>
  <c r="K232" i="2"/>
  <c r="J232" i="2"/>
  <c r="I232" i="2"/>
  <c r="H232" i="2"/>
  <c r="E232" i="2"/>
  <c r="D232" i="2"/>
  <c r="C232" i="2"/>
  <c r="B232" i="2"/>
  <c r="K231" i="2"/>
  <c r="J231" i="2"/>
  <c r="I231" i="2"/>
  <c r="H231" i="2"/>
  <c r="E231" i="2"/>
  <c r="D231" i="2"/>
  <c r="C231" i="2"/>
  <c r="B231" i="2"/>
  <c r="K226" i="2"/>
  <c r="J226" i="2"/>
  <c r="I226" i="2"/>
  <c r="H226" i="2"/>
  <c r="E226" i="2"/>
  <c r="D226" i="2"/>
  <c r="C226" i="2"/>
  <c r="B226" i="2"/>
  <c r="K225" i="2"/>
  <c r="J225" i="2"/>
  <c r="I225" i="2"/>
  <c r="H225" i="2"/>
  <c r="E225" i="2"/>
  <c r="D225" i="2"/>
  <c r="C225" i="2"/>
  <c r="B225" i="2"/>
  <c r="K224" i="2"/>
  <c r="J224" i="2"/>
  <c r="I224" i="2"/>
  <c r="H224" i="2"/>
  <c r="E224" i="2"/>
  <c r="D224" i="2"/>
  <c r="C224" i="2"/>
  <c r="B224" i="2"/>
  <c r="K223" i="2"/>
  <c r="J223" i="2"/>
  <c r="I223" i="2"/>
  <c r="H223" i="2"/>
  <c r="E223" i="2"/>
  <c r="D223" i="2"/>
  <c r="C223" i="2"/>
  <c r="B223" i="2"/>
  <c r="K222" i="2"/>
  <c r="J222" i="2"/>
  <c r="I222" i="2"/>
  <c r="H222" i="2"/>
  <c r="E222" i="2"/>
  <c r="D222" i="2"/>
  <c r="C222" i="2"/>
  <c r="B222" i="2"/>
  <c r="K221" i="2"/>
  <c r="J221" i="2"/>
  <c r="I221" i="2"/>
  <c r="H221" i="2"/>
  <c r="E221" i="2"/>
  <c r="D221" i="2"/>
  <c r="C221" i="2"/>
  <c r="B221" i="2"/>
  <c r="L215" i="2"/>
  <c r="K215" i="2"/>
  <c r="J215" i="2"/>
  <c r="I215" i="2"/>
  <c r="H215" i="2"/>
  <c r="E215" i="2"/>
  <c r="D215" i="2"/>
  <c r="C215" i="2"/>
  <c r="B215" i="2"/>
  <c r="L214" i="2"/>
  <c r="K214" i="2"/>
  <c r="J214" i="2"/>
  <c r="I214" i="2"/>
  <c r="H214" i="2"/>
  <c r="E214" i="2"/>
  <c r="D214" i="2"/>
  <c r="C214" i="2"/>
  <c r="B214" i="2"/>
  <c r="L213" i="2"/>
  <c r="K213" i="2"/>
  <c r="J213" i="2"/>
  <c r="I213" i="2"/>
  <c r="H213" i="2"/>
  <c r="E213" i="2"/>
  <c r="D213" i="2"/>
  <c r="C213" i="2"/>
  <c r="B213" i="2"/>
  <c r="L212" i="2"/>
  <c r="K212" i="2"/>
  <c r="J212" i="2"/>
  <c r="I212" i="2"/>
  <c r="H212" i="2"/>
  <c r="E212" i="2"/>
  <c r="D212" i="2"/>
  <c r="C212" i="2"/>
  <c r="B212" i="2"/>
  <c r="L211" i="2"/>
  <c r="K211" i="2"/>
  <c r="J211" i="2"/>
  <c r="I211" i="2"/>
  <c r="H211" i="2"/>
  <c r="E211" i="2"/>
  <c r="D211" i="2"/>
  <c r="C211" i="2"/>
  <c r="B211" i="2"/>
  <c r="L210" i="2"/>
  <c r="K210" i="2"/>
  <c r="J210" i="2"/>
  <c r="I210" i="2"/>
  <c r="H210" i="2"/>
  <c r="E210" i="2"/>
  <c r="D210" i="2"/>
  <c r="C210" i="2"/>
  <c r="B210" i="2"/>
  <c r="K203" i="2"/>
  <c r="J203" i="2"/>
  <c r="I203" i="2"/>
  <c r="H203" i="2"/>
  <c r="F203" i="2"/>
  <c r="E203" i="2"/>
  <c r="D203" i="2"/>
  <c r="C203" i="2"/>
  <c r="B203" i="2"/>
  <c r="K202" i="2"/>
  <c r="J202" i="2"/>
  <c r="I202" i="2"/>
  <c r="H202" i="2"/>
  <c r="F202" i="2"/>
  <c r="E202" i="2"/>
  <c r="D202" i="2"/>
  <c r="C202" i="2"/>
  <c r="B202" i="2"/>
  <c r="K201" i="2"/>
  <c r="J201" i="2"/>
  <c r="I201" i="2"/>
  <c r="H201" i="2"/>
  <c r="F201" i="2"/>
  <c r="E201" i="2"/>
  <c r="D201" i="2"/>
  <c r="C201" i="2"/>
  <c r="B201" i="2"/>
  <c r="K200" i="2"/>
  <c r="J200" i="2"/>
  <c r="I200" i="2"/>
  <c r="H200" i="2"/>
  <c r="F200" i="2"/>
  <c r="E200" i="2"/>
  <c r="D200" i="2"/>
  <c r="C200" i="2"/>
  <c r="B200" i="2"/>
  <c r="K199" i="2"/>
  <c r="J199" i="2"/>
  <c r="I199" i="2"/>
  <c r="H199" i="2"/>
  <c r="F199" i="2"/>
  <c r="E199" i="2"/>
  <c r="D199" i="2"/>
  <c r="C199" i="2"/>
  <c r="B199" i="2"/>
  <c r="K198" i="2"/>
  <c r="J198" i="2"/>
  <c r="I198" i="2"/>
  <c r="H198" i="2"/>
  <c r="F198" i="2"/>
  <c r="E198" i="2"/>
  <c r="D198" i="2"/>
  <c r="C198" i="2"/>
  <c r="B198" i="2"/>
  <c r="K192" i="2"/>
  <c r="J192" i="2"/>
  <c r="I192" i="2"/>
  <c r="H192" i="2"/>
  <c r="E192" i="2"/>
  <c r="D192" i="2"/>
  <c r="C192" i="2"/>
  <c r="B192" i="2"/>
  <c r="K191" i="2"/>
  <c r="J191" i="2"/>
  <c r="I191" i="2"/>
  <c r="H191" i="2"/>
  <c r="E191" i="2"/>
  <c r="D191" i="2"/>
  <c r="C191" i="2"/>
  <c r="B191" i="2"/>
  <c r="K190" i="2"/>
  <c r="J190" i="2"/>
  <c r="I190" i="2"/>
  <c r="H190" i="2"/>
  <c r="E190" i="2"/>
  <c r="D190" i="2"/>
  <c r="C190" i="2"/>
  <c r="B190" i="2"/>
  <c r="K189" i="2"/>
  <c r="J189" i="2"/>
  <c r="I189" i="2"/>
  <c r="H189" i="2"/>
  <c r="E189" i="2"/>
  <c r="D189" i="2"/>
  <c r="C189" i="2"/>
  <c r="B189" i="2"/>
  <c r="K188" i="2"/>
  <c r="J188" i="2"/>
  <c r="I188" i="2"/>
  <c r="H188" i="2"/>
  <c r="E188" i="2"/>
  <c r="D188" i="2"/>
  <c r="C188" i="2"/>
  <c r="B188" i="2"/>
  <c r="K187" i="2"/>
  <c r="J187" i="2"/>
  <c r="I187" i="2"/>
  <c r="H187" i="2"/>
  <c r="E187" i="2"/>
  <c r="D187" i="2"/>
  <c r="C187" i="2"/>
  <c r="B187" i="2"/>
  <c r="K181" i="2"/>
  <c r="J181" i="2"/>
  <c r="I181" i="2"/>
  <c r="H181" i="2"/>
  <c r="E181" i="2"/>
  <c r="D181" i="2"/>
  <c r="C181" i="2"/>
  <c r="B181" i="2"/>
  <c r="K180" i="2"/>
  <c r="J180" i="2"/>
  <c r="I180" i="2"/>
  <c r="H180" i="2"/>
  <c r="E180" i="2"/>
  <c r="D180" i="2"/>
  <c r="C180" i="2"/>
  <c r="B180" i="2"/>
  <c r="K179" i="2"/>
  <c r="J179" i="2"/>
  <c r="I179" i="2"/>
  <c r="H179" i="2"/>
  <c r="E179" i="2"/>
  <c r="D179" i="2"/>
  <c r="C179" i="2"/>
  <c r="B179" i="2"/>
  <c r="K178" i="2"/>
  <c r="J178" i="2"/>
  <c r="I178" i="2"/>
  <c r="H178" i="2"/>
  <c r="E178" i="2"/>
  <c r="D178" i="2"/>
  <c r="C178" i="2"/>
  <c r="B178" i="2"/>
  <c r="K177" i="2"/>
  <c r="J177" i="2"/>
  <c r="I177" i="2"/>
  <c r="H177" i="2"/>
  <c r="E177" i="2"/>
  <c r="D177" i="2"/>
  <c r="C177" i="2"/>
  <c r="B177" i="2"/>
  <c r="K176" i="2"/>
  <c r="J176" i="2"/>
  <c r="I176" i="2"/>
  <c r="H176" i="2"/>
  <c r="E176" i="2"/>
  <c r="D176" i="2"/>
  <c r="C176" i="2"/>
  <c r="B176" i="2"/>
  <c r="K169" i="2"/>
  <c r="J169" i="2"/>
  <c r="I169" i="2"/>
  <c r="H169" i="2"/>
  <c r="E169" i="2"/>
  <c r="D169" i="2"/>
  <c r="C169" i="2"/>
  <c r="B169" i="2"/>
  <c r="K168" i="2"/>
  <c r="J168" i="2"/>
  <c r="I168" i="2"/>
  <c r="H168" i="2"/>
  <c r="E168" i="2"/>
  <c r="D168" i="2"/>
  <c r="C168" i="2"/>
  <c r="B168" i="2"/>
  <c r="K167" i="2"/>
  <c r="J167" i="2"/>
  <c r="I167" i="2"/>
  <c r="H167" i="2"/>
  <c r="E167" i="2"/>
  <c r="D167" i="2"/>
  <c r="C167" i="2"/>
  <c r="B167" i="2"/>
  <c r="K166" i="2"/>
  <c r="J166" i="2"/>
  <c r="I166" i="2"/>
  <c r="H166" i="2"/>
  <c r="E166" i="2"/>
  <c r="D166" i="2"/>
  <c r="C166" i="2"/>
  <c r="B166" i="2"/>
  <c r="K165" i="2"/>
  <c r="J165" i="2"/>
  <c r="I165" i="2"/>
  <c r="H165" i="2"/>
  <c r="E165" i="2"/>
  <c r="D165" i="2"/>
  <c r="C165" i="2"/>
  <c r="B165" i="2"/>
  <c r="K164" i="2"/>
  <c r="J164" i="2"/>
  <c r="I164" i="2"/>
  <c r="H164" i="2"/>
  <c r="E164" i="2"/>
  <c r="D164" i="2"/>
  <c r="C164" i="2"/>
  <c r="B164" i="2"/>
  <c r="K158" i="2"/>
  <c r="J158" i="2"/>
  <c r="I158" i="2"/>
  <c r="H158" i="2"/>
  <c r="E158" i="2"/>
  <c r="D158" i="2"/>
  <c r="C158" i="2"/>
  <c r="B158" i="2"/>
  <c r="K157" i="2"/>
  <c r="J157" i="2"/>
  <c r="I157" i="2"/>
  <c r="H157" i="2"/>
  <c r="E157" i="2"/>
  <c r="D157" i="2"/>
  <c r="C157" i="2"/>
  <c r="B157" i="2"/>
  <c r="K156" i="2"/>
  <c r="J156" i="2"/>
  <c r="I156" i="2"/>
  <c r="H156" i="2"/>
  <c r="E156" i="2"/>
  <c r="D156" i="2"/>
  <c r="C156" i="2"/>
  <c r="B156" i="2"/>
  <c r="K155" i="2"/>
  <c r="J155" i="2"/>
  <c r="I155" i="2"/>
  <c r="H155" i="2"/>
  <c r="E155" i="2"/>
  <c r="D155" i="2"/>
  <c r="C155" i="2"/>
  <c r="B155" i="2"/>
  <c r="K154" i="2"/>
  <c r="J154" i="2"/>
  <c r="I154" i="2"/>
  <c r="H154" i="2"/>
  <c r="E154" i="2"/>
  <c r="D154" i="2"/>
  <c r="C154" i="2"/>
  <c r="B154" i="2"/>
  <c r="K153" i="2"/>
  <c r="J153" i="2"/>
  <c r="I153" i="2"/>
  <c r="H153" i="2"/>
  <c r="E153" i="2"/>
  <c r="D153" i="2"/>
  <c r="C153" i="2"/>
  <c r="B153" i="2"/>
  <c r="K147" i="2"/>
  <c r="J147" i="2"/>
  <c r="I147" i="2"/>
  <c r="H147" i="2"/>
  <c r="E147" i="2"/>
  <c r="D147" i="2"/>
  <c r="C147" i="2"/>
  <c r="B147" i="2"/>
  <c r="K146" i="2"/>
  <c r="J146" i="2"/>
  <c r="I146" i="2"/>
  <c r="H146" i="2"/>
  <c r="E146" i="2"/>
  <c r="D146" i="2"/>
  <c r="C146" i="2"/>
  <c r="B146" i="2"/>
  <c r="K145" i="2"/>
  <c r="J145" i="2"/>
  <c r="I145" i="2"/>
  <c r="H145" i="2"/>
  <c r="E145" i="2"/>
  <c r="D145" i="2"/>
  <c r="C145" i="2"/>
  <c r="B145" i="2"/>
  <c r="K144" i="2"/>
  <c r="J144" i="2"/>
  <c r="I144" i="2"/>
  <c r="H144" i="2"/>
  <c r="E144" i="2"/>
  <c r="D144" i="2"/>
  <c r="C144" i="2"/>
  <c r="B144" i="2"/>
  <c r="K143" i="2"/>
  <c r="J143" i="2"/>
  <c r="I143" i="2"/>
  <c r="H143" i="2"/>
  <c r="E143" i="2"/>
  <c r="D143" i="2"/>
  <c r="C143" i="2"/>
  <c r="B143" i="2"/>
  <c r="K142" i="2"/>
  <c r="J142" i="2"/>
  <c r="I142" i="2"/>
  <c r="H142" i="2"/>
  <c r="E142" i="2"/>
  <c r="D142" i="2"/>
  <c r="C142" i="2"/>
  <c r="B142" i="2"/>
  <c r="E133" i="2"/>
  <c r="D133" i="2"/>
  <c r="C133" i="2"/>
  <c r="B133" i="2"/>
  <c r="E132" i="2"/>
  <c r="D132" i="2"/>
  <c r="C132" i="2"/>
  <c r="B132" i="2"/>
  <c r="E131" i="2"/>
  <c r="D131" i="2"/>
  <c r="C131" i="2"/>
  <c r="B131" i="2"/>
  <c r="E130" i="2"/>
  <c r="D130" i="2"/>
  <c r="C130" i="2"/>
  <c r="B130" i="2"/>
  <c r="E129" i="2"/>
  <c r="D129" i="2"/>
  <c r="C129" i="2"/>
  <c r="B129" i="2"/>
  <c r="E128" i="2"/>
  <c r="D128" i="2"/>
  <c r="C128" i="2"/>
  <c r="B128" i="2"/>
  <c r="K122" i="2"/>
  <c r="J122" i="2"/>
  <c r="I122" i="2"/>
  <c r="H122" i="2"/>
  <c r="E122" i="2"/>
  <c r="D122" i="2"/>
  <c r="C122" i="2"/>
  <c r="B122" i="2"/>
  <c r="K121" i="2"/>
  <c r="J121" i="2"/>
  <c r="I121" i="2"/>
  <c r="H121" i="2"/>
  <c r="E121" i="2"/>
  <c r="D121" i="2"/>
  <c r="C121" i="2"/>
  <c r="B121" i="2"/>
  <c r="K120" i="2"/>
  <c r="J120" i="2"/>
  <c r="I120" i="2"/>
  <c r="H120" i="2"/>
  <c r="E120" i="2"/>
  <c r="D120" i="2"/>
  <c r="C120" i="2"/>
  <c r="B120" i="2"/>
  <c r="K119" i="2"/>
  <c r="J119" i="2"/>
  <c r="I119" i="2"/>
  <c r="H119" i="2"/>
  <c r="E119" i="2"/>
  <c r="D119" i="2"/>
  <c r="C119" i="2"/>
  <c r="B119" i="2"/>
  <c r="K118" i="2"/>
  <c r="J118" i="2"/>
  <c r="I118" i="2"/>
  <c r="H118" i="2"/>
  <c r="E118" i="2"/>
  <c r="D118" i="2"/>
  <c r="C118" i="2"/>
  <c r="B118" i="2"/>
  <c r="K117" i="2"/>
  <c r="J117" i="2"/>
  <c r="I117" i="2"/>
  <c r="H117" i="2"/>
  <c r="E117" i="2"/>
  <c r="D117" i="2"/>
  <c r="C117" i="2"/>
  <c r="B117" i="2"/>
  <c r="K111" i="2"/>
  <c r="J111" i="2"/>
  <c r="I111" i="2"/>
  <c r="H111" i="2"/>
  <c r="E111" i="2"/>
  <c r="D111" i="2"/>
  <c r="C111" i="2"/>
  <c r="B111" i="2"/>
  <c r="K110" i="2"/>
  <c r="J110" i="2"/>
  <c r="I110" i="2"/>
  <c r="H110" i="2"/>
  <c r="E110" i="2"/>
  <c r="D110" i="2"/>
  <c r="C110" i="2"/>
  <c r="B110" i="2"/>
  <c r="K109" i="2"/>
  <c r="J109" i="2"/>
  <c r="I109" i="2"/>
  <c r="H109" i="2"/>
  <c r="E109" i="2"/>
  <c r="D109" i="2"/>
  <c r="C109" i="2"/>
  <c r="B109" i="2"/>
  <c r="K108" i="2"/>
  <c r="J108" i="2"/>
  <c r="I108" i="2"/>
  <c r="H108" i="2"/>
  <c r="E108" i="2"/>
  <c r="D108" i="2"/>
  <c r="C108" i="2"/>
  <c r="B108" i="2"/>
  <c r="K107" i="2"/>
  <c r="J107" i="2"/>
  <c r="I107" i="2"/>
  <c r="H107" i="2"/>
  <c r="E107" i="2"/>
  <c r="D107" i="2"/>
  <c r="C107" i="2"/>
  <c r="B107" i="2"/>
  <c r="K106" i="2"/>
  <c r="J106" i="2"/>
  <c r="I106" i="2"/>
  <c r="H106" i="2"/>
  <c r="E106" i="2"/>
  <c r="D106" i="2"/>
  <c r="C106" i="2"/>
  <c r="B106" i="2"/>
  <c r="L98" i="2"/>
  <c r="K98" i="2"/>
  <c r="J98" i="2"/>
  <c r="I98" i="2"/>
  <c r="H98" i="2"/>
  <c r="F98" i="2"/>
  <c r="E98" i="2"/>
  <c r="D98" i="2"/>
  <c r="C98" i="2"/>
  <c r="B98" i="2"/>
  <c r="L97" i="2"/>
  <c r="K97" i="2"/>
  <c r="J97" i="2"/>
  <c r="I97" i="2"/>
  <c r="H97" i="2"/>
  <c r="F97" i="2"/>
  <c r="E97" i="2"/>
  <c r="D97" i="2"/>
  <c r="C97" i="2"/>
  <c r="B97" i="2"/>
  <c r="L96" i="2"/>
  <c r="K96" i="2"/>
  <c r="J96" i="2"/>
  <c r="I96" i="2"/>
  <c r="H96" i="2"/>
  <c r="F96" i="2"/>
  <c r="E96" i="2"/>
  <c r="D96" i="2"/>
  <c r="C96" i="2"/>
  <c r="B96" i="2"/>
  <c r="L95" i="2"/>
  <c r="K95" i="2"/>
  <c r="J95" i="2"/>
  <c r="I95" i="2"/>
  <c r="H95" i="2"/>
  <c r="F95" i="2"/>
  <c r="E95" i="2"/>
  <c r="D95" i="2"/>
  <c r="C95" i="2"/>
  <c r="B95" i="2"/>
  <c r="L94" i="2"/>
  <c r="K94" i="2"/>
  <c r="J94" i="2"/>
  <c r="I94" i="2"/>
  <c r="H94" i="2"/>
  <c r="F94" i="2"/>
  <c r="E94" i="2"/>
  <c r="D94" i="2"/>
  <c r="C94" i="2"/>
  <c r="B94" i="2"/>
  <c r="L93" i="2"/>
  <c r="K93" i="2"/>
  <c r="J93" i="2"/>
  <c r="I93" i="2"/>
  <c r="H93" i="2"/>
  <c r="F93" i="2"/>
  <c r="E93" i="2"/>
  <c r="D93" i="2"/>
  <c r="C93" i="2"/>
  <c r="B93" i="2"/>
  <c r="L88" i="2"/>
  <c r="K88" i="2"/>
  <c r="J88" i="2"/>
  <c r="I88" i="2"/>
  <c r="H88" i="2"/>
  <c r="F88" i="2"/>
  <c r="E88" i="2"/>
  <c r="D88" i="2"/>
  <c r="C88" i="2"/>
  <c r="B88" i="2"/>
  <c r="L87" i="2"/>
  <c r="K87" i="2"/>
  <c r="J87" i="2"/>
  <c r="I87" i="2"/>
  <c r="H87" i="2"/>
  <c r="F87" i="2"/>
  <c r="E87" i="2"/>
  <c r="D87" i="2"/>
  <c r="C87" i="2"/>
  <c r="B87" i="2"/>
  <c r="L86" i="2"/>
  <c r="K86" i="2"/>
  <c r="J86" i="2"/>
  <c r="I86" i="2"/>
  <c r="H86" i="2"/>
  <c r="F86" i="2"/>
  <c r="E86" i="2"/>
  <c r="D86" i="2"/>
  <c r="C86" i="2"/>
  <c r="B86" i="2"/>
  <c r="L85" i="2"/>
  <c r="K85" i="2"/>
  <c r="J85" i="2"/>
  <c r="I85" i="2"/>
  <c r="H85" i="2"/>
  <c r="F85" i="2"/>
  <c r="E85" i="2"/>
  <c r="D85" i="2"/>
  <c r="C85" i="2"/>
  <c r="B85" i="2"/>
  <c r="L84" i="2"/>
  <c r="K84" i="2"/>
  <c r="J84" i="2"/>
  <c r="I84" i="2"/>
  <c r="H84" i="2"/>
  <c r="F84" i="2"/>
  <c r="E84" i="2"/>
  <c r="D84" i="2"/>
  <c r="C84" i="2"/>
  <c r="B84" i="2"/>
  <c r="L83" i="2"/>
  <c r="K83" i="2"/>
  <c r="J83" i="2"/>
  <c r="I83" i="2"/>
  <c r="H83" i="2"/>
  <c r="F83" i="2"/>
  <c r="E83" i="2"/>
  <c r="D83" i="2"/>
  <c r="C83" i="2"/>
  <c r="B83" i="2"/>
  <c r="L78" i="2"/>
  <c r="K78" i="2"/>
  <c r="J78" i="2"/>
  <c r="I78" i="2"/>
  <c r="H78" i="2"/>
  <c r="F78" i="2"/>
  <c r="E78" i="2"/>
  <c r="D78" i="2"/>
  <c r="C78" i="2"/>
  <c r="B78" i="2"/>
  <c r="L77" i="2"/>
  <c r="K77" i="2"/>
  <c r="J77" i="2"/>
  <c r="I77" i="2"/>
  <c r="H77" i="2"/>
  <c r="F77" i="2"/>
  <c r="E77" i="2"/>
  <c r="D77" i="2"/>
  <c r="C77" i="2"/>
  <c r="B77" i="2"/>
  <c r="L76" i="2"/>
  <c r="K76" i="2"/>
  <c r="J76" i="2"/>
  <c r="I76" i="2"/>
  <c r="H76" i="2"/>
  <c r="F76" i="2"/>
  <c r="E76" i="2"/>
  <c r="D76" i="2"/>
  <c r="C76" i="2"/>
  <c r="B76" i="2"/>
  <c r="L75" i="2"/>
  <c r="K75" i="2"/>
  <c r="J75" i="2"/>
  <c r="I75" i="2"/>
  <c r="H75" i="2"/>
  <c r="F75" i="2"/>
  <c r="E75" i="2"/>
  <c r="D75" i="2"/>
  <c r="C75" i="2"/>
  <c r="B75" i="2"/>
  <c r="L74" i="2"/>
  <c r="K74" i="2"/>
  <c r="J74" i="2"/>
  <c r="I74" i="2"/>
  <c r="H74" i="2"/>
  <c r="F74" i="2"/>
  <c r="E74" i="2"/>
  <c r="D74" i="2"/>
  <c r="C74" i="2"/>
  <c r="B74" i="2"/>
  <c r="L73" i="2"/>
  <c r="K73" i="2"/>
  <c r="J73" i="2"/>
  <c r="I73" i="2"/>
  <c r="H73" i="2"/>
  <c r="F73" i="2"/>
  <c r="E73" i="2"/>
  <c r="D73" i="2"/>
  <c r="C73" i="2"/>
  <c r="B73" i="2"/>
  <c r="L65" i="2"/>
  <c r="K65" i="2"/>
  <c r="J65" i="2"/>
  <c r="I65" i="2"/>
  <c r="H65" i="2"/>
  <c r="F65" i="2"/>
  <c r="E65" i="2"/>
  <c r="D65" i="2"/>
  <c r="C65" i="2"/>
  <c r="B65" i="2"/>
  <c r="L64" i="2"/>
  <c r="K64" i="2"/>
  <c r="J64" i="2"/>
  <c r="I64" i="2"/>
  <c r="H64" i="2"/>
  <c r="F64" i="2"/>
  <c r="E64" i="2"/>
  <c r="D64" i="2"/>
  <c r="C64" i="2"/>
  <c r="B64" i="2"/>
  <c r="L63" i="2"/>
  <c r="K63" i="2"/>
  <c r="J63" i="2"/>
  <c r="I63" i="2"/>
  <c r="H63" i="2"/>
  <c r="F63" i="2"/>
  <c r="E63" i="2"/>
  <c r="D63" i="2"/>
  <c r="C63" i="2"/>
  <c r="B63" i="2"/>
  <c r="L62" i="2"/>
  <c r="K62" i="2"/>
  <c r="J62" i="2"/>
  <c r="I62" i="2"/>
  <c r="H62" i="2"/>
  <c r="F62" i="2"/>
  <c r="E62" i="2"/>
  <c r="D62" i="2"/>
  <c r="C62" i="2"/>
  <c r="B62" i="2"/>
  <c r="L61" i="2"/>
  <c r="K61" i="2"/>
  <c r="J61" i="2"/>
  <c r="I61" i="2"/>
  <c r="H61" i="2"/>
  <c r="F61" i="2"/>
  <c r="E61" i="2"/>
  <c r="D61" i="2"/>
  <c r="C61" i="2"/>
  <c r="B61" i="2"/>
  <c r="L60" i="2"/>
  <c r="K60" i="2"/>
  <c r="J60" i="2"/>
  <c r="I60" i="2"/>
  <c r="H60" i="2"/>
  <c r="F60" i="2"/>
  <c r="E60" i="2"/>
  <c r="D60" i="2"/>
  <c r="C60" i="2"/>
  <c r="B60" i="2"/>
  <c r="L54" i="2"/>
  <c r="K54" i="2"/>
  <c r="J54" i="2"/>
  <c r="I54" i="2"/>
  <c r="H54" i="2"/>
  <c r="F54" i="2"/>
  <c r="E54" i="2"/>
  <c r="D54" i="2"/>
  <c r="C54" i="2"/>
  <c r="B54" i="2"/>
  <c r="L53" i="2"/>
  <c r="K53" i="2"/>
  <c r="J53" i="2"/>
  <c r="I53" i="2"/>
  <c r="H53" i="2"/>
  <c r="F53" i="2"/>
  <c r="E53" i="2"/>
  <c r="D53" i="2"/>
  <c r="C53" i="2"/>
  <c r="B53" i="2"/>
  <c r="L52" i="2"/>
  <c r="K52" i="2"/>
  <c r="J52" i="2"/>
  <c r="I52" i="2"/>
  <c r="H52" i="2"/>
  <c r="F52" i="2"/>
  <c r="E52" i="2"/>
  <c r="D52" i="2"/>
  <c r="C52" i="2"/>
  <c r="B52" i="2"/>
  <c r="L51" i="2"/>
  <c r="K51" i="2"/>
  <c r="J51" i="2"/>
  <c r="I51" i="2"/>
  <c r="H51" i="2"/>
  <c r="F51" i="2"/>
  <c r="E51" i="2"/>
  <c r="D51" i="2"/>
  <c r="C51" i="2"/>
  <c r="B51" i="2"/>
  <c r="L50" i="2"/>
  <c r="K50" i="2"/>
  <c r="J50" i="2"/>
  <c r="I50" i="2"/>
  <c r="H50" i="2"/>
  <c r="F50" i="2"/>
  <c r="E50" i="2"/>
  <c r="D50" i="2"/>
  <c r="C50" i="2"/>
  <c r="B50" i="2"/>
  <c r="L49" i="2"/>
  <c r="K49" i="2"/>
  <c r="J49" i="2"/>
  <c r="I49" i="2"/>
  <c r="H49" i="2"/>
  <c r="F49" i="2"/>
  <c r="E49" i="2"/>
  <c r="D49" i="2"/>
  <c r="C49" i="2"/>
  <c r="B49" i="2"/>
  <c r="L43" i="2"/>
  <c r="K43" i="2"/>
  <c r="J43" i="2"/>
  <c r="I43" i="2"/>
  <c r="H43" i="2"/>
  <c r="F43" i="2"/>
  <c r="E43" i="2"/>
  <c r="D43" i="2"/>
  <c r="C43" i="2"/>
  <c r="B43" i="2"/>
  <c r="L42" i="2"/>
  <c r="K42" i="2"/>
  <c r="J42" i="2"/>
  <c r="I42" i="2"/>
  <c r="H42" i="2"/>
  <c r="F42" i="2"/>
  <c r="E42" i="2"/>
  <c r="D42" i="2"/>
  <c r="C42" i="2"/>
  <c r="B42" i="2"/>
  <c r="L41" i="2"/>
  <c r="K41" i="2"/>
  <c r="J41" i="2"/>
  <c r="I41" i="2"/>
  <c r="H41" i="2"/>
  <c r="F41" i="2"/>
  <c r="E41" i="2"/>
  <c r="D41" i="2"/>
  <c r="C41" i="2"/>
  <c r="B41" i="2"/>
  <c r="L40" i="2"/>
  <c r="K40" i="2"/>
  <c r="J40" i="2"/>
  <c r="I40" i="2"/>
  <c r="H40" i="2"/>
  <c r="F40" i="2"/>
  <c r="E40" i="2"/>
  <c r="D40" i="2"/>
  <c r="C40" i="2"/>
  <c r="B40" i="2"/>
  <c r="L39" i="2"/>
  <c r="K39" i="2"/>
  <c r="J39" i="2"/>
  <c r="I39" i="2"/>
  <c r="H39" i="2"/>
  <c r="F39" i="2"/>
  <c r="E39" i="2"/>
  <c r="D39" i="2"/>
  <c r="C39" i="2"/>
  <c r="B39" i="2"/>
  <c r="L38" i="2"/>
  <c r="K38" i="2"/>
  <c r="J38" i="2"/>
  <c r="I38" i="2"/>
  <c r="H38" i="2"/>
  <c r="F38" i="2"/>
  <c r="E38" i="2"/>
  <c r="D38" i="2"/>
  <c r="C38" i="2"/>
  <c r="B38" i="2"/>
  <c r="A273" i="2"/>
  <c r="A274" i="2"/>
  <c r="A275" i="2"/>
  <c r="A276" i="2"/>
  <c r="A277" i="2"/>
  <c r="A272" i="2"/>
  <c r="A263" i="2"/>
  <c r="A264" i="2"/>
  <c r="A265" i="2"/>
  <c r="A266" i="2"/>
  <c r="A267" i="2"/>
  <c r="A262" i="2"/>
  <c r="A253" i="2"/>
  <c r="A254" i="2"/>
  <c r="A255" i="2"/>
  <c r="A256" i="2"/>
  <c r="A257" i="2"/>
  <c r="A252" i="2"/>
  <c r="A243" i="2"/>
  <c r="A244" i="2"/>
  <c r="A245" i="2"/>
  <c r="A246" i="2"/>
  <c r="A247" i="2"/>
  <c r="A242" i="2"/>
  <c r="A232" i="2"/>
  <c r="A233" i="2"/>
  <c r="A234" i="2"/>
  <c r="A235" i="2"/>
  <c r="A236" i="2"/>
  <c r="A231" i="2"/>
  <c r="A222" i="2"/>
  <c r="A223" i="2"/>
  <c r="A224" i="2"/>
  <c r="A225" i="2"/>
  <c r="A226" i="2"/>
  <c r="A221" i="2"/>
  <c r="A211" i="2"/>
  <c r="A212" i="2"/>
  <c r="A213" i="2"/>
  <c r="A214" i="2"/>
  <c r="A215" i="2"/>
  <c r="A210" i="2"/>
  <c r="A199" i="2"/>
  <c r="A200" i="2"/>
  <c r="A201" i="2"/>
  <c r="A202" i="2"/>
  <c r="A203" i="2"/>
  <c r="A198" i="2"/>
  <c r="A188" i="2"/>
  <c r="A189" i="2"/>
  <c r="A190" i="2"/>
  <c r="A191" i="2"/>
  <c r="A192" i="2"/>
  <c r="A187" i="2"/>
  <c r="A177" i="2"/>
  <c r="A178" i="2"/>
  <c r="A179" i="2"/>
  <c r="A180" i="2"/>
  <c r="A181" i="2"/>
  <c r="A176" i="2"/>
  <c r="A165" i="2"/>
  <c r="A166" i="2"/>
  <c r="A167" i="2"/>
  <c r="A168" i="2"/>
  <c r="A169" i="2"/>
  <c r="A164" i="2"/>
  <c r="A154" i="2"/>
  <c r="A155" i="2"/>
  <c r="A156" i="2"/>
  <c r="A157" i="2"/>
  <c r="A158" i="2"/>
  <c r="A153" i="2"/>
  <c r="A143" i="2"/>
  <c r="A144" i="2"/>
  <c r="A145" i="2"/>
  <c r="A146" i="2"/>
  <c r="A147" i="2"/>
  <c r="A142" i="2"/>
  <c r="A129" i="2"/>
  <c r="A130" i="2"/>
  <c r="A131" i="2"/>
  <c r="A132" i="2"/>
  <c r="A133" i="2"/>
  <c r="A128" i="2"/>
  <c r="A118" i="2"/>
  <c r="A119" i="2"/>
  <c r="A120" i="2"/>
  <c r="A121" i="2"/>
  <c r="A122" i="2"/>
  <c r="A117" i="2"/>
  <c r="A107" i="2"/>
  <c r="A108" i="2"/>
  <c r="A109" i="2"/>
  <c r="A110" i="2"/>
  <c r="A111" i="2"/>
  <c r="A106" i="2"/>
  <c r="A94" i="2"/>
  <c r="A95" i="2"/>
  <c r="A96" i="2"/>
  <c r="A97" i="2"/>
  <c r="A98" i="2"/>
  <c r="A93" i="2"/>
  <c r="A84" i="2"/>
  <c r="A85" i="2"/>
  <c r="A86" i="2"/>
  <c r="A87" i="2"/>
  <c r="A88" i="2"/>
  <c r="A83" i="2"/>
  <c r="A74" i="2"/>
  <c r="A75" i="2"/>
  <c r="A76" i="2"/>
  <c r="A77" i="2"/>
  <c r="A78" i="2"/>
  <c r="A73" i="2"/>
  <c r="A61" i="2"/>
  <c r="A62" i="2"/>
  <c r="A63" i="2"/>
  <c r="A64" i="2"/>
  <c r="A65" i="2"/>
  <c r="A60" i="2"/>
  <c r="A54" i="2"/>
  <c r="A50" i="2"/>
  <c r="A51" i="2"/>
  <c r="A52" i="2"/>
  <c r="A53" i="2"/>
  <c r="A49" i="2"/>
  <c r="A39" i="2"/>
  <c r="A40" i="2"/>
  <c r="A41" i="2"/>
  <c r="A42" i="2"/>
  <c r="A43" i="2"/>
  <c r="A38" i="2"/>
</calcChain>
</file>

<file path=xl/comments1.xml><?xml version="1.0" encoding="utf-8"?>
<comments xmlns="http://schemas.openxmlformats.org/spreadsheetml/2006/main">
  <authors>
    <author>Kim Edelman</author>
  </authors>
  <commentList>
    <comment ref="EJ1" authorId="0">
      <text>
        <r>
          <rPr>
            <b/>
            <sz val="10"/>
            <color indexed="81"/>
            <rFont val="Tahoma"/>
            <family val="2"/>
          </rPr>
          <t>Kim Edelman:</t>
        </r>
        <r>
          <rPr>
            <sz val="10"/>
            <color indexed="81"/>
            <rFont val="Tahoma"/>
            <family val="2"/>
          </rPr>
          <t xml:space="preserve">
Previous teen birth rates at the end of this spreadsheet</t>
        </r>
      </text>
    </comment>
  </commentList>
</comments>
</file>

<file path=xl/sharedStrings.xml><?xml version="1.0" encoding="utf-8"?>
<sst xmlns="http://schemas.openxmlformats.org/spreadsheetml/2006/main" count="1427" uniqueCount="290">
  <si>
    <t>Household Estimates</t>
  </si>
  <si>
    <t>Total Population</t>
  </si>
  <si>
    <t>Elderly Dependency Ratio</t>
  </si>
  <si>
    <t>Per Capita Income</t>
  </si>
  <si>
    <t>All Ages in Poverty</t>
  </si>
  <si>
    <t>0-17 in Poverty</t>
  </si>
  <si>
    <t>Median Household Income</t>
  </si>
  <si>
    <t>Unemployed Annual Average</t>
  </si>
  <si>
    <t>Food Stamp Utilization - Avg Monthly Households</t>
  </si>
  <si>
    <t>School Enrollment PreK-12</t>
  </si>
  <si>
    <t>Free or Reduced Meals P-12</t>
  </si>
  <si>
    <t>Have Limited English Proficiency P-12</t>
  </si>
  <si>
    <t>Receive Special Education P-12</t>
  </si>
  <si>
    <t>Number of Resident Births</t>
  </si>
  <si>
    <t>Birth Rate 
(per 1,000 population)</t>
  </si>
  <si>
    <t>Percent Prenatal Care 
Initiated 1st Trimester</t>
  </si>
  <si>
    <t>Teen Birth Rate 
per 1000 15-19 year old females</t>
  </si>
  <si>
    <t>Percent of Births to Unmarried Women</t>
  </si>
  <si>
    <t>Number of Infant Deaths 
(birth/death linked cohort)</t>
  </si>
  <si>
    <t>Number of Deaths</t>
  </si>
  <si>
    <t>Crude Death Rate</t>
  </si>
  <si>
    <t>Age Adjusted Death Rate</t>
  </si>
  <si>
    <t>Heart Disease - Number of Deaths</t>
  </si>
  <si>
    <t>Cancer - Number of Deaths</t>
  </si>
  <si>
    <t>Stroke - Number of Deaths</t>
  </si>
  <si>
    <t>Unintentional Injury - Number of Deaths</t>
  </si>
  <si>
    <t>Heart Disease AA Rates</t>
  </si>
  <si>
    <t>Cancer AA Rates</t>
  </si>
  <si>
    <t>Stroke AA Rates</t>
  </si>
  <si>
    <t>UI AA Rates</t>
  </si>
  <si>
    <t>AA Rates Male</t>
  </si>
  <si>
    <t>AA Rates female</t>
  </si>
  <si>
    <t>State of Minnesota</t>
  </si>
  <si>
    <t>Number</t>
  </si>
  <si>
    <t>County</t>
  </si>
  <si>
    <t>White</t>
  </si>
  <si>
    <t>Afr. Amer.</t>
  </si>
  <si>
    <t>Amer. Ind.</t>
  </si>
  <si>
    <t>Asian</t>
  </si>
  <si>
    <t>2 or More</t>
  </si>
  <si>
    <t>Latino</t>
  </si>
  <si>
    <t>Wh</t>
  </si>
  <si>
    <t>AA</t>
  </si>
  <si>
    <t>AI</t>
  </si>
  <si>
    <t>Lat</t>
  </si>
  <si>
    <t xml:space="preserve">White </t>
  </si>
  <si>
    <t>*</t>
  </si>
  <si>
    <t>Child Dependency Ratio</t>
  </si>
  <si>
    <t>Total Dependency Ratio</t>
  </si>
  <si>
    <t>Low Birth Weight - Singletons % 
(Under 2,500 grams)</t>
  </si>
  <si>
    <t xml:space="preserve">African American </t>
  </si>
  <si>
    <t>American Indian</t>
  </si>
  <si>
    <t>Number of Births</t>
  </si>
  <si>
    <t>Birth Rate per 1,000 Population</t>
  </si>
  <si>
    <t>African American</t>
  </si>
  <si>
    <t>Heart Disease, Number</t>
  </si>
  <si>
    <t>Cancer, Number</t>
  </si>
  <si>
    <t>Stroke, Number</t>
  </si>
  <si>
    <t>Unintentional Injury, Number</t>
  </si>
  <si>
    <t>Age Adjusted Death Rate - Males</t>
  </si>
  <si>
    <t>Age Adjusted Death Rate - Females</t>
  </si>
  <si>
    <t>Demographics</t>
  </si>
  <si>
    <t>Age Adjusted Death Rate per 100,000 Population</t>
  </si>
  <si>
    <t>Latina**</t>
  </si>
  <si>
    <t>Latino**</t>
  </si>
  <si>
    <t>Teen Birth Rate Cont'd</t>
  </si>
  <si>
    <t>Teen Birth Rate per 1,000 15-19 year old females</t>
  </si>
  <si>
    <t>Latino*</t>
  </si>
  <si>
    <t>*Can be any race</t>
  </si>
  <si>
    <t>Aitkin County</t>
  </si>
  <si>
    <t>Anoka County</t>
  </si>
  <si>
    <t>Becker County</t>
  </si>
  <si>
    <t>Beltrami County</t>
  </si>
  <si>
    <t>Benton County</t>
  </si>
  <si>
    <t>Big Stone County</t>
  </si>
  <si>
    <t>Blue Earth County</t>
  </si>
  <si>
    <t>Brown County</t>
  </si>
  <si>
    <t>Carlton County</t>
  </si>
  <si>
    <t>Cass County</t>
  </si>
  <si>
    <t>Chippewa County</t>
  </si>
  <si>
    <t>Chisago County</t>
  </si>
  <si>
    <t>Clay County</t>
  </si>
  <si>
    <t>Clearwater County</t>
  </si>
  <si>
    <t>Cook County</t>
  </si>
  <si>
    <t>Cottonwood County</t>
  </si>
  <si>
    <t>Crow Wing County</t>
  </si>
  <si>
    <t>Dakota County</t>
  </si>
  <si>
    <t>Dodge County</t>
  </si>
  <si>
    <t>Douglas County</t>
  </si>
  <si>
    <t>Faribault County</t>
  </si>
  <si>
    <t>Fillmore County</t>
  </si>
  <si>
    <t>Freeborn County</t>
  </si>
  <si>
    <t>Goodhue County</t>
  </si>
  <si>
    <t>Grant County</t>
  </si>
  <si>
    <t>Hennepin County</t>
  </si>
  <si>
    <t>Houston County</t>
  </si>
  <si>
    <t>Hubbard County</t>
  </si>
  <si>
    <t>Isanti County</t>
  </si>
  <si>
    <t>Itasca County</t>
  </si>
  <si>
    <t>Jackson County</t>
  </si>
  <si>
    <t>Kanabec County</t>
  </si>
  <si>
    <t>Kandiyohi County</t>
  </si>
  <si>
    <t>Kittson County</t>
  </si>
  <si>
    <t>Koochiching County</t>
  </si>
  <si>
    <t>Lac Qui Parle County</t>
  </si>
  <si>
    <t>Lake County</t>
  </si>
  <si>
    <t>Lake of the Woods County</t>
  </si>
  <si>
    <t>Le Sueur County</t>
  </si>
  <si>
    <t>Lincoln County</t>
  </si>
  <si>
    <t>Lyon County</t>
  </si>
  <si>
    <t>McLeod County</t>
  </si>
  <si>
    <t>Mahnomen County</t>
  </si>
  <si>
    <t>Marshall County</t>
  </si>
  <si>
    <t>Martin County</t>
  </si>
  <si>
    <t>Meeker County</t>
  </si>
  <si>
    <t>Mille Lacs County</t>
  </si>
  <si>
    <t>Morrison County</t>
  </si>
  <si>
    <t>Mower County</t>
  </si>
  <si>
    <t>Murray County</t>
  </si>
  <si>
    <t>Nicollet County</t>
  </si>
  <si>
    <t>Nobles County</t>
  </si>
  <si>
    <t>Norman County</t>
  </si>
  <si>
    <t>Olmsted County</t>
  </si>
  <si>
    <t>Otter Tail County</t>
  </si>
  <si>
    <t>Pennington County</t>
  </si>
  <si>
    <t>Pine County</t>
  </si>
  <si>
    <t>Pipestone County</t>
  </si>
  <si>
    <t>Polk County</t>
  </si>
  <si>
    <t>Pope County</t>
  </si>
  <si>
    <t>Ramsey County</t>
  </si>
  <si>
    <t>Red Lake County</t>
  </si>
  <si>
    <t>Redwood County</t>
  </si>
  <si>
    <t>Renville County</t>
  </si>
  <si>
    <t>Rice County</t>
  </si>
  <si>
    <t>Rock County</t>
  </si>
  <si>
    <t>Roseau County</t>
  </si>
  <si>
    <t>St. Louis County</t>
  </si>
  <si>
    <t>Scott County</t>
  </si>
  <si>
    <t>Sherburne County</t>
  </si>
  <si>
    <t>Sibley County</t>
  </si>
  <si>
    <t>Stearns County</t>
  </si>
  <si>
    <t>Steele County</t>
  </si>
  <si>
    <t>Stevens County</t>
  </si>
  <si>
    <t>Swift County</t>
  </si>
  <si>
    <t>Todd County</t>
  </si>
  <si>
    <t>Traverse County</t>
  </si>
  <si>
    <t>Wabasha County</t>
  </si>
  <si>
    <t>Wadena County</t>
  </si>
  <si>
    <t>Waseca County</t>
  </si>
  <si>
    <t>Washington County</t>
  </si>
  <si>
    <t>Watonwan County</t>
  </si>
  <si>
    <t>Wilkin County</t>
  </si>
  <si>
    <t>Winona County</t>
  </si>
  <si>
    <t>Wright County</t>
  </si>
  <si>
    <t>Yellow Medicine County</t>
  </si>
  <si>
    <t>Carver County</t>
  </si>
  <si>
    <t>Low Birth Weight, Singleton#</t>
  </si>
  <si>
    <t>Preterm, Singletons</t>
  </si>
  <si>
    <t>Births to Unmarried Women- Percent</t>
  </si>
  <si>
    <t>Center for Health Statistics</t>
  </si>
  <si>
    <t>Division of Health Policy</t>
  </si>
  <si>
    <t>Minnesota Department of Health</t>
  </si>
  <si>
    <r>
      <t xml:space="preserve">PO Box 64882 </t>
    </r>
    <r>
      <rPr>
        <sz val="8"/>
        <rFont val="Symbol"/>
        <family val="1"/>
        <charset val="2"/>
      </rPr>
      <t>·</t>
    </r>
    <r>
      <rPr>
        <sz val="12"/>
        <rFont val="Eras Medium ITC"/>
        <family val="2"/>
      </rPr>
      <t xml:space="preserve"> St. Paul, MN  </t>
    </r>
    <r>
      <rPr>
        <sz val="8"/>
        <rFont val="Symbol"/>
        <family val="1"/>
        <charset val="2"/>
      </rPr>
      <t>·</t>
    </r>
    <r>
      <rPr>
        <sz val="12"/>
        <rFont val="Eras Medium ITC"/>
        <family val="2"/>
      </rPr>
      <t xml:space="preserve">  55164-0884</t>
    </r>
  </si>
  <si>
    <t>http://www.health.state.mn.us/divs/chs/top_2.htm</t>
  </si>
  <si>
    <t>Heart Disease, Age Adjusted Death Rate</t>
  </si>
  <si>
    <t>Cancer, Age Adjusted Death Rate</t>
  </si>
  <si>
    <t>Stroke, Age Adjusted Death Rate</t>
  </si>
  <si>
    <t>Crude Death Rate per 100,000 Population</t>
  </si>
  <si>
    <t>2007-08</t>
  </si>
  <si>
    <t>Percent Preterm - Singletons %
(less than 37 weeks)</t>
  </si>
  <si>
    <t>4.7</t>
  </si>
  <si>
    <t>5.6</t>
  </si>
  <si>
    <t>5.4</t>
  </si>
  <si>
    <t>4.0</t>
  </si>
  <si>
    <t>4.1</t>
  </si>
  <si>
    <t>3.6</t>
  </si>
  <si>
    <t>3.7</t>
  </si>
  <si>
    <t>4.2</t>
  </si>
  <si>
    <t>3.8</t>
  </si>
  <si>
    <t>3.3</t>
  </si>
  <si>
    <t>6.9</t>
  </si>
  <si>
    <t>4.3</t>
  </si>
  <si>
    <t>5.1</t>
  </si>
  <si>
    <t>6.8</t>
  </si>
  <si>
    <t>4.4</t>
  </si>
  <si>
    <t>3.9</t>
  </si>
  <si>
    <t>3.2</t>
  </si>
  <si>
    <t>3.1</t>
  </si>
  <si>
    <t>4.9</t>
  </si>
  <si>
    <t>5.0</t>
  </si>
  <si>
    <t>3.5</t>
  </si>
  <si>
    <t>3.4</t>
  </si>
  <si>
    <t>6.4</t>
  </si>
  <si>
    <t>6.5</t>
  </si>
  <si>
    <t>5.2</t>
  </si>
  <si>
    <t>2.8</t>
  </si>
  <si>
    <t>2008-09</t>
  </si>
  <si>
    <t>651/201-3504  ·  healthstats@state.mn.us</t>
  </si>
  <si>
    <t>2009-10</t>
  </si>
  <si>
    <t>2010-11</t>
  </si>
  <si>
    <t>2010 Race/Ethnicity</t>
  </si>
  <si>
    <t>Race/Ethnicity of Mother, 2010 %</t>
  </si>
  <si>
    <t>Deaths by Race/Ethnicity, 2010</t>
  </si>
  <si>
    <t>CHB - Aitkin, Itasca and Koochiching</t>
  </si>
  <si>
    <t>CHB - Brown and Nicollet</t>
  </si>
  <si>
    <t>CHB - Carlton, Cook, Lake and St. Louis</t>
  </si>
  <si>
    <t>CHB - Clay and Wilkin</t>
  </si>
  <si>
    <t>CHB - Cottonwood and Jackson</t>
  </si>
  <si>
    <t>CHB - Dodge and Steele</t>
  </si>
  <si>
    <t>CHB - Faribault and Martin</t>
  </si>
  <si>
    <t>CHB - Fillmore and Houston</t>
  </si>
  <si>
    <t>CHB - Isanti and Mille Lacs</t>
  </si>
  <si>
    <t>CHB - Kanabec and Pine</t>
  </si>
  <si>
    <t>CHB - Le Sueur and Waseca</t>
  </si>
  <si>
    <t>CHB - Lincoln, Lyon, Murray and Pipestone</t>
  </si>
  <si>
    <t>CHB - Mahnomen and Norman</t>
  </si>
  <si>
    <t>CHB - Redwood and Renville</t>
  </si>
  <si>
    <t>NA</t>
  </si>
  <si>
    <t>CHB - Morrison, Todd and Wadena</t>
  </si>
  <si>
    <t>CHB - Meeker, McLeod and Sibley</t>
  </si>
  <si>
    <t>2006 Race/Ethnicity</t>
  </si>
  <si>
    <t>Four Year Graduation Rate per 100</t>
  </si>
  <si>
    <r>
      <t>Total Population</t>
    </r>
    <r>
      <rPr>
        <b/>
        <vertAlign val="superscript"/>
        <sz val="10"/>
        <color theme="1"/>
        <rFont val="Tw Cen MT"/>
        <family val="2"/>
      </rPr>
      <t>1</t>
    </r>
  </si>
  <si>
    <r>
      <t>Population by Race/Ethnicity</t>
    </r>
    <r>
      <rPr>
        <b/>
        <vertAlign val="superscript"/>
        <sz val="10"/>
        <color theme="1"/>
        <rFont val="Tw Cen MT"/>
        <family val="2"/>
      </rPr>
      <t xml:space="preserve">1 </t>
    </r>
    <r>
      <rPr>
        <b/>
        <sz val="10"/>
        <color theme="1"/>
        <rFont val="Tw Cen MT"/>
        <family val="2"/>
      </rPr>
      <t>Year 2010</t>
    </r>
  </si>
  <si>
    <t>Socioeconomics</t>
  </si>
  <si>
    <r>
      <t>Per Capita Income</t>
    </r>
    <r>
      <rPr>
        <b/>
        <vertAlign val="superscript"/>
        <sz val="10"/>
        <color theme="1"/>
        <rFont val="Tw Cen MT"/>
        <family val="2"/>
      </rPr>
      <t>5</t>
    </r>
  </si>
  <si>
    <r>
      <t>Median Household Income</t>
    </r>
    <r>
      <rPr>
        <b/>
        <vertAlign val="superscript"/>
        <sz val="10"/>
        <color theme="1"/>
        <rFont val="Tw Cen MT"/>
        <family val="2"/>
      </rPr>
      <t>1</t>
    </r>
  </si>
  <si>
    <r>
      <t>Education (PreKindergarten to 12th Grade)</t>
    </r>
    <r>
      <rPr>
        <b/>
        <vertAlign val="superscript"/>
        <sz val="12"/>
        <color theme="1"/>
        <rFont val="Tw Cen MT"/>
        <family val="2"/>
      </rPr>
      <t>6</t>
    </r>
  </si>
  <si>
    <t>Students Eligible for Free or Reduced Meals - 
Percent, School Year</t>
  </si>
  <si>
    <t>Total Enrollment  - School Year</t>
  </si>
  <si>
    <t>Students with Limited English Proficiency - 
Percent, School Year</t>
  </si>
  <si>
    <t>Students Receiving Special Education - 
Percent, School Year</t>
  </si>
  <si>
    <r>
      <t>Natality</t>
    </r>
    <r>
      <rPr>
        <b/>
        <vertAlign val="superscript"/>
        <sz val="12"/>
        <color theme="1"/>
        <rFont val="Tw Cen MT"/>
        <family val="2"/>
      </rPr>
      <t>7</t>
    </r>
  </si>
  <si>
    <t>Low Birth Weight (less than 2,500 grams),
 Singletons - Number</t>
  </si>
  <si>
    <t>Premature Births (less than 37 weeks gestation), Singletons - Number</t>
  </si>
  <si>
    <t>Receiving Prenatal Care in the 1st Trimester - 
Percent</t>
  </si>
  <si>
    <r>
      <t>Number of Infant Deaths</t>
    </r>
    <r>
      <rPr>
        <b/>
        <vertAlign val="superscript"/>
        <sz val="10"/>
        <color theme="1"/>
        <rFont val="Tw Cen MT"/>
        <family val="2"/>
      </rPr>
      <t xml:space="preserve">8 </t>
    </r>
    <r>
      <rPr>
        <b/>
        <sz val="10"/>
        <color theme="1"/>
        <rFont val="Tw Cen MT"/>
        <family val="2"/>
      </rPr>
      <t>by</t>
    </r>
    <r>
      <rPr>
        <b/>
        <vertAlign val="superscript"/>
        <sz val="10"/>
        <color theme="1"/>
        <rFont val="Tw Cen MT"/>
        <family val="2"/>
      </rPr>
      <t xml:space="preserve"> </t>
    </r>
    <r>
      <rPr>
        <b/>
        <sz val="10"/>
        <color theme="1"/>
        <rFont val="Tw Cen MT"/>
        <family val="2"/>
      </rPr>
      <t>Birth Year</t>
    </r>
  </si>
  <si>
    <t>Race/Ethnicity of Mother - Year 2010</t>
  </si>
  <si>
    <r>
      <t>Mortality</t>
    </r>
    <r>
      <rPr>
        <b/>
        <vertAlign val="superscript"/>
        <sz val="12"/>
        <color theme="1"/>
        <rFont val="Tw Cen MT"/>
        <family val="2"/>
      </rPr>
      <t>7</t>
    </r>
  </si>
  <si>
    <t>Number of Deaths by Race/Ethnicity - Year 2010</t>
  </si>
  <si>
    <t>CHB - Beltrami, Clearwater, Hubbard and LOW</t>
  </si>
  <si>
    <t>CHB - Big Stone, Chipp, LQP, Swift and YM</t>
  </si>
  <si>
    <t>CHB - Douglas, Grant, Pope, Stvns and Trvrs</t>
  </si>
  <si>
    <t>CHB - Kitt, Marsh, Penn, Red Lake and Roseau</t>
  </si>
  <si>
    <t>None</t>
  </si>
  <si>
    <t>Unintent. Injury, Age Adjusted Death Rate</t>
  </si>
  <si>
    <t>*Rates not calculated for less than 20 events</t>
  </si>
  <si>
    <t>Minnesota Center for Health Statistics</t>
  </si>
  <si>
    <t>Minnesota Center for Health Statistics
Minnesota Department of Health
www.health.state.mn.us/divs/chs</t>
  </si>
  <si>
    <t>PO Box 64882 * St. Paul, MN * 55164-0882</t>
  </si>
  <si>
    <t>www.health.state.mn.us/divs/chs</t>
  </si>
  <si>
    <t>651.201.3504</t>
  </si>
  <si>
    <t>healthstats@state.mn.us</t>
  </si>
  <si>
    <t>NA - Data not available</t>
  </si>
  <si>
    <t>**Can be any race</t>
  </si>
  <si>
    <t>*Percentages based on numerators less than or equal to 20 may be unstable and should be interpreted with caution</t>
  </si>
  <si>
    <t>Premature Births (less than 37 weeks gestation), Singletons - Percent*</t>
  </si>
  <si>
    <t>Low Birth Weight (less than 2,500 grams),
 Singletons - Percent*</t>
  </si>
  <si>
    <r>
      <t>Elderly (age 65+) Dependency Ratio 
per 100 people aged 15-64</t>
    </r>
    <r>
      <rPr>
        <b/>
        <vertAlign val="superscript"/>
        <sz val="10"/>
        <color theme="1"/>
        <rFont val="Tw Cen MT"/>
        <family val="2"/>
      </rPr>
      <t>1</t>
    </r>
  </si>
  <si>
    <r>
      <t>Child (under age 15) Dependency Ratio 
per 100 people aged 15-64</t>
    </r>
    <r>
      <rPr>
        <b/>
        <vertAlign val="superscript"/>
        <sz val="10"/>
        <color theme="1"/>
        <rFont val="Tw Cen MT"/>
        <family val="2"/>
      </rPr>
      <t>1</t>
    </r>
  </si>
  <si>
    <r>
      <t>Total Dependency (under 15, 65+) Ratio 
per 100 people aged 15-64</t>
    </r>
    <r>
      <rPr>
        <b/>
        <vertAlign val="superscript"/>
        <sz val="10"/>
        <color theme="1"/>
        <rFont val="Tw Cen MT"/>
        <family val="2"/>
      </rPr>
      <t>1</t>
    </r>
  </si>
  <si>
    <r>
      <t>Estimated Number of Households</t>
    </r>
    <r>
      <rPr>
        <b/>
        <vertAlign val="superscript"/>
        <sz val="10"/>
        <color theme="1"/>
        <rFont val="Tw Cen MT"/>
        <family val="2"/>
      </rPr>
      <t>2</t>
    </r>
  </si>
  <si>
    <r>
      <t>Unemployed (Annual Average)</t>
    </r>
    <r>
      <rPr>
        <b/>
        <vertAlign val="superscript"/>
        <sz val="10"/>
        <color theme="1"/>
        <rFont val="Tw Cen MT"/>
        <family val="2"/>
      </rPr>
      <t>3</t>
    </r>
    <r>
      <rPr>
        <b/>
        <sz val="10"/>
        <color theme="1"/>
        <rFont val="Tw Cen MT"/>
        <family val="2"/>
      </rPr>
      <t xml:space="preserve"> - Percent</t>
    </r>
  </si>
  <si>
    <r>
      <t>Food Stamp Utilization - 
Average Monthly Number of Households</t>
    </r>
    <r>
      <rPr>
        <b/>
        <vertAlign val="superscript"/>
        <sz val="10"/>
        <color theme="1"/>
        <rFont val="Tw Cen MT"/>
        <family val="2"/>
      </rPr>
      <t>4</t>
    </r>
  </si>
  <si>
    <t>CHB - Lincoln, Lyon, Murray, Pipestone and Rock</t>
  </si>
  <si>
    <t>CHB - Beltrami, Clearwater, Hubbard and Lake of the Woods</t>
  </si>
  <si>
    <t>CHB - Big Stone, Chippewa, Lac Qui Parle, Swift and Yellow Medicine</t>
  </si>
  <si>
    <t>CHB - Douglas, Grant, Pope Stevens and Traverse</t>
  </si>
  <si>
    <t>CHB - Kittson, Marshall, Pennington, Red Lake and Roseau</t>
  </si>
  <si>
    <t>Percent of Mothers who Smoked during Pregnancy</t>
  </si>
  <si>
    <t>Mothers who Smoked during Pregnancy - Percent</t>
  </si>
  <si>
    <t>1991-1995</t>
  </si>
  <si>
    <t>1996-2000</t>
  </si>
  <si>
    <t>2001-2005</t>
  </si>
  <si>
    <t>2006-2010</t>
  </si>
  <si>
    <t>1990-1994</t>
  </si>
  <si>
    <t>1995-1999</t>
  </si>
  <si>
    <t>2000-2004</t>
  </si>
  <si>
    <t>2005-2009</t>
  </si>
  <si>
    <r>
      <t>Percent of All Ages Living in Poverty</t>
    </r>
    <r>
      <rPr>
        <b/>
        <vertAlign val="superscript"/>
        <sz val="10"/>
        <color theme="1"/>
        <rFont val="Tw Cen MT"/>
        <family val="2"/>
      </rPr>
      <t>1</t>
    </r>
  </si>
  <si>
    <r>
      <t>Percent of People under 18 Years Living in Poverty</t>
    </r>
    <r>
      <rPr>
        <b/>
        <vertAlign val="superscript"/>
        <sz val="10"/>
        <color theme="1"/>
        <rFont val="Tw Cen MT"/>
        <family val="2"/>
      </rPr>
      <t xml:space="preserve">1 </t>
    </r>
  </si>
  <si>
    <t>High School Drop Out Rate per 100</t>
  </si>
  <si>
    <t>High School Dropout Rate per 100</t>
  </si>
  <si>
    <t xml:space="preserve"> Four-Year High School Graduation Rate per 100</t>
  </si>
  <si>
    <t>March 2012</t>
  </si>
  <si>
    <t>--</t>
  </si>
  <si>
    <t>Select counties and/or Community Health Boards (CHB):</t>
  </si>
  <si>
    <t>Minnesota 
State, County, and Community Health Board 
Vital Statistics Trend Report, 1991-2010</t>
  </si>
  <si>
    <t>The Minnesota Vital Statistics Trend Report is a report on demographic, natality and mortality trends for Minnesota, its 87 counties and community health boards (CHBs).  This report provides information on selected indicators including age dependency ratios, low birth weight, prenatal care, and selected causes of death.</t>
  </si>
  <si>
    <t>Instructions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</si>
</sst>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0.00_);_(&quot;$&quot;* \(#,##0.00\);_(&quot;$&quot;* &quot;-&quot;??_);_(@_)"/>
    <numFmt numFmtId="43" formatCode="_(* #,##0.00_);_(* \(#,##0.00\);_(* &quot;-&quot;??_);_(@_)"/>
    <numFmt numFmtId="164" formatCode="0.0"/>
    <numFmt numFmtId="165" formatCode="_(* #,##0.0_);_(* \(#,##0.0\);_(* &quot;-&quot;??_);_(@_)"/>
    <numFmt numFmtId="166" formatCode="_(* #,##0_);_(* \(#,##0\);_(* &quot;-&quot;??_);_(@_)"/>
    <numFmt numFmtId="167" formatCode="#,##0.0"/>
    <numFmt numFmtId="168" formatCode="_(&quot;$&quot;* #,##0_);_(&quot;$&quot;* \(#,##0\);_(&quot;$&quot;* &quot;-&quot;??_);_(@_)"/>
    <numFmt numFmtId="169" formatCode="&quot;$&quot;#,##0"/>
  </numFmts>
  <fonts count="37" x14ac:knownFonts="1">
    <font>
      <sz val="10"/>
      <name val="Times New Roman"/>
    </font>
    <font>
      <sz val="10"/>
      <name val="Times New Roman"/>
      <family val="1"/>
    </font>
    <font>
      <u/>
      <sz val="10"/>
      <color indexed="12"/>
      <name val="Times New Roman"/>
      <family val="1"/>
    </font>
    <font>
      <b/>
      <sz val="10"/>
      <name val="Times New Roman"/>
      <family val="1"/>
    </font>
    <font>
      <sz val="10"/>
      <name val="Times New Roman"/>
      <family val="1"/>
    </font>
    <font>
      <sz val="8"/>
      <name val="Times New Roman"/>
      <family val="1"/>
    </font>
    <font>
      <sz val="10"/>
      <color indexed="81"/>
      <name val="Tahoma"/>
      <family val="2"/>
    </font>
    <font>
      <b/>
      <sz val="10"/>
      <color indexed="81"/>
      <name val="Tahoma"/>
      <family val="2"/>
    </font>
    <font>
      <sz val="12"/>
      <name val="Times New Roman"/>
      <family val="1"/>
    </font>
    <font>
      <b/>
      <sz val="14"/>
      <name val="Eras Medium ITC"/>
      <family val="2"/>
    </font>
    <font>
      <i/>
      <sz val="12"/>
      <name val="Times New Roman"/>
      <family val="1"/>
    </font>
    <font>
      <i/>
      <sz val="12"/>
      <name val="Eras Medium ITC"/>
      <family val="2"/>
    </font>
    <font>
      <sz val="12"/>
      <name val="Eras Medium ITC"/>
      <family val="2"/>
    </font>
    <font>
      <sz val="8"/>
      <name val="Symbol"/>
      <family val="1"/>
      <charset val="2"/>
    </font>
    <font>
      <b/>
      <sz val="12"/>
      <name val="Eras Medium ITC"/>
      <family val="2"/>
    </font>
    <font>
      <sz val="9.5"/>
      <name val="Eras Medium ITC"/>
      <family val="2"/>
    </font>
    <font>
      <sz val="12"/>
      <name val="Tahoma"/>
      <family val="2"/>
    </font>
    <font>
      <i/>
      <sz val="14"/>
      <name val="Eras Medium ITC"/>
      <family val="2"/>
    </font>
    <font>
      <sz val="10"/>
      <name val="Times New Roman"/>
      <family val="1"/>
    </font>
    <font>
      <sz val="10"/>
      <name val="Tw Cen MT"/>
      <family val="2"/>
    </font>
    <font>
      <sz val="11"/>
      <color theme="1"/>
      <name val="Calibri"/>
      <family val="2"/>
      <scheme val="minor"/>
    </font>
    <font>
      <sz val="10"/>
      <color theme="1"/>
      <name val="Tw Cen MT"/>
      <family val="2"/>
    </font>
    <font>
      <b/>
      <sz val="12"/>
      <color theme="1"/>
      <name val="Tw Cen MT"/>
      <family val="2"/>
    </font>
    <font>
      <b/>
      <sz val="10"/>
      <color theme="1"/>
      <name val="Tw Cen MT"/>
      <family val="2"/>
    </font>
    <font>
      <b/>
      <vertAlign val="superscript"/>
      <sz val="10"/>
      <color theme="1"/>
      <name val="Tw Cen MT"/>
      <family val="2"/>
    </font>
    <font>
      <b/>
      <vertAlign val="superscript"/>
      <sz val="12"/>
      <color theme="1"/>
      <name val="Tw Cen MT"/>
      <family val="2"/>
    </font>
    <font>
      <b/>
      <sz val="12"/>
      <name val="Tw Cen MT"/>
      <family val="2"/>
    </font>
    <font>
      <sz val="9"/>
      <color theme="1"/>
      <name val="Tw Cen MT"/>
      <family val="2"/>
    </font>
    <font>
      <b/>
      <sz val="24"/>
      <name val="Tw Cen MT"/>
      <family val="2"/>
    </font>
    <font>
      <b/>
      <sz val="28"/>
      <name val="Tw Cen MT"/>
      <family val="2"/>
    </font>
    <font>
      <sz val="12"/>
      <name val="Tw Cen MT"/>
      <family val="2"/>
    </font>
    <font>
      <sz val="16"/>
      <name val="Tw Cen MT"/>
      <family val="2"/>
    </font>
    <font>
      <b/>
      <sz val="16"/>
      <name val="Tw Cen MT"/>
      <family val="2"/>
    </font>
    <font>
      <b/>
      <u/>
      <sz val="12"/>
      <color rgb="FF000000"/>
      <name val="Tw Cen MT"/>
      <family val="2"/>
    </font>
    <font>
      <sz val="12"/>
      <color rgb="FF000000"/>
      <name val="Tw Cen MT"/>
      <family val="2"/>
    </font>
    <font>
      <sz val="9"/>
      <name val="Tw Cen MT"/>
      <family val="2"/>
    </font>
    <font>
      <sz val="11"/>
      <name val="Times New Roman"/>
      <family val="1"/>
    </font>
  </fonts>
  <fills count="6">
    <fill>
      <patternFill patternType="none"/>
    </fill>
    <fill>
      <patternFill patternType="gray125"/>
    </fill>
    <fill>
      <patternFill patternType="solid">
        <fgColor indexed="4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s>
  <borders count="10">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s>
  <cellStyleXfs count="10">
    <xf numFmtId="0" fontId="0" fillId="0" borderId="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18" fillId="0" borderId="0"/>
    <xf numFmtId="0" fontId="20" fillId="0" borderId="0"/>
  </cellStyleXfs>
  <cellXfs count="179">
    <xf numFmtId="0" fontId="0" fillId="0" borderId="0" xfId="0"/>
    <xf numFmtId="0" fontId="10" fillId="0" borderId="0" xfId="0" applyFont="1"/>
    <xf numFmtId="0" fontId="8" fillId="0" borderId="0" xfId="0" applyFont="1" applyAlignment="1">
      <alignment horizontal="center"/>
    </xf>
    <xf numFmtId="0" fontId="12" fillId="0" borderId="0" xfId="0" applyFont="1"/>
    <xf numFmtId="0" fontId="14" fillId="0" borderId="0" xfId="0" applyFont="1"/>
    <xf numFmtId="0" fontId="16" fillId="0" borderId="0" xfId="0" applyFont="1" applyAlignment="1">
      <alignment horizontal="left" indent="15"/>
    </xf>
    <xf numFmtId="0" fontId="15" fillId="0" borderId="0" xfId="0" applyFont="1"/>
    <xf numFmtId="0" fontId="9" fillId="0" borderId="0" xfId="0" applyFont="1" applyBorder="1" applyAlignment="1">
      <alignment vertical="top" wrapText="1"/>
    </xf>
    <xf numFmtId="0" fontId="12" fillId="0" borderId="0" xfId="0" applyFont="1" applyBorder="1" applyAlignment="1">
      <alignment vertical="top" wrapText="1"/>
    </xf>
    <xf numFmtId="0" fontId="0" fillId="0" borderId="0" xfId="0" applyBorder="1"/>
    <xf numFmtId="0" fontId="12" fillId="0" borderId="0" xfId="0" applyFont="1" applyBorder="1"/>
    <xf numFmtId="0" fontId="5" fillId="0" borderId="0" xfId="0" applyFont="1"/>
    <xf numFmtId="0" fontId="21" fillId="0" borderId="0" xfId="0" applyFont="1"/>
    <xf numFmtId="164" fontId="0" fillId="3" borderId="0" xfId="0" applyNumberFormat="1" applyFill="1" applyBorder="1" applyAlignment="1">
      <alignment horizontal="right"/>
    </xf>
    <xf numFmtId="3" fontId="21" fillId="3" borderId="0" xfId="0" applyNumberFormat="1" applyFont="1" applyFill="1"/>
    <xf numFmtId="0" fontId="0" fillId="3" borderId="0" xfId="0" applyFill="1"/>
    <xf numFmtId="164" fontId="0" fillId="3" borderId="0" xfId="0" applyNumberFormat="1" applyFill="1"/>
    <xf numFmtId="166" fontId="1" fillId="3" borderId="0" xfId="1" applyNumberFormat="1" applyFill="1" applyBorder="1" applyAlignment="1">
      <alignment horizontal="right"/>
    </xf>
    <xf numFmtId="165" fontId="1" fillId="3" borderId="0" xfId="1" applyNumberFormat="1" applyFill="1" applyBorder="1" applyAlignment="1">
      <alignment horizontal="right"/>
    </xf>
    <xf numFmtId="167" fontId="0" fillId="3" borderId="0" xfId="0" applyNumberFormat="1" applyFill="1"/>
    <xf numFmtId="167" fontId="0" fillId="3" borderId="0" xfId="0" applyNumberFormat="1" applyFill="1" applyBorder="1" applyAlignment="1">
      <alignment horizontal="right"/>
    </xf>
    <xf numFmtId="3" fontId="1" fillId="3" borderId="0" xfId="1" applyNumberFormat="1" applyFill="1" applyBorder="1" applyAlignment="1">
      <alignment horizontal="right"/>
    </xf>
    <xf numFmtId="168" fontId="1" fillId="3" borderId="0" xfId="4" applyNumberFormat="1" applyFill="1" applyBorder="1" applyAlignment="1">
      <alignment horizontal="right"/>
    </xf>
    <xf numFmtId="0" fontId="4" fillId="3" borderId="0" xfId="0" applyFont="1" applyFill="1"/>
    <xf numFmtId="168" fontId="1" fillId="3" borderId="0" xfId="4" applyNumberFormat="1" applyFont="1" applyFill="1" applyBorder="1" applyAlignment="1">
      <alignment horizontal="right"/>
    </xf>
    <xf numFmtId="166" fontId="0" fillId="3" borderId="0" xfId="0" applyNumberFormat="1" applyFill="1" applyBorder="1" applyAlignment="1">
      <alignment horizontal="right"/>
    </xf>
    <xf numFmtId="164" fontId="4" fillId="3" borderId="0" xfId="0" applyNumberFormat="1" applyFont="1" applyFill="1" applyBorder="1" applyAlignment="1">
      <alignment horizontal="right"/>
    </xf>
    <xf numFmtId="166" fontId="4" fillId="3" borderId="0" xfId="1" applyNumberFormat="1" applyFont="1" applyFill="1" applyBorder="1" applyAlignment="1">
      <alignment horizontal="right"/>
    </xf>
    <xf numFmtId="0" fontId="21" fillId="0" borderId="3" xfId="0" applyFont="1" applyBorder="1"/>
    <xf numFmtId="0" fontId="21" fillId="0" borderId="3" xfId="0" applyFont="1" applyBorder="1" applyAlignment="1">
      <alignment horizontal="center" wrapText="1"/>
    </xf>
    <xf numFmtId="0" fontId="21" fillId="0" borderId="0" xfId="0" applyFont="1" applyBorder="1"/>
    <xf numFmtId="0" fontId="21" fillId="0" borderId="3" xfId="0" applyFont="1" applyBorder="1" applyAlignment="1">
      <alignment horizontal="center"/>
    </xf>
    <xf numFmtId="0" fontId="21" fillId="0" borderId="0" xfId="0" applyFont="1" applyAlignment="1">
      <alignment horizontal="center"/>
    </xf>
    <xf numFmtId="3" fontId="21" fillId="0" borderId="0" xfId="0" applyNumberFormat="1" applyFont="1" applyBorder="1" applyAlignment="1">
      <alignment horizontal="center"/>
    </xf>
    <xf numFmtId="167" fontId="21" fillId="0" borderId="0" xfId="0" applyNumberFormat="1" applyFont="1" applyBorder="1" applyAlignment="1">
      <alignment horizontal="center"/>
    </xf>
    <xf numFmtId="3" fontId="21" fillId="0" borderId="3" xfId="0" applyNumberFormat="1" applyFont="1" applyBorder="1" applyAlignment="1">
      <alignment horizontal="center"/>
    </xf>
    <xf numFmtId="167" fontId="21" fillId="0" borderId="3" xfId="0" applyNumberFormat="1" applyFont="1" applyBorder="1" applyAlignment="1">
      <alignment horizontal="center"/>
    </xf>
    <xf numFmtId="3" fontId="21" fillId="0" borderId="0" xfId="0" applyNumberFormat="1" applyFont="1" applyAlignment="1">
      <alignment horizontal="center"/>
    </xf>
    <xf numFmtId="0" fontId="19" fillId="0" borderId="0" xfId="0" applyFont="1"/>
    <xf numFmtId="164" fontId="19" fillId="0" borderId="0" xfId="0" applyNumberFormat="1" applyFont="1" applyBorder="1" applyAlignment="1">
      <alignment horizontal="center"/>
    </xf>
    <xf numFmtId="0" fontId="19" fillId="0" borderId="0" xfId="0" applyFont="1" applyAlignment="1">
      <alignment horizontal="center"/>
    </xf>
    <xf numFmtId="3" fontId="19" fillId="0" borderId="0" xfId="1" applyNumberFormat="1" applyFont="1" applyAlignment="1">
      <alignment horizontal="center"/>
    </xf>
    <xf numFmtId="3" fontId="19" fillId="0" borderId="0" xfId="0" applyNumberFormat="1" applyFont="1" applyAlignment="1">
      <alignment horizontal="center"/>
    </xf>
    <xf numFmtId="3" fontId="19" fillId="0" borderId="0" xfId="1" applyNumberFormat="1" applyFont="1" applyBorder="1" applyAlignment="1">
      <alignment horizontal="center"/>
    </xf>
    <xf numFmtId="167" fontId="21" fillId="0" borderId="0" xfId="0" applyNumberFormat="1" applyFont="1" applyAlignment="1">
      <alignment horizontal="center"/>
    </xf>
    <xf numFmtId="164" fontId="19" fillId="0" borderId="0" xfId="0" applyNumberFormat="1" applyFont="1" applyAlignment="1">
      <alignment horizontal="center"/>
    </xf>
    <xf numFmtId="164" fontId="21" fillId="0" borderId="0" xfId="0" applyNumberFormat="1" applyFont="1" applyAlignment="1">
      <alignment horizontal="center"/>
    </xf>
    <xf numFmtId="3" fontId="19" fillId="0" borderId="3" xfId="0" applyNumberFormat="1" applyFont="1" applyBorder="1" applyAlignment="1">
      <alignment horizontal="center"/>
    </xf>
    <xf numFmtId="169" fontId="19" fillId="0" borderId="0" xfId="1" applyNumberFormat="1" applyFont="1" applyAlignment="1">
      <alignment horizontal="center"/>
    </xf>
    <xf numFmtId="164" fontId="19" fillId="0" borderId="3" xfId="0" applyNumberFormat="1" applyFont="1" applyBorder="1" applyAlignment="1">
      <alignment horizontal="center"/>
    </xf>
    <xf numFmtId="0" fontId="21" fillId="0" borderId="0" xfId="0" applyFont="1" applyBorder="1" applyAlignment="1">
      <alignment horizontal="center"/>
    </xf>
    <xf numFmtId="3" fontId="19" fillId="0" borderId="0" xfId="0" applyNumberFormat="1" applyFont="1" applyBorder="1" applyAlignment="1">
      <alignment horizontal="center"/>
    </xf>
    <xf numFmtId="0" fontId="19" fillId="0" borderId="0" xfId="0" applyFont="1" applyBorder="1" applyAlignment="1">
      <alignment horizontal="center"/>
    </xf>
    <xf numFmtId="0" fontId="21" fillId="0" borderId="4" xfId="0" applyFont="1" applyBorder="1" applyAlignment="1">
      <alignment horizontal="center"/>
    </xf>
    <xf numFmtId="166" fontId="19" fillId="0" borderId="0" xfId="1" applyNumberFormat="1" applyFont="1" applyAlignment="1">
      <alignment horizontal="center"/>
    </xf>
    <xf numFmtId="3" fontId="19" fillId="0" borderId="5" xfId="0" applyNumberFormat="1" applyFont="1" applyBorder="1" applyAlignment="1">
      <alignment horizontal="center"/>
    </xf>
    <xf numFmtId="166" fontId="19" fillId="0" borderId="0" xfId="0" applyNumberFormat="1" applyFont="1" applyAlignment="1">
      <alignment horizontal="center"/>
    </xf>
    <xf numFmtId="165" fontId="21" fillId="0" borderId="0" xfId="0" applyNumberFormat="1" applyFont="1" applyAlignment="1">
      <alignment horizontal="center"/>
    </xf>
    <xf numFmtId="166" fontId="21" fillId="0" borderId="0" xfId="0" applyNumberFormat="1" applyFont="1" applyAlignment="1">
      <alignment horizontal="center"/>
    </xf>
    <xf numFmtId="3" fontId="19" fillId="0" borderId="3" xfId="1" applyNumberFormat="1" applyFont="1" applyBorder="1" applyAlignment="1">
      <alignment horizontal="center"/>
    </xf>
    <xf numFmtId="169" fontId="19" fillId="0" borderId="3" xfId="1" applyNumberFormat="1" applyFont="1" applyBorder="1" applyAlignment="1">
      <alignment horizontal="center"/>
    </xf>
    <xf numFmtId="0" fontId="19" fillId="0" borderId="3" xfId="0" applyFont="1" applyBorder="1" applyAlignment="1">
      <alignment horizontal="center"/>
    </xf>
    <xf numFmtId="0" fontId="21" fillId="0" borderId="3" xfId="0" applyFont="1" applyBorder="1" applyAlignment="1">
      <alignment horizontal="center" wrapText="1"/>
    </xf>
    <xf numFmtId="0" fontId="21" fillId="0" borderId="3" xfId="0" applyFont="1" applyBorder="1" applyAlignment="1">
      <alignment horizontal="center"/>
    </xf>
    <xf numFmtId="3" fontId="19" fillId="0" borderId="0" xfId="0" applyNumberFormat="1" applyFont="1"/>
    <xf numFmtId="0" fontId="30" fillId="0" borderId="0" xfId="0" applyFont="1" applyAlignment="1">
      <alignment wrapText="1"/>
    </xf>
    <xf numFmtId="0" fontId="21" fillId="0" borderId="4" xfId="0" applyFont="1" applyBorder="1" applyAlignment="1">
      <alignment horizontal="center" wrapText="1"/>
    </xf>
    <xf numFmtId="0" fontId="28" fillId="0" borderId="0" xfId="0" applyFont="1" applyAlignment="1">
      <alignment horizontal="left" vertical="center" wrapText="1"/>
    </xf>
    <xf numFmtId="0" fontId="30" fillId="0" borderId="3" xfId="0" applyFont="1" applyBorder="1" applyAlignment="1">
      <alignment wrapText="1"/>
    </xf>
    <xf numFmtId="0" fontId="2" fillId="0" borderId="0" xfId="6" applyAlignment="1" applyProtection="1"/>
    <xf numFmtId="0" fontId="30" fillId="0" borderId="0" xfId="0" applyFont="1" applyAlignment="1">
      <alignment vertical="top" wrapText="1"/>
    </xf>
    <xf numFmtId="0" fontId="30" fillId="0" borderId="0" xfId="0" applyFont="1" applyBorder="1" applyAlignment="1">
      <alignment wrapText="1"/>
    </xf>
    <xf numFmtId="0" fontId="19" fillId="3" borderId="0" xfId="0" applyFont="1" applyFill="1" applyBorder="1"/>
    <xf numFmtId="164" fontId="21" fillId="0" borderId="0" xfId="0" applyNumberFormat="1" applyFont="1" applyBorder="1" applyAlignment="1">
      <alignment horizontal="center"/>
    </xf>
    <xf numFmtId="0" fontId="27" fillId="0" borderId="0" xfId="0" applyFont="1" applyBorder="1" applyAlignment="1">
      <alignment horizontal="center"/>
    </xf>
    <xf numFmtId="0" fontId="23" fillId="0" borderId="0" xfId="0" applyFont="1" applyBorder="1" applyAlignment="1"/>
    <xf numFmtId="0" fontId="23" fillId="0" borderId="0" xfId="0" applyFont="1" applyBorder="1" applyAlignment="1">
      <alignment wrapText="1"/>
    </xf>
    <xf numFmtId="0" fontId="31" fillId="0" borderId="0" xfId="0" applyFont="1" applyAlignment="1">
      <alignment horizontal="left"/>
    </xf>
    <xf numFmtId="0" fontId="32" fillId="0" borderId="0" xfId="0" applyFont="1" applyAlignment="1">
      <alignment horizontal="left" vertical="top"/>
    </xf>
    <xf numFmtId="0" fontId="31" fillId="0" borderId="0" xfId="0" applyFont="1" applyAlignment="1"/>
    <xf numFmtId="0" fontId="0" fillId="0" borderId="0" xfId="0" applyAlignment="1">
      <alignment horizontal="left"/>
    </xf>
    <xf numFmtId="0" fontId="19" fillId="0" borderId="0" xfId="0" applyFont="1" applyAlignment="1">
      <alignment horizontal="left"/>
    </xf>
    <xf numFmtId="0" fontId="33" fillId="0" borderId="0" xfId="0" applyFont="1" applyAlignment="1">
      <alignment horizontal="left" vertical="center" readingOrder="1"/>
    </xf>
    <xf numFmtId="0" fontId="34" fillId="0" borderId="0" xfId="0" applyFont="1" applyAlignment="1">
      <alignment horizontal="left" vertical="center" readingOrder="1"/>
    </xf>
    <xf numFmtId="0" fontId="26" fillId="0" borderId="0" xfId="0" applyFont="1"/>
    <xf numFmtId="164" fontId="1" fillId="3" borderId="0" xfId="4" applyNumberFormat="1" applyFont="1" applyFill="1" applyBorder="1" applyAlignment="1">
      <alignment horizontal="right"/>
    </xf>
    <xf numFmtId="0" fontId="21" fillId="3" borderId="0" xfId="0" applyFont="1" applyFill="1"/>
    <xf numFmtId="164" fontId="21" fillId="3" borderId="0" xfId="0" applyNumberFormat="1" applyFont="1" applyFill="1"/>
    <xf numFmtId="167" fontId="21" fillId="3" borderId="0" xfId="0" applyNumberFormat="1" applyFont="1" applyFill="1"/>
    <xf numFmtId="164" fontId="21" fillId="3" borderId="0" xfId="0" applyNumberFormat="1" applyFont="1" applyFill="1" applyAlignment="1">
      <alignment horizontal="center"/>
    </xf>
    <xf numFmtId="0" fontId="3" fillId="5" borderId="1" xfId="0" applyFont="1" applyFill="1" applyBorder="1"/>
    <xf numFmtId="0" fontId="3" fillId="5" borderId="0" xfId="0" applyFont="1" applyFill="1" applyAlignment="1">
      <alignment horizontal="center"/>
    </xf>
    <xf numFmtId="0" fontId="3" fillId="5" borderId="0" xfId="0" applyFont="1" applyFill="1" applyAlignment="1"/>
    <xf numFmtId="0" fontId="0" fillId="5" borderId="0" xfId="0" applyFill="1"/>
    <xf numFmtId="0" fontId="3" fillId="5" borderId="2" xfId="0" applyFont="1" applyFill="1" applyBorder="1"/>
    <xf numFmtId="0" fontId="3" fillId="5" borderId="0" xfId="0" applyFont="1" applyFill="1" applyBorder="1" applyAlignment="1">
      <alignment horizontal="right"/>
    </xf>
    <xf numFmtId="0" fontId="3" fillId="5" borderId="7" xfId="0" applyFont="1" applyFill="1" applyBorder="1" applyAlignment="1">
      <alignment horizontal="right"/>
    </xf>
    <xf numFmtId="0" fontId="21" fillId="5" borderId="3" xfId="0" applyFont="1" applyFill="1" applyBorder="1" applyAlignment="1">
      <alignment horizontal="center"/>
    </xf>
    <xf numFmtId="0" fontId="0" fillId="5" borderId="0" xfId="0" applyFill="1" applyBorder="1"/>
    <xf numFmtId="166" fontId="1" fillId="5" borderId="0" xfId="1" applyNumberFormat="1" applyFill="1" applyBorder="1" applyAlignment="1">
      <alignment horizontal="right"/>
    </xf>
    <xf numFmtId="164" fontId="0" fillId="5" borderId="0" xfId="0" applyNumberFormat="1" applyFill="1" applyBorder="1" applyAlignment="1">
      <alignment horizontal="right"/>
    </xf>
    <xf numFmtId="165" fontId="0" fillId="5" borderId="0" xfId="0" applyNumberFormat="1" applyFill="1" applyBorder="1" applyAlignment="1">
      <alignment horizontal="right"/>
    </xf>
    <xf numFmtId="165" fontId="1" fillId="5" borderId="0" xfId="1" applyNumberFormat="1" applyFill="1" applyBorder="1" applyAlignment="1">
      <alignment horizontal="right"/>
    </xf>
    <xf numFmtId="164" fontId="4" fillId="5" borderId="0" xfId="0" applyNumberFormat="1" applyFont="1" applyFill="1" applyBorder="1" applyAlignment="1">
      <alignment horizontal="right"/>
    </xf>
    <xf numFmtId="167" fontId="1" fillId="5" borderId="0" xfId="1" applyNumberFormat="1" applyFill="1" applyBorder="1" applyAlignment="1">
      <alignment horizontal="right"/>
    </xf>
    <xf numFmtId="167" fontId="0" fillId="5" borderId="0" xfId="0" applyNumberFormat="1" applyFill="1" applyBorder="1" applyAlignment="1">
      <alignment horizontal="right"/>
    </xf>
    <xf numFmtId="3" fontId="1" fillId="5" borderId="0" xfId="1" applyNumberFormat="1" applyFill="1" applyBorder="1" applyAlignment="1">
      <alignment horizontal="right"/>
    </xf>
    <xf numFmtId="168" fontId="1" fillId="5" borderId="0" xfId="4" applyNumberFormat="1" applyFill="1" applyBorder="1" applyAlignment="1">
      <alignment horizontal="right"/>
    </xf>
    <xf numFmtId="168" fontId="1" fillId="5" borderId="0" xfId="4" applyNumberFormat="1" applyFont="1" applyFill="1" applyBorder="1" applyAlignment="1">
      <alignment horizontal="right"/>
    </xf>
    <xf numFmtId="0" fontId="0" fillId="5" borderId="0" xfId="0" applyFill="1" applyBorder="1" applyAlignment="1">
      <alignment horizontal="right"/>
    </xf>
    <xf numFmtId="166" fontId="0" fillId="5" borderId="0" xfId="0" applyNumberFormat="1" applyFill="1" applyBorder="1" applyAlignment="1">
      <alignment horizontal="right"/>
    </xf>
    <xf numFmtId="164" fontId="1" fillId="5" borderId="0" xfId="4" applyNumberFormat="1" applyFont="1" applyFill="1" applyBorder="1" applyAlignment="1">
      <alignment horizontal="right"/>
    </xf>
    <xf numFmtId="0" fontId="21" fillId="5" borderId="0" xfId="0" applyFont="1" applyFill="1"/>
    <xf numFmtId="164" fontId="21" fillId="5" borderId="0" xfId="0" applyNumberFormat="1" applyFont="1" applyFill="1"/>
    <xf numFmtId="167" fontId="21" fillId="5" borderId="0" xfId="0" applyNumberFormat="1" applyFont="1" applyFill="1"/>
    <xf numFmtId="3" fontId="21" fillId="5" borderId="0" xfId="0" applyNumberFormat="1" applyFont="1" applyFill="1"/>
    <xf numFmtId="164" fontId="21" fillId="5" borderId="0" xfId="0" applyNumberFormat="1" applyFont="1" applyFill="1" applyAlignment="1">
      <alignment horizontal="center"/>
    </xf>
    <xf numFmtId="166" fontId="4" fillId="5" borderId="0" xfId="1" applyNumberFormat="1" applyFont="1" applyFill="1" applyBorder="1" applyAlignment="1">
      <alignment horizontal="right"/>
    </xf>
    <xf numFmtId="166" fontId="4" fillId="5" borderId="0" xfId="0" applyNumberFormat="1" applyFont="1" applyFill="1" applyBorder="1" applyAlignment="1">
      <alignment horizontal="right"/>
    </xf>
    <xf numFmtId="1" fontId="0" fillId="5" borderId="0" xfId="0" applyNumberFormat="1" applyFill="1"/>
    <xf numFmtId="167" fontId="1" fillId="5" borderId="0" xfId="0" applyNumberFormat="1" applyFont="1" applyFill="1" applyBorder="1" applyAlignment="1">
      <alignment horizontal="right"/>
    </xf>
    <xf numFmtId="0" fontId="19" fillId="5" borderId="0" xfId="0" applyFont="1" applyFill="1" applyBorder="1"/>
    <xf numFmtId="164" fontId="0" fillId="5" borderId="0" xfId="0" applyNumberFormat="1" applyFill="1"/>
    <xf numFmtId="167" fontId="0" fillId="5" borderId="0" xfId="0" applyNumberFormat="1" applyFill="1"/>
    <xf numFmtId="0" fontId="4" fillId="5" borderId="0" xfId="0" applyFont="1" applyFill="1"/>
    <xf numFmtId="167" fontId="1" fillId="5" borderId="0" xfId="0" applyNumberFormat="1" applyFont="1" applyFill="1"/>
    <xf numFmtId="164" fontId="1" fillId="5" borderId="0" xfId="0" applyNumberFormat="1" applyFont="1" applyFill="1"/>
    <xf numFmtId="0" fontId="1" fillId="5" borderId="0" xfId="0" applyFont="1" applyFill="1"/>
    <xf numFmtId="3" fontId="21" fillId="5" borderId="0" xfId="0" quotePrefix="1" applyNumberFormat="1" applyFont="1" applyFill="1"/>
    <xf numFmtId="3" fontId="0" fillId="5" borderId="0" xfId="0" applyNumberFormat="1" applyFill="1"/>
    <xf numFmtId="166" fontId="0" fillId="5" borderId="0" xfId="0" applyNumberFormat="1" applyFill="1"/>
    <xf numFmtId="165" fontId="0" fillId="5" borderId="0" xfId="0" applyNumberFormat="1" applyFill="1"/>
    <xf numFmtId="168" fontId="0" fillId="5" borderId="0" xfId="0" applyNumberFormat="1" applyFill="1"/>
    <xf numFmtId="166" fontId="1" fillId="5" borderId="0" xfId="1" applyNumberFormat="1" applyFill="1"/>
    <xf numFmtId="0" fontId="27" fillId="0" borderId="3" xfId="0" applyFont="1" applyBorder="1"/>
    <xf numFmtId="0" fontId="27" fillId="0" borderId="0" xfId="0" applyFont="1" applyBorder="1"/>
    <xf numFmtId="3" fontId="27" fillId="0" borderId="0" xfId="0" applyNumberFormat="1" applyFont="1" applyBorder="1" applyAlignment="1">
      <alignment horizontal="center"/>
    </xf>
    <xf numFmtId="0" fontId="27" fillId="0" borderId="0" xfId="0" applyFont="1" applyAlignment="1">
      <alignment horizontal="center"/>
    </xf>
    <xf numFmtId="167" fontId="27" fillId="0" borderId="0" xfId="0" applyNumberFormat="1" applyFont="1" applyBorder="1" applyAlignment="1">
      <alignment horizontal="center"/>
    </xf>
    <xf numFmtId="169" fontId="27" fillId="0" borderId="0" xfId="1" applyNumberFormat="1" applyFont="1" applyAlignment="1">
      <alignment horizontal="center"/>
    </xf>
    <xf numFmtId="3" fontId="27" fillId="0" borderId="0" xfId="0" applyNumberFormat="1" applyFont="1" applyAlignment="1">
      <alignment horizontal="center"/>
    </xf>
    <xf numFmtId="3" fontId="27" fillId="0" borderId="0" xfId="1" applyNumberFormat="1" applyFont="1" applyAlignment="1">
      <alignment horizontal="center"/>
    </xf>
    <xf numFmtId="3" fontId="27" fillId="0" borderId="0" xfId="1" applyNumberFormat="1" applyFont="1" applyBorder="1" applyAlignment="1">
      <alignment horizontal="center"/>
    </xf>
    <xf numFmtId="0" fontId="23" fillId="0" borderId="0" xfId="0" applyFont="1" applyBorder="1" applyAlignment="1">
      <alignment horizontal="center"/>
    </xf>
    <xf numFmtId="0" fontId="23" fillId="0" borderId="3" xfId="0" applyFont="1" applyBorder="1" applyAlignment="1">
      <alignment horizontal="center"/>
    </xf>
    <xf numFmtId="0" fontId="27" fillId="0" borderId="0" xfId="0" applyFont="1"/>
    <xf numFmtId="0" fontId="35" fillId="0" borderId="0" xfId="0" applyFont="1"/>
    <xf numFmtId="0" fontId="0" fillId="5" borderId="0" xfId="0" applyFill="1" applyAlignment="1">
      <alignment horizontal="center"/>
    </xf>
    <xf numFmtId="0" fontId="3" fillId="5" borderId="0" xfId="0" applyFont="1" applyFill="1" applyAlignment="1">
      <alignment horizontal="center"/>
    </xf>
    <xf numFmtId="0" fontId="3" fillId="5" borderId="0" xfId="0" applyFont="1" applyFill="1" applyBorder="1" applyAlignment="1">
      <alignment horizontal="center"/>
    </xf>
    <xf numFmtId="0" fontId="3" fillId="5" borderId="0" xfId="0" applyFont="1" applyFill="1" applyAlignment="1">
      <alignment horizontal="center" wrapText="1"/>
    </xf>
    <xf numFmtId="0" fontId="2" fillId="5" borderId="0" xfId="6" applyFill="1" applyAlignment="1" applyProtection="1">
      <alignment horizontal="center" wrapText="1"/>
    </xf>
    <xf numFmtId="0" fontId="2" fillId="5" borderId="0" xfId="6" applyFill="1" applyAlignment="1" applyProtection="1">
      <alignment horizontal="center"/>
    </xf>
    <xf numFmtId="0" fontId="3" fillId="5" borderId="8" xfId="0" applyFont="1" applyFill="1" applyBorder="1" applyAlignment="1">
      <alignment horizontal="center"/>
    </xf>
    <xf numFmtId="0" fontId="2" fillId="0" borderId="0" xfId="6" applyAlignment="1" applyProtection="1">
      <alignment horizontal="center"/>
    </xf>
    <xf numFmtId="0" fontId="2" fillId="0" borderId="0" xfId="6" applyFont="1" applyAlignment="1" applyProtection="1">
      <alignment horizontal="center"/>
    </xf>
    <xf numFmtId="0" fontId="17" fillId="0" borderId="0" xfId="0" applyFont="1" applyAlignment="1">
      <alignment horizontal="left" vertical="top" wrapText="1"/>
    </xf>
    <xf numFmtId="0" fontId="11" fillId="0" borderId="0" xfId="0" applyFont="1" applyAlignment="1">
      <alignment horizontal="left" vertical="top" wrapText="1"/>
    </xf>
    <xf numFmtId="49" fontId="12" fillId="0" borderId="0" xfId="0" applyNumberFormat="1" applyFont="1" applyAlignment="1">
      <alignment horizontal="center"/>
    </xf>
    <xf numFmtId="0" fontId="12" fillId="0" borderId="0" xfId="0" applyFont="1" applyAlignment="1">
      <alignment horizontal="center"/>
    </xf>
    <xf numFmtId="0" fontId="14" fillId="0" borderId="0" xfId="0" applyFont="1" applyBorder="1" applyAlignment="1">
      <alignment vertical="top" wrapText="1"/>
    </xf>
    <xf numFmtId="0" fontId="23" fillId="0" borderId="0" xfId="0" applyFont="1" applyBorder="1" applyAlignment="1">
      <alignment horizontal="center" wrapText="1"/>
    </xf>
    <xf numFmtId="0" fontId="23" fillId="0" borderId="0" xfId="0" applyFont="1" applyBorder="1" applyAlignment="1">
      <alignment horizontal="center"/>
    </xf>
    <xf numFmtId="0" fontId="23" fillId="0" borderId="3" xfId="0" applyFont="1" applyBorder="1" applyAlignment="1">
      <alignment horizontal="center"/>
    </xf>
    <xf numFmtId="0" fontId="23" fillId="0" borderId="3" xfId="0" applyFont="1" applyBorder="1" applyAlignment="1">
      <alignment horizontal="center" wrapText="1"/>
    </xf>
    <xf numFmtId="0" fontId="22" fillId="4" borderId="0" xfId="0" applyFont="1" applyFill="1" applyAlignment="1">
      <alignment horizontal="center"/>
    </xf>
    <xf numFmtId="0" fontId="22" fillId="4" borderId="0" xfId="0" applyFont="1" applyFill="1" applyBorder="1" applyAlignment="1">
      <alignment horizontal="center"/>
    </xf>
    <xf numFmtId="0" fontId="30" fillId="0" borderId="0" xfId="0" applyFont="1" applyBorder="1" applyAlignment="1">
      <alignment horizontal="left" vertical="center" wrapText="1"/>
    </xf>
    <xf numFmtId="0" fontId="30" fillId="0" borderId="0" xfId="0" applyFont="1" applyAlignment="1">
      <alignment horizontal="center" wrapText="1"/>
    </xf>
    <xf numFmtId="0" fontId="29" fillId="0" borderId="0" xfId="0" applyFont="1" applyBorder="1" applyAlignment="1">
      <alignment horizontal="left" vertical="center" wrapText="1"/>
    </xf>
    <xf numFmtId="0" fontId="28" fillId="0" borderId="0" xfId="0" applyFont="1" applyBorder="1" applyAlignment="1">
      <alignment horizontal="left" vertical="center" wrapText="1"/>
    </xf>
    <xf numFmtId="0" fontId="28" fillId="0" borderId="3" xfId="0" applyFont="1" applyBorder="1" applyAlignment="1">
      <alignment horizontal="left" vertical="center" wrapText="1"/>
    </xf>
    <xf numFmtId="0" fontId="26" fillId="2" borderId="6" xfId="0" applyFont="1" applyFill="1"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26" fillId="2" borderId="4" xfId="0" applyFont="1" applyFill="1" applyBorder="1" applyAlignment="1">
      <alignment horizontal="left"/>
    </xf>
    <xf numFmtId="0" fontId="26" fillId="2" borderId="9" xfId="0" applyFont="1" applyFill="1" applyBorder="1" applyAlignment="1">
      <alignment horizontal="left"/>
    </xf>
    <xf numFmtId="0" fontId="36" fillId="0" borderId="0" xfId="0" applyFont="1"/>
    <xf numFmtId="0" fontId="36" fillId="0" borderId="3" xfId="0" applyFont="1" applyBorder="1"/>
  </cellXfs>
  <cellStyles count="10">
    <cellStyle name="Comma" xfId="1" builtinId="3"/>
    <cellStyle name="Comma 2" xfId="2"/>
    <cellStyle name="Comma 3" xfId="3"/>
    <cellStyle name="Currency" xfId="4" builtinId="4"/>
    <cellStyle name="Currency 2" xfId="5"/>
    <cellStyle name="Hyperlink" xfId="6" builtinId="8"/>
    <cellStyle name="Hyperlink 2" xfId="7"/>
    <cellStyle name="Normal" xfId="0" builtinId="0"/>
    <cellStyle name="Normal 2" xfId="8"/>
    <cellStyle name="Normal 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wmf"/></Relationships>
</file>

<file path=xl/drawings/drawing1.xml><?xml version="1.0" encoding="utf-8"?>
<xdr:wsDr xmlns:xdr="http://schemas.openxmlformats.org/drawingml/2006/spreadsheetDrawing" xmlns:a="http://schemas.openxmlformats.org/drawingml/2006/main">
  <xdr:twoCellAnchor editAs="oneCell">
    <xdr:from>
      <xdr:col>73</xdr:col>
      <xdr:colOff>352425</xdr:colOff>
      <xdr:row>118</xdr:row>
      <xdr:rowOff>28575</xdr:rowOff>
    </xdr:from>
    <xdr:to>
      <xdr:col>81</xdr:col>
      <xdr:colOff>333374</xdr:colOff>
      <xdr:row>160</xdr:row>
      <xdr:rowOff>47625</xdr:rowOff>
    </xdr:to>
    <xdr:sp macro="" textlink="">
      <xdr:nvSpPr>
        <xdr:cNvPr id="1025" name="Text Box 1"/>
        <xdr:cNvSpPr txBox="1">
          <a:spLocks noChangeArrowheads="1"/>
        </xdr:cNvSpPr>
      </xdr:nvSpPr>
      <xdr:spPr bwMode="auto">
        <a:xfrm>
          <a:off x="42672000" y="21145500"/>
          <a:ext cx="4400550" cy="68199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a:cs typeface="Times New Roman"/>
            </a:rPr>
            <a:t>#6  K12 Enrollment:</a:t>
          </a:r>
        </a:p>
        <a:p>
          <a:pPr algn="l" rtl="0">
            <a:defRPr sz="1000"/>
          </a:pPr>
          <a:r>
            <a:rPr lang="en-US" sz="1000" b="0" i="0" u="none" strike="noStrike" baseline="0">
              <a:solidFill>
                <a:srgbClr val="000000"/>
              </a:solidFill>
              <a:latin typeface="Times New Roman"/>
              <a:cs typeface="Times New Roman"/>
            </a:rPr>
            <a:t>Included in these counts are students who were enrolled over October 1 of the school year. Only grade Kindergarten through grade 12 are included in the counts. </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Excluded from the counts are shared-time students, adult students, and students attending in other states or nonpublic schools for care and treatment purposes. (In the MARSS reporting system, these are students with State Aid Categories of 14, 16, 17, 18, 24, 25, 28, 98). Dual enrolled students are counted only once, usually at the regular school of enrollment.</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#11 PK12 Enrollment:</a:t>
          </a:r>
        </a:p>
        <a:p>
          <a:pPr algn="l" rtl="0">
            <a:defRPr sz="1000"/>
          </a:pPr>
          <a:r>
            <a:rPr lang="en-US" sz="1000" b="0" i="0" u="none" strike="noStrike" baseline="0">
              <a:solidFill>
                <a:srgbClr val="000000"/>
              </a:solidFill>
              <a:latin typeface="Times New Roman"/>
              <a:cs typeface="Times New Roman"/>
            </a:rPr>
            <a:t>Included in these counts are students who were enrolled over October 1 of the school year. Grade Pre-kindergarten through grade 12 are included in the counts.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Excluded from the counts are shared-time students, adult students, and students attending in other states or nonpublic schools for care and treatment purposes. (In the MARSS reporting system, these are students with State Aid Categories of 14, 16, 17, 18, 24, 25,</a:t>
          </a:r>
        </a:p>
        <a:p>
          <a:pPr algn="l" rtl="0">
            <a:defRPr sz="1000"/>
          </a:pPr>
          <a:r>
            <a:rPr lang="en-US" sz="1000" b="0" i="0" u="none" strike="noStrike" baseline="0">
              <a:solidFill>
                <a:srgbClr val="000000"/>
              </a:solidFill>
              <a:latin typeface="Times New Roman"/>
              <a:cs typeface="Times New Roman"/>
            </a:rPr>
            <a:t> 28, 98). Dual enrolled students are counted only once, usually at the regular school of enrollment.</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#12 PK12 Free Meal Eligible</a:t>
          </a:r>
        </a:p>
        <a:p>
          <a:pPr algn="l" rtl="0">
            <a:defRPr sz="1000"/>
          </a:pPr>
          <a:r>
            <a:rPr lang="en-US" sz="1000" b="0" i="0" u="none" strike="noStrike" baseline="0">
              <a:solidFill>
                <a:srgbClr val="000000"/>
              </a:solidFill>
              <a:latin typeface="Times New Roman"/>
              <a:cs typeface="Times New Roman"/>
            </a:rPr>
            <a:t>The number of Grade PK12 students eligible to participate in the Free Lunch Program enrolled over October 1 of the school year.</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#13 PK12 Reduced Priced Meal Eligible</a:t>
          </a:r>
        </a:p>
        <a:p>
          <a:pPr algn="l" rtl="0">
            <a:defRPr sz="1000"/>
          </a:pPr>
          <a:r>
            <a:rPr lang="en-US" sz="1000" b="0" i="0" u="none" strike="noStrike" baseline="0">
              <a:solidFill>
                <a:srgbClr val="000000"/>
              </a:solidFill>
              <a:latin typeface="Times New Roman"/>
              <a:cs typeface="Times New Roman"/>
            </a:rPr>
            <a:t>The number of Grade PK12 students eligible to participate in the Reduced Priced Lunch Program enrolled over October 1 of the school year.</a:t>
          </a:r>
        </a:p>
        <a:p>
          <a:pPr algn="l" rtl="0">
            <a:defRPr sz="1000"/>
          </a:pPr>
          <a:r>
            <a:rPr lang="en-US" sz="1000" b="0" i="0" u="none" strike="noStrike" baseline="0">
              <a:solidFill>
                <a:srgbClr val="000000"/>
              </a:solidFill>
              <a:latin typeface="Times New Roman"/>
              <a:cs typeface="Times New Roman"/>
            </a:rPr>
            <a:t> </a:t>
          </a:r>
        </a:p>
        <a:p>
          <a:pPr algn="l" rtl="0">
            <a:defRPr sz="1000"/>
          </a:pPr>
          <a:r>
            <a:rPr lang="en-US" sz="1000" b="0" i="0" u="none" strike="noStrike" baseline="0">
              <a:solidFill>
                <a:srgbClr val="000000"/>
              </a:solidFill>
              <a:latin typeface="Times New Roman"/>
              <a:cs typeface="Times New Roman"/>
            </a:rPr>
            <a:t>#14 PK12 Limited English Proficient</a:t>
          </a:r>
        </a:p>
        <a:p>
          <a:pPr algn="l" rtl="0">
            <a:defRPr sz="1000"/>
          </a:pPr>
          <a:r>
            <a:rPr lang="en-US" sz="1000" b="0" i="0" u="none" strike="noStrike" baseline="0">
              <a:solidFill>
                <a:srgbClr val="000000"/>
              </a:solidFill>
              <a:latin typeface="Times New Roman"/>
              <a:cs typeface="Times New Roman"/>
            </a:rPr>
            <a:t>The number of Grade PK12 students participating in a Limited English Proficient program enrolled over October 1 of the school year.</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0" i="0" u="none" strike="noStrike" baseline="0">
              <a:solidFill>
                <a:srgbClr val="000000"/>
              </a:solidFill>
              <a:latin typeface="Times New Roman"/>
              <a:cs typeface="Times New Roman"/>
            </a:rPr>
            <a:t>#15 PK12 Special Education</a:t>
          </a:r>
        </a:p>
        <a:p>
          <a:pPr algn="l" rtl="0">
            <a:defRPr sz="1000"/>
          </a:pPr>
          <a:r>
            <a:rPr lang="en-US" sz="1000" b="0" i="0" u="none" strike="noStrike" baseline="0">
              <a:solidFill>
                <a:srgbClr val="000000"/>
              </a:solidFill>
              <a:latin typeface="Times New Roman"/>
              <a:cs typeface="Times New Roman"/>
            </a:rPr>
            <a:t>The number of Grade PK12 students participating in a Special Education program enrolled over October 1 of the school year.</a:t>
          </a:r>
        </a:p>
        <a:p>
          <a:pPr algn="l" rtl="0">
            <a:defRPr sz="1000"/>
          </a:pP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171450</xdr:colOff>
      <xdr:row>41</xdr:row>
      <xdr:rowOff>0</xdr:rowOff>
    </xdr:from>
    <xdr:to>
      <xdr:col>5</xdr:col>
      <xdr:colOff>247650</xdr:colOff>
      <xdr:row>42</xdr:row>
      <xdr:rowOff>38099</xdr:rowOff>
    </xdr:to>
    <xdr:sp macro="" textlink="">
      <xdr:nvSpPr>
        <xdr:cNvPr id="3" name="Text Box 20"/>
        <xdr:cNvSpPr txBox="1">
          <a:spLocks noChangeArrowheads="1"/>
        </xdr:cNvSpPr>
      </xdr:nvSpPr>
      <xdr:spPr bwMode="auto">
        <a:xfrm>
          <a:off x="2838450" y="8353425"/>
          <a:ext cx="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38099</xdr:colOff>
      <xdr:row>2</xdr:row>
      <xdr:rowOff>142874</xdr:rowOff>
    </xdr:from>
    <xdr:to>
      <xdr:col>11</xdr:col>
      <xdr:colOff>324970</xdr:colOff>
      <xdr:row>11</xdr:row>
      <xdr:rowOff>123824</xdr:rowOff>
    </xdr:to>
    <xdr:sp macro="" textlink="">
      <xdr:nvSpPr>
        <xdr:cNvPr id="6" name="Text Box 37"/>
        <xdr:cNvSpPr txBox="1">
          <a:spLocks noChangeArrowheads="1"/>
        </xdr:cNvSpPr>
      </xdr:nvSpPr>
      <xdr:spPr bwMode="auto">
        <a:xfrm>
          <a:off x="38099" y="542924"/>
          <a:ext cx="6154271" cy="19335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54864" bIns="0" anchor="t" upright="1"/>
        <a:lstStyle/>
        <a:p>
          <a:pPr algn="r" rtl="0">
            <a:defRPr sz="1000"/>
          </a:pPr>
          <a:r>
            <a:rPr lang="en-US" sz="2200" b="0" i="0" u="none" strike="noStrike" baseline="0">
              <a:solidFill>
                <a:srgbClr val="000000"/>
              </a:solidFill>
              <a:latin typeface="Eras Demi ITC"/>
            </a:rPr>
            <a:t>Minnesota </a:t>
          </a:r>
        </a:p>
        <a:p>
          <a:pPr algn="r" rtl="0">
            <a:defRPr sz="1000"/>
          </a:pPr>
          <a:r>
            <a:rPr lang="en-US" sz="2200" b="0" i="0" u="none" strike="noStrike" baseline="0">
              <a:solidFill>
                <a:srgbClr val="000000"/>
              </a:solidFill>
              <a:latin typeface="Eras Demi ITC"/>
            </a:rPr>
            <a:t>State, County, and Community Health Board </a:t>
          </a:r>
        </a:p>
        <a:p>
          <a:pPr algn="r" rtl="0">
            <a:defRPr sz="1000"/>
          </a:pPr>
          <a:r>
            <a:rPr lang="en-US" sz="2200" b="0" i="0" u="none" strike="noStrike" baseline="0">
              <a:solidFill>
                <a:srgbClr val="000000"/>
              </a:solidFill>
              <a:latin typeface="Eras Demi ITC"/>
              <a:ea typeface="+mn-ea"/>
              <a:cs typeface="+mn-cs"/>
            </a:rPr>
            <a:t>Vital Statistics </a:t>
          </a:r>
          <a:r>
            <a:rPr lang="en-US" sz="2200" b="0" i="0" u="none" strike="noStrike" baseline="0">
              <a:solidFill>
                <a:srgbClr val="000000"/>
              </a:solidFill>
              <a:latin typeface="Eras Demi ITC"/>
            </a:rPr>
            <a:t>Trend Report 1991-2010</a:t>
          </a:r>
        </a:p>
      </xdr:txBody>
    </xdr:sp>
    <xdr:clientData/>
  </xdr:twoCellAnchor>
  <xdr:twoCellAnchor>
    <xdr:from>
      <xdr:col>6</xdr:col>
      <xdr:colOff>95250</xdr:colOff>
      <xdr:row>118</xdr:row>
      <xdr:rowOff>85725</xdr:rowOff>
    </xdr:from>
    <xdr:to>
      <xdr:col>7</xdr:col>
      <xdr:colOff>0</xdr:colOff>
      <xdr:row>118</xdr:row>
      <xdr:rowOff>85725</xdr:rowOff>
    </xdr:to>
    <xdr:sp macro="" textlink="">
      <xdr:nvSpPr>
        <xdr:cNvPr id="7" name="Line 55"/>
        <xdr:cNvSpPr>
          <a:spLocks noChangeShapeType="1"/>
        </xdr:cNvSpPr>
      </xdr:nvSpPr>
      <xdr:spPr bwMode="auto">
        <a:xfrm>
          <a:off x="3295650" y="78943200"/>
          <a:ext cx="438150" cy="0"/>
        </a:xfrm>
        <a:prstGeom prst="line">
          <a:avLst/>
        </a:prstGeom>
        <a:noFill/>
        <a:ln w="5715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twoCellAnchor>
    <xdr:from>
      <xdr:col>19</xdr:col>
      <xdr:colOff>95250</xdr:colOff>
      <xdr:row>80</xdr:row>
      <xdr:rowOff>85725</xdr:rowOff>
    </xdr:from>
    <xdr:to>
      <xdr:col>20</xdr:col>
      <xdr:colOff>0</xdr:colOff>
      <xdr:row>80</xdr:row>
      <xdr:rowOff>85725</xdr:rowOff>
    </xdr:to>
    <xdr:sp macro="" textlink="">
      <xdr:nvSpPr>
        <xdr:cNvPr id="8" name="Line 56"/>
        <xdr:cNvSpPr>
          <a:spLocks noChangeShapeType="1"/>
        </xdr:cNvSpPr>
      </xdr:nvSpPr>
      <xdr:spPr bwMode="auto">
        <a:xfrm>
          <a:off x="10229850" y="72790050"/>
          <a:ext cx="438150" cy="0"/>
        </a:xfrm>
        <a:prstGeom prst="line">
          <a:avLst/>
        </a:prstGeom>
        <a:noFill/>
        <a:ln w="57150">
          <a:solidFill>
            <a:srgbClr xmlns:mc="http://schemas.openxmlformats.org/markup-compatibility/2006" xmlns:a14="http://schemas.microsoft.com/office/drawing/2010/main" val="000000" mc:Ignorable="a14" a14:legacySpreadsheetColorIndex="64"/>
          </a:solidFill>
          <a:round/>
          <a:headEnd/>
          <a:tailEnd type="stealth"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304800</xdr:colOff>
      <xdr:row>20</xdr:row>
      <xdr:rowOff>800100</xdr:rowOff>
    </xdr:from>
    <xdr:to>
      <xdr:col>5</xdr:col>
      <xdr:colOff>76200</xdr:colOff>
      <xdr:row>20</xdr:row>
      <xdr:rowOff>2171700</xdr:rowOff>
    </xdr:to>
    <xdr:sp macro="" textlink="">
      <xdr:nvSpPr>
        <xdr:cNvPr id="5126" name="Text Box 6"/>
        <xdr:cNvSpPr txBox="1">
          <a:spLocks noChangeArrowheads="1"/>
        </xdr:cNvSpPr>
      </xdr:nvSpPr>
      <xdr:spPr bwMode="auto">
        <a:xfrm>
          <a:off x="1371600" y="19602450"/>
          <a:ext cx="1371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US" sz="1200" b="0" i="0" u="none" strike="noStrike" baseline="0">
              <a:solidFill>
                <a:srgbClr val="000000"/>
              </a:solidFill>
              <a:latin typeface="Tahoma"/>
              <a:cs typeface="Tahoma"/>
            </a:rPr>
            <a:t> </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I</a:t>
          </a:r>
          <a:r>
            <a:rPr lang="en-US" sz="900" b="0" i="0" u="none" strike="noStrike" baseline="0">
              <a:solidFill>
                <a:srgbClr val="000000"/>
              </a:solidFill>
              <a:latin typeface="Tahoma"/>
              <a:cs typeface="Tahoma"/>
            </a:rPr>
            <a:t>nsert…</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D</a:t>
          </a:r>
          <a:r>
            <a:rPr lang="en-US" sz="900" b="0" i="0" u="none" strike="noStrike" baseline="0">
              <a:solidFill>
                <a:srgbClr val="000000"/>
              </a:solidFill>
              <a:latin typeface="Tahoma"/>
              <a:cs typeface="Tahoma"/>
            </a:rPr>
            <a:t>elete</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R</a:t>
          </a:r>
          <a:r>
            <a:rPr lang="en-US" sz="900" b="0" i="0" u="none" strike="noStrike" baseline="0">
              <a:solidFill>
                <a:srgbClr val="000000"/>
              </a:solidFill>
              <a:latin typeface="Tahoma"/>
              <a:cs typeface="Tahoma"/>
            </a:rPr>
            <a:t>ename</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M</a:t>
          </a:r>
          <a:r>
            <a:rPr lang="en-US" sz="900" b="0" i="0" u="none" strike="noStrike" baseline="0">
              <a:solidFill>
                <a:srgbClr val="000000"/>
              </a:solidFill>
              <a:latin typeface="Tahoma"/>
              <a:cs typeface="Tahoma"/>
            </a:rPr>
            <a:t>ove or Copy…</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S</a:t>
          </a:r>
          <a:r>
            <a:rPr lang="en-US" sz="900" b="0" i="0" u="none" strike="noStrike" baseline="0">
              <a:solidFill>
                <a:srgbClr val="000000"/>
              </a:solidFill>
              <a:latin typeface="Tahoma"/>
              <a:cs typeface="Tahoma"/>
            </a:rPr>
            <a:t>elect All Sheets</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T</a:t>
          </a:r>
          <a:r>
            <a:rPr lang="en-US" sz="900" b="0" i="0" u="none" strike="noStrike" baseline="0">
              <a:solidFill>
                <a:srgbClr val="000000"/>
              </a:solidFill>
              <a:latin typeface="Tahoma"/>
              <a:cs typeface="Tahoma"/>
            </a:rPr>
            <a:t>ab Color …</a:t>
          </a:r>
          <a:endParaRPr lang="en-US" sz="1200" b="0" i="0" u="none" strike="noStrike" baseline="0">
            <a:solidFill>
              <a:srgbClr val="000000"/>
            </a:solidFill>
            <a:latin typeface="Times New Roman"/>
            <a:cs typeface="Times New Roman"/>
          </a:endParaRPr>
        </a:p>
        <a:p>
          <a:pPr algn="l" rtl="0">
            <a:defRPr sz="1000"/>
          </a:pPr>
          <a:r>
            <a:rPr lang="en-US" sz="900" b="0" i="0" u="sng" strike="noStrike" baseline="0">
              <a:solidFill>
                <a:srgbClr val="000000"/>
              </a:solidFill>
              <a:latin typeface="Tahoma"/>
              <a:cs typeface="Tahoma"/>
            </a:rPr>
            <a:t>V</a:t>
          </a:r>
          <a:r>
            <a:rPr lang="en-US" sz="900" b="0" i="0" u="none" strike="noStrike" baseline="0">
              <a:solidFill>
                <a:srgbClr val="000000"/>
              </a:solidFill>
              <a:latin typeface="Tahoma"/>
              <a:cs typeface="Tahoma"/>
            </a:rPr>
            <a:t>iew Code</a:t>
          </a:r>
          <a:endParaRPr lang="en-US" sz="1200" b="0" i="0" u="none" strike="noStrike" baseline="0">
            <a:solidFill>
              <a:srgbClr val="000000"/>
            </a:solidFill>
            <a:latin typeface="Times New Roman"/>
            <a:cs typeface="Times New Roman"/>
          </a:endParaRPr>
        </a:p>
        <a:p>
          <a:pPr algn="l" rtl="0">
            <a:defRPr sz="1000"/>
          </a:pPr>
          <a:r>
            <a:rPr lang="en-US" sz="1200" b="0" i="0" u="none" strike="noStrike" baseline="0">
              <a:solidFill>
                <a:srgbClr val="000000"/>
              </a:solidFill>
              <a:latin typeface="Times New Roman"/>
              <a:cs typeface="Times New Roman"/>
            </a:rPr>
            <a:t> </a:t>
          </a:r>
        </a:p>
      </xdr:txBody>
    </xdr:sp>
    <xdr:clientData/>
  </xdr:twoCellAnchor>
  <xdr:twoCellAnchor editAs="oneCell">
    <xdr:from>
      <xdr:col>5</xdr:col>
      <xdr:colOff>171450</xdr:colOff>
      <xdr:row>5</xdr:row>
      <xdr:rowOff>0</xdr:rowOff>
    </xdr:from>
    <xdr:to>
      <xdr:col>5</xdr:col>
      <xdr:colOff>247650</xdr:colOff>
      <xdr:row>6</xdr:row>
      <xdr:rowOff>38099</xdr:rowOff>
    </xdr:to>
    <xdr:sp macro="" textlink="">
      <xdr:nvSpPr>
        <xdr:cNvPr id="80338" name="Text Box 20"/>
        <xdr:cNvSpPr txBox="1">
          <a:spLocks noChangeArrowheads="1"/>
        </xdr:cNvSpPr>
      </xdr:nvSpPr>
      <xdr:spPr bwMode="auto">
        <a:xfrm>
          <a:off x="2838450" y="942022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0</xdr:colOff>
      <xdr:row>8</xdr:row>
      <xdr:rowOff>57151</xdr:rowOff>
    </xdr:from>
    <xdr:to>
      <xdr:col>9</xdr:col>
      <xdr:colOff>476250</xdr:colOff>
      <xdr:row>11</xdr:row>
      <xdr:rowOff>133349</xdr:rowOff>
    </xdr:to>
    <xdr:sp macro="" textlink="">
      <xdr:nvSpPr>
        <xdr:cNvPr id="5141" name="Text Box 21"/>
        <xdr:cNvSpPr txBox="1">
          <a:spLocks noChangeArrowheads="1"/>
        </xdr:cNvSpPr>
      </xdr:nvSpPr>
      <xdr:spPr bwMode="auto">
        <a:xfrm>
          <a:off x="0" y="1733551"/>
          <a:ext cx="5276850" cy="6762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0" i="0" u="none" strike="noStrike" baseline="0">
              <a:solidFill>
                <a:srgbClr val="000000"/>
              </a:solidFill>
              <a:latin typeface="Tw Cen MT" pitchFamily="34" charset="0"/>
            </a:rPr>
            <a:t>The following provides instructions on how to select counties and community health boards (CHB), how to save a copy for your own use, and how to remove data protection. </a:t>
          </a: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clientData/>
  </xdr:twoCellAnchor>
  <xdr:twoCellAnchor editAs="oneCell">
    <xdr:from>
      <xdr:col>0</xdr:col>
      <xdr:colOff>0</xdr:colOff>
      <xdr:row>11</xdr:row>
      <xdr:rowOff>194982</xdr:rowOff>
    </xdr:from>
    <xdr:to>
      <xdr:col>9</xdr:col>
      <xdr:colOff>476250</xdr:colOff>
      <xdr:row>16</xdr:row>
      <xdr:rowOff>179294</xdr:rowOff>
    </xdr:to>
    <xdr:sp macro="" textlink="">
      <xdr:nvSpPr>
        <xdr:cNvPr id="5142" name="Text Box 22"/>
        <xdr:cNvSpPr txBox="1">
          <a:spLocks noChangeArrowheads="1"/>
        </xdr:cNvSpPr>
      </xdr:nvSpPr>
      <xdr:spPr bwMode="auto">
        <a:xfrm>
          <a:off x="0" y="10997453"/>
          <a:ext cx="5317191" cy="9368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Tw Cen MT" pitchFamily="34" charset="0"/>
            </a:rPr>
            <a:t>Selecting Counties and/or Community Health Boards (CHB)</a:t>
          </a:r>
          <a:endParaRPr lang="en-US" sz="1200" b="0" i="0" u="sng" strike="noStrike" baseline="0">
            <a:solidFill>
              <a:srgbClr val="000000"/>
            </a:solidFill>
            <a:latin typeface="Tw Cen MT" pitchFamily="34" charset="0"/>
          </a:endParaRPr>
        </a:p>
        <a:p>
          <a:pPr algn="l" rtl="0">
            <a:defRPr sz="1000"/>
          </a:pPr>
          <a:r>
            <a:rPr lang="en-US" sz="1200" b="0" i="1" u="none" strike="noStrike" baseline="0">
              <a:solidFill>
                <a:srgbClr val="000000"/>
              </a:solidFill>
              <a:latin typeface="Tw Cen MT" pitchFamily="34" charset="0"/>
            </a:rPr>
            <a:t>Trends </a:t>
          </a:r>
          <a:r>
            <a:rPr lang="en-US" sz="1200" b="0" i="0" u="none" strike="noStrike" baseline="0">
              <a:solidFill>
                <a:srgbClr val="000000"/>
              </a:solidFill>
              <a:latin typeface="Tw Cen MT" pitchFamily="34" charset="0"/>
            </a:rPr>
            <a:t>is a nine page report that allows you to compare up to six counties and/or CHBs at once.  When you first open up the Trends worksheet, no counties or CHBs have been selected.   You will see six yellow boxes with "None" selected in each box (Figure 1).</a:t>
          </a: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clientData/>
  </xdr:twoCellAnchor>
  <xdr:twoCellAnchor>
    <xdr:from>
      <xdr:col>0</xdr:col>
      <xdr:colOff>4482</xdr:colOff>
      <xdr:row>0</xdr:row>
      <xdr:rowOff>75639</xdr:rowOff>
    </xdr:from>
    <xdr:to>
      <xdr:col>9</xdr:col>
      <xdr:colOff>476250</xdr:colOff>
      <xdr:row>5</xdr:row>
      <xdr:rowOff>0</xdr:rowOff>
    </xdr:to>
    <xdr:sp macro="" textlink="">
      <xdr:nvSpPr>
        <xdr:cNvPr id="5157" name="Text Box 37"/>
        <xdr:cNvSpPr txBox="1">
          <a:spLocks noChangeArrowheads="1"/>
        </xdr:cNvSpPr>
      </xdr:nvSpPr>
      <xdr:spPr bwMode="auto">
        <a:xfrm>
          <a:off x="4482" y="75639"/>
          <a:ext cx="5272368" cy="103878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41148" rIns="54864" bIns="0" anchor="t" upright="1"/>
        <a:lstStyle/>
        <a:p>
          <a:pPr algn="l" rtl="0">
            <a:defRPr sz="1000"/>
          </a:pPr>
          <a:r>
            <a:rPr lang="en-US" sz="2200" b="0" i="0" u="none" strike="noStrike" baseline="0">
              <a:solidFill>
                <a:srgbClr val="000000"/>
              </a:solidFill>
              <a:latin typeface="Eras Demi ITC"/>
            </a:rPr>
            <a:t>Minnesota State, County, and Community Health Board </a:t>
          </a:r>
        </a:p>
        <a:p>
          <a:pPr algn="l" rtl="0">
            <a:defRPr sz="1000"/>
          </a:pPr>
          <a:r>
            <a:rPr lang="en-US" sz="2200" b="0" i="0" u="none" strike="noStrike" baseline="0">
              <a:solidFill>
                <a:srgbClr val="000000"/>
              </a:solidFill>
              <a:latin typeface="Eras Demi ITC"/>
              <a:ea typeface="+mn-ea"/>
              <a:cs typeface="+mn-cs"/>
            </a:rPr>
            <a:t>Vital Statistics </a:t>
          </a:r>
          <a:r>
            <a:rPr lang="en-US" sz="2200" b="0" i="0" u="none" strike="noStrike" baseline="0">
              <a:solidFill>
                <a:srgbClr val="000000"/>
              </a:solidFill>
              <a:latin typeface="Eras Demi ITC"/>
            </a:rPr>
            <a:t>Trend Report 1991-2010</a:t>
          </a:r>
        </a:p>
      </xdr:txBody>
    </xdr:sp>
    <xdr:clientData/>
  </xdr:twoCellAnchor>
  <xdr:oneCellAnchor>
    <xdr:from>
      <xdr:col>0</xdr:col>
      <xdr:colOff>33616</xdr:colOff>
      <xdr:row>34</xdr:row>
      <xdr:rowOff>89647</xdr:rowOff>
    </xdr:from>
    <xdr:ext cx="5109883" cy="1097608"/>
    <xdr:sp macro="" textlink="">
      <xdr:nvSpPr>
        <xdr:cNvPr id="2" name="TextBox 1"/>
        <xdr:cNvSpPr txBox="1"/>
      </xdr:nvSpPr>
      <xdr:spPr>
        <a:xfrm>
          <a:off x="33616" y="15430500"/>
          <a:ext cx="5109883" cy="1097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1200" b="0" i="0" u="none" strike="noStrike" baseline="0">
              <a:solidFill>
                <a:srgbClr val="000000"/>
              </a:solidFill>
              <a:latin typeface="Tw Cen MT" pitchFamily="34" charset="0"/>
              <a:ea typeface="+mn-ea"/>
              <a:cs typeface="Tahoma" pitchFamily="34" charset="0"/>
            </a:rPr>
            <a:t>To select a county or CHB, click on the first yellow box.  When you click on that box, an arrow will appear in the right hand corner of that cell. (Figure 2)  Click on that arrow for an alphabetical listing of all counties and CHBs (</a:t>
          </a:r>
          <a:r>
            <a:rPr lang="en-US" sz="1200" b="0" i="0" baseline="0">
              <a:solidFill>
                <a:schemeClr val="tx1"/>
              </a:solidFill>
              <a:effectLst/>
              <a:latin typeface="Tw Cen MT" pitchFamily="34" charset="0"/>
              <a:ea typeface="+mn-ea"/>
              <a:cs typeface="Tahoma" pitchFamily="34" charset="0"/>
            </a:rPr>
            <a:t>CHBs are located at the end of the list); </a:t>
          </a:r>
          <a:r>
            <a:rPr lang="en-US" sz="1200" b="0" i="0" u="none" strike="noStrike" baseline="0">
              <a:solidFill>
                <a:srgbClr val="000000"/>
              </a:solidFill>
              <a:latin typeface="Tw Cen MT" pitchFamily="34" charset="0"/>
              <a:ea typeface="+mn-ea"/>
              <a:cs typeface="Tahoma" pitchFamily="34" charset="0"/>
            </a:rPr>
            <a:t>scroll down and click the county or CHB of your choice. Repeat this for the remaining five yellow boxes.  You do not have to select a county or CHB for all six boxes (you can leave "None" in these boxes).  </a:t>
          </a:r>
          <a:endParaRPr lang="en-US" sz="1200">
            <a:effectLst/>
            <a:latin typeface="Tw Cen MT" pitchFamily="34" charset="0"/>
            <a:cs typeface="Tahoma" pitchFamily="34" charset="0"/>
          </a:endParaRPr>
        </a:p>
      </xdr:txBody>
    </xdr:sp>
    <xdr:clientData/>
  </xdr:oneCellAnchor>
  <xdr:twoCellAnchor>
    <xdr:from>
      <xdr:col>0</xdr:col>
      <xdr:colOff>0</xdr:colOff>
      <xdr:row>17</xdr:row>
      <xdr:rowOff>22412</xdr:rowOff>
    </xdr:from>
    <xdr:to>
      <xdr:col>7</xdr:col>
      <xdr:colOff>457200</xdr:colOff>
      <xdr:row>33</xdr:row>
      <xdr:rowOff>156884</xdr:rowOff>
    </xdr:to>
    <xdr:grpSp>
      <xdr:nvGrpSpPr>
        <xdr:cNvPr id="4" name="Group 3"/>
        <xdr:cNvGrpSpPr/>
      </xdr:nvGrpSpPr>
      <xdr:grpSpPr>
        <a:xfrm>
          <a:off x="0" y="3451412"/>
          <a:ext cx="4191000" cy="3296772"/>
          <a:chOff x="0" y="12337676"/>
          <a:chExt cx="4222376" cy="3316943"/>
        </a:xfrm>
      </xdr:grpSpPr>
      <xdr:pic>
        <xdr:nvPicPr>
          <xdr:cNvPr id="49" name="Picture 48"/>
          <xdr:cNvPicPr/>
        </xdr:nvPicPr>
        <xdr:blipFill rotWithShape="1">
          <a:blip xmlns:r="http://schemas.openxmlformats.org/officeDocument/2006/relationships" r:embed="rId1"/>
          <a:srcRect t="33810" r="34027" b="4"/>
          <a:stretch/>
        </xdr:blipFill>
        <xdr:spPr bwMode="auto">
          <a:xfrm>
            <a:off x="0" y="12678336"/>
            <a:ext cx="4222376" cy="2976283"/>
          </a:xfrm>
          <a:prstGeom prst="rect">
            <a:avLst/>
          </a:prstGeom>
          <a:ln>
            <a:noFill/>
          </a:ln>
          <a:extLst>
            <a:ext uri="{53640926-AAD7-44D8-BBD7-CCE9431645EC}">
              <a14:shadowObscured xmlns:a14="http://schemas.microsoft.com/office/drawing/2010/main"/>
            </a:ext>
          </a:extLst>
        </xdr:spPr>
      </xdr:pic>
      <xdr:sp macro="" textlink="">
        <xdr:nvSpPr>
          <xdr:cNvPr id="3" name="TextBox 2"/>
          <xdr:cNvSpPr txBox="1"/>
        </xdr:nvSpPr>
        <xdr:spPr>
          <a:xfrm>
            <a:off x="22412" y="12337676"/>
            <a:ext cx="745910" cy="259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b="1">
                <a:latin typeface="Tw Cen MT" pitchFamily="34" charset="0"/>
              </a:rPr>
              <a:t>Figure 1:</a:t>
            </a:r>
          </a:p>
        </xdr:txBody>
      </xdr:sp>
    </xdr:grpSp>
    <xdr:clientData/>
  </xdr:twoCellAnchor>
  <xdr:twoCellAnchor editAs="oneCell">
    <xdr:from>
      <xdr:col>0</xdr:col>
      <xdr:colOff>104775</xdr:colOff>
      <xdr:row>42</xdr:row>
      <xdr:rowOff>54908</xdr:rowOff>
    </xdr:from>
    <xdr:to>
      <xdr:col>7</xdr:col>
      <xdr:colOff>463364</xdr:colOff>
      <xdr:row>56</xdr:row>
      <xdr:rowOff>21290</xdr:rowOff>
    </xdr:to>
    <xdr:pic>
      <xdr:nvPicPr>
        <xdr:cNvPr id="53" name="Picture 52"/>
        <xdr:cNvPicPr/>
      </xdr:nvPicPr>
      <xdr:blipFill rotWithShape="1">
        <a:blip xmlns:r="http://schemas.openxmlformats.org/officeDocument/2006/relationships" r:embed="rId2"/>
        <a:srcRect t="52760" r="47048"/>
        <a:stretch/>
      </xdr:blipFill>
      <xdr:spPr bwMode="auto">
        <a:xfrm>
          <a:off x="104775" y="8408333"/>
          <a:ext cx="4092389" cy="2766732"/>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40</xdr:row>
      <xdr:rowOff>78441</xdr:rowOff>
    </xdr:from>
    <xdr:to>
      <xdr:col>1</xdr:col>
      <xdr:colOff>290102</xdr:colOff>
      <xdr:row>42</xdr:row>
      <xdr:rowOff>31348</xdr:rowOff>
    </xdr:to>
    <xdr:sp macro="" textlink="">
      <xdr:nvSpPr>
        <xdr:cNvPr id="54" name="TextBox 53"/>
        <xdr:cNvSpPr txBox="1"/>
      </xdr:nvSpPr>
      <xdr:spPr>
        <a:xfrm>
          <a:off x="0" y="8090647"/>
          <a:ext cx="827984" cy="3114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latin typeface="Tw Cen MT" pitchFamily="34" charset="0"/>
            </a:rPr>
            <a:t>Figure 2:</a:t>
          </a:r>
        </a:p>
      </xdr:txBody>
    </xdr:sp>
    <xdr:clientData/>
  </xdr:twoCellAnchor>
  <xdr:twoCellAnchor>
    <xdr:from>
      <xdr:col>0</xdr:col>
      <xdr:colOff>11093</xdr:colOff>
      <xdr:row>58</xdr:row>
      <xdr:rowOff>78441</xdr:rowOff>
    </xdr:from>
    <xdr:to>
      <xdr:col>9</xdr:col>
      <xdr:colOff>280148</xdr:colOff>
      <xdr:row>76</xdr:row>
      <xdr:rowOff>123264</xdr:rowOff>
    </xdr:to>
    <xdr:grpSp>
      <xdr:nvGrpSpPr>
        <xdr:cNvPr id="6" name="Group 5"/>
        <xdr:cNvGrpSpPr/>
      </xdr:nvGrpSpPr>
      <xdr:grpSpPr>
        <a:xfrm>
          <a:off x="11093" y="11632266"/>
          <a:ext cx="5069655" cy="3454773"/>
          <a:chOff x="11207" y="20215412"/>
          <a:chExt cx="5109882" cy="3451411"/>
        </a:xfrm>
      </xdr:grpSpPr>
      <xdr:grpSp>
        <xdr:nvGrpSpPr>
          <xdr:cNvPr id="5" name="Group 4"/>
          <xdr:cNvGrpSpPr/>
        </xdr:nvGrpSpPr>
        <xdr:grpSpPr>
          <a:xfrm>
            <a:off x="33617" y="20966205"/>
            <a:ext cx="3766375" cy="2700618"/>
            <a:chOff x="78440" y="20293852"/>
            <a:chExt cx="3766375" cy="2700618"/>
          </a:xfrm>
        </xdr:grpSpPr>
        <xdr:pic>
          <xdr:nvPicPr>
            <xdr:cNvPr id="55" name="Picture 54"/>
            <xdr:cNvPicPr/>
          </xdr:nvPicPr>
          <xdr:blipFill rotWithShape="1">
            <a:blip xmlns:r="http://schemas.openxmlformats.org/officeDocument/2006/relationships" r:embed="rId3"/>
            <a:srcRect t="38371" r="47917" b="12227"/>
            <a:stretch/>
          </xdr:blipFill>
          <xdr:spPr bwMode="auto">
            <a:xfrm>
              <a:off x="124462" y="20630029"/>
              <a:ext cx="3720353" cy="2364441"/>
            </a:xfrm>
            <a:prstGeom prst="rect">
              <a:avLst/>
            </a:prstGeom>
            <a:ln>
              <a:noFill/>
            </a:ln>
            <a:extLst>
              <a:ext uri="{53640926-AAD7-44D8-BBD7-CCE9431645EC}">
                <a14:shadowObscured xmlns:a14="http://schemas.microsoft.com/office/drawing/2010/main"/>
              </a:ext>
            </a:extLst>
          </xdr:spPr>
        </xdr:pic>
        <xdr:sp macro="" textlink="">
          <xdr:nvSpPr>
            <xdr:cNvPr id="56" name="TextBox 55"/>
            <xdr:cNvSpPr txBox="1"/>
          </xdr:nvSpPr>
          <xdr:spPr>
            <a:xfrm>
              <a:off x="78440" y="20293852"/>
              <a:ext cx="827984"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200" b="1">
                  <a:latin typeface="Tw Cen MT" pitchFamily="34" charset="0"/>
                </a:rPr>
                <a:t>Figure 3:</a:t>
              </a:r>
            </a:p>
          </xdr:txBody>
        </xdr:sp>
      </xdr:grpSp>
      <xdr:sp macro="" textlink="">
        <xdr:nvSpPr>
          <xdr:cNvPr id="57" name="TextBox 56"/>
          <xdr:cNvSpPr txBox="1"/>
        </xdr:nvSpPr>
        <xdr:spPr>
          <a:xfrm>
            <a:off x="11207" y="20215412"/>
            <a:ext cx="5109882" cy="7617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US" sz="1200" b="0" i="0" u="none" strike="noStrike" baseline="0">
                <a:solidFill>
                  <a:srgbClr val="000000"/>
                </a:solidFill>
                <a:latin typeface="Tw Cen MT" pitchFamily="34" charset="0"/>
                <a:ea typeface="+mn-ea"/>
                <a:cs typeface="Tahoma" pitchFamily="34" charset="0"/>
              </a:rPr>
              <a:t>In Figure 3, only Aitkin, Itasca, and Koochiching counties and the CHB of Aitkin, Itasca, and Koochiching were chosen.  The remaining two boxes have "None" selected. Once you have selected your counties or CHBs, the report will be populated with data from the county and CHB you selected.</a:t>
            </a:r>
            <a:endParaRPr lang="en-US" sz="1200">
              <a:effectLst/>
              <a:latin typeface="Tw Cen MT" pitchFamily="34" charset="0"/>
              <a:cs typeface="Tahoma" pitchFamily="34" charset="0"/>
            </a:endParaRPr>
          </a:p>
        </xdr:txBody>
      </xdr:sp>
    </xdr:grpSp>
    <xdr:clientData/>
  </xdr:twoCellAnchor>
  <xdr:twoCellAnchor>
    <xdr:from>
      <xdr:col>0</xdr:col>
      <xdr:colOff>105105</xdr:colOff>
      <xdr:row>78</xdr:row>
      <xdr:rowOff>131766</xdr:rowOff>
    </xdr:from>
    <xdr:to>
      <xdr:col>9</xdr:col>
      <xdr:colOff>472967</xdr:colOff>
      <xdr:row>95</xdr:row>
      <xdr:rowOff>36837</xdr:rowOff>
    </xdr:to>
    <xdr:grpSp>
      <xdr:nvGrpSpPr>
        <xdr:cNvPr id="61" name="Group 60"/>
        <xdr:cNvGrpSpPr/>
      </xdr:nvGrpSpPr>
      <xdr:grpSpPr>
        <a:xfrm>
          <a:off x="105105" y="15419391"/>
          <a:ext cx="5168462" cy="2733996"/>
          <a:chOff x="0" y="7691931"/>
          <a:chExt cx="5262606" cy="2659445"/>
        </a:xfrm>
      </xdr:grpSpPr>
      <xdr:sp macro="" textlink="">
        <xdr:nvSpPr>
          <xdr:cNvPr id="62" name="Text Box 23"/>
          <xdr:cNvSpPr txBox="1">
            <a:spLocks noChangeArrowheads="1"/>
          </xdr:cNvSpPr>
        </xdr:nvSpPr>
        <xdr:spPr bwMode="auto">
          <a:xfrm>
            <a:off x="0" y="7691931"/>
            <a:ext cx="5262606" cy="12418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Tw Cen MT" pitchFamily="34" charset="0"/>
              </a:rPr>
              <a:t>Protected Data in the "Trends" Worksheet</a:t>
            </a:r>
            <a:endParaRPr lang="en-US" sz="1200" b="0" i="0" u="sng"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The </a:t>
            </a:r>
            <a:r>
              <a:rPr lang="en-US" sz="1200" b="0" i="1" u="none" strike="noStrike" baseline="0">
                <a:solidFill>
                  <a:srgbClr val="000000"/>
                </a:solidFill>
                <a:latin typeface="Tw Cen MT" pitchFamily="34" charset="0"/>
              </a:rPr>
              <a:t>Trends </a:t>
            </a:r>
            <a:r>
              <a:rPr lang="en-US" sz="1200" b="0" i="0" u="none" strike="noStrike" baseline="0">
                <a:solidFill>
                  <a:srgbClr val="000000"/>
                </a:solidFill>
                <a:latin typeface="Tw Cen MT" pitchFamily="34" charset="0"/>
              </a:rPr>
              <a:t>worksheet data are protected so that you cannot enter data.  If you try to enter data you will get an error message (Figure 4).  To remove the message from your screen, click "Cancel".  </a:t>
            </a:r>
            <a:r>
              <a:rPr lang="en-US" sz="1200" b="1" i="0" u="none" strike="noStrike" baseline="0">
                <a:solidFill>
                  <a:srgbClr val="000000"/>
                </a:solidFill>
                <a:latin typeface="Tw Cen MT" pitchFamily="34" charset="0"/>
              </a:rPr>
              <a:t>Be aware that you can delete data. </a:t>
            </a:r>
            <a:r>
              <a:rPr lang="en-US" sz="1200" b="0" i="0" u="none" strike="noStrike" baseline="0">
                <a:solidFill>
                  <a:srgbClr val="000000"/>
                </a:solidFill>
                <a:latin typeface="Tw Cen MT" pitchFamily="34" charset="0"/>
              </a:rPr>
              <a:t>The good news is that the original file is still available on our website.  If you do delete data, you can download the file again off the MCHS website.</a:t>
            </a:r>
          </a:p>
          <a:p>
            <a:pPr algn="l" rtl="0">
              <a:defRPr sz="1000"/>
            </a:pPr>
            <a:endParaRPr lang="en-US" sz="1200" b="0" i="0" u="none"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grpSp>
        <xdr:nvGrpSpPr>
          <xdr:cNvPr id="63" name="Group 62"/>
          <xdr:cNvGrpSpPr/>
        </xdr:nvGrpSpPr>
        <xdr:grpSpPr>
          <a:xfrm>
            <a:off x="0" y="9019190"/>
            <a:ext cx="2595070" cy="1332186"/>
            <a:chOff x="0" y="9019190"/>
            <a:chExt cx="2595070" cy="1332186"/>
          </a:xfrm>
        </xdr:grpSpPr>
        <xdr:pic>
          <xdr:nvPicPr>
            <xdr:cNvPr id="64" name="Picture 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254687"/>
              <a:ext cx="2595070" cy="1096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5" name="Text Box 44"/>
            <xdr:cNvSpPr txBox="1">
              <a:spLocks noChangeArrowheads="1"/>
            </xdr:cNvSpPr>
          </xdr:nvSpPr>
          <xdr:spPr bwMode="auto">
            <a:xfrm>
              <a:off x="0" y="9019190"/>
              <a:ext cx="663465"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4</a:t>
              </a:r>
              <a:r>
                <a:rPr lang="en-US" sz="1200" b="1" i="0" u="none" strike="noStrike" baseline="0">
                  <a:solidFill>
                    <a:srgbClr val="000000"/>
                  </a:solidFill>
                  <a:latin typeface="Eras Demi ITC"/>
                </a:rPr>
                <a:t>:</a:t>
              </a:r>
            </a:p>
          </xdr:txBody>
        </xdr:sp>
      </xdr:grpSp>
    </xdr:grpSp>
    <xdr:clientData/>
  </xdr:twoCellAnchor>
  <xdr:twoCellAnchor>
    <xdr:from>
      <xdr:col>0</xdr:col>
      <xdr:colOff>0</xdr:colOff>
      <xdr:row>97</xdr:row>
      <xdr:rowOff>6569</xdr:rowOff>
    </xdr:from>
    <xdr:to>
      <xdr:col>9</xdr:col>
      <xdr:colOff>472964</xdr:colOff>
      <xdr:row>151</xdr:row>
      <xdr:rowOff>142099</xdr:rowOff>
    </xdr:to>
    <xdr:grpSp>
      <xdr:nvGrpSpPr>
        <xdr:cNvPr id="84" name="Group 83"/>
        <xdr:cNvGrpSpPr/>
      </xdr:nvGrpSpPr>
      <xdr:grpSpPr>
        <a:xfrm>
          <a:off x="0" y="18446969"/>
          <a:ext cx="5273564" cy="8879480"/>
          <a:chOff x="0" y="8988027"/>
          <a:chExt cx="5215084" cy="8606090"/>
        </a:xfrm>
      </xdr:grpSpPr>
      <xdr:sp macro="" textlink="">
        <xdr:nvSpPr>
          <xdr:cNvPr id="85" name="Text Box 30"/>
          <xdr:cNvSpPr txBox="1">
            <a:spLocks noChangeArrowheads="1"/>
          </xdr:cNvSpPr>
        </xdr:nvSpPr>
        <xdr:spPr bwMode="auto">
          <a:xfrm>
            <a:off x="34253" y="14598539"/>
            <a:ext cx="5148280" cy="270645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none" strike="noStrike" baseline="0">
                <a:solidFill>
                  <a:srgbClr val="000000"/>
                </a:solidFill>
                <a:latin typeface="Tw Cen MT" pitchFamily="34" charset="0"/>
              </a:rPr>
              <a:t>Step 3: </a:t>
            </a:r>
            <a:endParaRPr lang="en-US" sz="1200" b="0" i="0" u="none"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Now you will be working in your new Excel file.</a:t>
            </a:r>
          </a:p>
          <a:p>
            <a:pPr algn="l" rtl="0">
              <a:defRPr sz="1000"/>
            </a:pPr>
            <a:endParaRPr lang="en-US" sz="1200" b="0" i="0" u="none" strike="noStrike" baseline="0">
              <a:solidFill>
                <a:srgbClr val="000000"/>
              </a:solidFill>
              <a:latin typeface="Tw Cen MT"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1200" b="0" i="0" u="none" strike="noStrike" baseline="0">
                <a:solidFill>
                  <a:srgbClr val="000000"/>
                </a:solidFill>
                <a:latin typeface="Tw Cen MT" pitchFamily="34" charset="0"/>
                <a:ea typeface="+mn-ea"/>
                <a:cs typeface="+mn-cs"/>
              </a:rPr>
              <a:t>The </a:t>
            </a:r>
            <a:r>
              <a:rPr lang="en-US" sz="1200" b="0" i="1" u="none" strike="noStrike" baseline="0">
                <a:solidFill>
                  <a:srgbClr val="000000"/>
                </a:solidFill>
                <a:latin typeface="Tw Cen MT" pitchFamily="34" charset="0"/>
                <a:ea typeface="+mn-ea"/>
                <a:cs typeface="+mn-cs"/>
              </a:rPr>
              <a:t>Trends </a:t>
            </a:r>
            <a:r>
              <a:rPr lang="en-US" sz="1200" b="0" i="0" u="none" strike="noStrike" baseline="0">
                <a:solidFill>
                  <a:srgbClr val="000000"/>
                </a:solidFill>
                <a:latin typeface="Tw Cen MT" pitchFamily="34" charset="0"/>
                <a:ea typeface="+mn-ea"/>
                <a:cs typeface="+mn-cs"/>
              </a:rPr>
              <a:t>worksheet contains formulas, so in order to edit or reformat; it is recommended that you change the formulas to numbers.  The following steps describe how to do this.</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Select the grey box with an arrow in the upper left hand corner of the spreadsheet (Figure 7). You now have the entire worksheet highlighted.  </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On the toolbar, click on "Edit", then select "Copy."</a:t>
            </a:r>
          </a:p>
          <a:p>
            <a:pPr algn="l" rtl="0">
              <a:defRPr sz="1000"/>
            </a:pPr>
            <a:r>
              <a:rPr lang="en-US" sz="1200" b="0" i="0" u="none" strike="noStrike" baseline="0">
                <a:solidFill>
                  <a:srgbClr val="000000"/>
                </a:solidFill>
                <a:latin typeface="Tw Cen MT" pitchFamily="34" charset="0"/>
              </a:rPr>
              <a:t>The highlighted area will now have an animated dotted line around it.  </a:t>
            </a:r>
          </a:p>
          <a:p>
            <a:pPr algn="l" rtl="0">
              <a:defRPr sz="1000"/>
            </a:pPr>
            <a:endParaRPr lang="en-US" sz="1200" b="0" i="0" u="none" strike="noStrike" baseline="0">
              <a:solidFill>
                <a:srgbClr val="000000"/>
              </a:solidFill>
              <a:latin typeface="Tw Cen MT" pitchFamily="34" charset="0"/>
            </a:endParaRPr>
          </a:p>
          <a:p>
            <a:pPr algn="l" rtl="0">
              <a:defRPr sz="1000"/>
            </a:pPr>
            <a:r>
              <a:rPr lang="en-US" sz="1200" b="0" i="0" u="none" strike="noStrike" baseline="0">
                <a:solidFill>
                  <a:srgbClr val="000000"/>
                </a:solidFill>
                <a:latin typeface="Tw Cen MT" pitchFamily="34" charset="0"/>
              </a:rPr>
              <a:t>Click "Edit" once again, select "Paste Special", select "Values", and click "OK".</a:t>
            </a:r>
          </a:p>
          <a:p>
            <a:pPr algn="l" rtl="0">
              <a:defRPr sz="1000"/>
            </a:pPr>
            <a:r>
              <a:rPr lang="en-US" sz="1200" b="0" i="0" u="none" strike="noStrike" baseline="0">
                <a:solidFill>
                  <a:srgbClr val="000000"/>
                </a:solidFill>
                <a:latin typeface="Tw Cen MT" pitchFamily="34" charset="0"/>
              </a:rPr>
              <a:t>Now your spreadsheet no longer has formulas in it.</a:t>
            </a:r>
          </a:p>
          <a:p>
            <a:pPr algn="l" rtl="0">
              <a:defRPr sz="1000"/>
            </a:pPr>
            <a:endParaRPr lang="en-US" sz="1200" b="0" i="0" u="none" strike="noStrike" baseline="0">
              <a:solidFill>
                <a:srgbClr val="000000"/>
              </a:solidFill>
              <a:latin typeface="Tw Cen MT" pitchFamily="34" charset="0"/>
            </a:endParaRPr>
          </a:p>
          <a:p>
            <a:pPr algn="l" rtl="0">
              <a:defRPr sz="1000"/>
            </a:pPr>
            <a:endParaRPr lang="en-US" sz="1200" b="1"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grpSp>
        <xdr:nvGrpSpPr>
          <xdr:cNvPr id="86" name="Group 38"/>
          <xdr:cNvGrpSpPr>
            <a:grpSpLocks/>
          </xdr:cNvGrpSpPr>
        </xdr:nvGrpSpPr>
        <xdr:grpSpPr bwMode="auto">
          <a:xfrm>
            <a:off x="0" y="12411239"/>
            <a:ext cx="4467225" cy="2276968"/>
            <a:chOff x="0" y="3388"/>
            <a:chExt cx="477" cy="243"/>
          </a:xfrm>
        </xdr:grpSpPr>
        <xdr:sp macro="" textlink="">
          <xdr:nvSpPr>
            <xdr:cNvPr id="99" name="Text Box 28"/>
            <xdr:cNvSpPr txBox="1">
              <a:spLocks noChangeArrowheads="1"/>
            </xdr:cNvSpPr>
          </xdr:nvSpPr>
          <xdr:spPr bwMode="auto">
            <a:xfrm>
              <a:off x="0" y="3393"/>
              <a:ext cx="244" cy="2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200"/>
                </a:lnSpc>
                <a:defRPr sz="1000"/>
              </a:pPr>
              <a:r>
                <a:rPr lang="en-US" sz="1200" b="1" i="0" u="none" strike="noStrike" baseline="0">
                  <a:solidFill>
                    <a:srgbClr val="000000"/>
                  </a:solidFill>
                  <a:latin typeface="Tw Cen MT" pitchFamily="34" charset="0"/>
                </a:rPr>
                <a:t>Step 2: </a:t>
              </a:r>
              <a:endParaRPr lang="en-US" sz="1200" b="0" i="0" u="none" strike="noStrike" baseline="0">
                <a:solidFill>
                  <a:srgbClr val="000000"/>
                </a:solidFill>
                <a:latin typeface="Tw Cen MT" pitchFamily="34" charset="0"/>
              </a:endParaRP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300"/>
                </a:lnSpc>
                <a:defRPr sz="1000"/>
              </a:pPr>
              <a:r>
                <a:rPr lang="en-US" sz="1200" b="0" i="0" u="none" strike="noStrike" baseline="0">
                  <a:solidFill>
                    <a:srgbClr val="000000"/>
                  </a:solidFill>
                  <a:latin typeface="Tw Cen MT" pitchFamily="34" charset="0"/>
                </a:rPr>
                <a:t>In the "Move or Copy" box, select "new book" and check "Create a copy" in the lower left hand corner.  Click "OK" (Figure 6).</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You will now have an extra copy of the document in a new Excel file.  Save this file.</a:t>
              </a:r>
            </a:p>
            <a:p>
              <a:pPr algn="l" rtl="0">
                <a:lnSpc>
                  <a:spcPts val="13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1" i="0" u="none" strike="noStrike" baseline="0">
                <a:solidFill>
                  <a:srgbClr val="000000"/>
                </a:solidFill>
                <a:latin typeface="Eras Medium ITC"/>
              </a:endParaRPr>
            </a:p>
            <a:p>
              <a:pPr algn="l" rtl="0">
                <a:lnSpc>
                  <a:spcPts val="13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xdr:txBody>
        </xdr:sp>
        <xdr:pic>
          <xdr:nvPicPr>
            <xdr:cNvPr id="10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8" y="3421"/>
              <a:ext cx="169" cy="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01" name="Text Box 36"/>
            <xdr:cNvSpPr txBox="1">
              <a:spLocks noChangeArrowheads="1"/>
            </xdr:cNvSpPr>
          </xdr:nvSpPr>
          <xdr:spPr bwMode="auto">
            <a:xfrm>
              <a:off x="307" y="3388"/>
              <a:ext cx="61" cy="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en-US" sz="1200" b="1" i="0" u="none" strike="noStrike" baseline="0">
                  <a:solidFill>
                    <a:srgbClr val="000000"/>
                  </a:solidFill>
                  <a:latin typeface="Tw Cen MT" pitchFamily="34" charset="0"/>
                </a:rPr>
                <a:t>Figure 6</a:t>
              </a:r>
              <a:r>
                <a:rPr lang="en-US" sz="1200" b="0" i="0" u="none" strike="noStrike" baseline="0">
                  <a:solidFill>
                    <a:srgbClr val="000000"/>
                  </a:solidFill>
                  <a:latin typeface="Tw Cen MT" pitchFamily="34" charset="0"/>
                </a:rPr>
                <a:t>:</a:t>
              </a:r>
            </a:p>
          </xdr:txBody>
        </xdr:sp>
      </xdr:grpSp>
      <xdr:grpSp>
        <xdr:nvGrpSpPr>
          <xdr:cNvPr id="87" name="Group 86"/>
          <xdr:cNvGrpSpPr/>
        </xdr:nvGrpSpPr>
        <xdr:grpSpPr>
          <a:xfrm>
            <a:off x="88522" y="8988027"/>
            <a:ext cx="5126562" cy="1330297"/>
            <a:chOff x="89782" y="9213208"/>
            <a:chExt cx="5199545" cy="1371390"/>
          </a:xfrm>
        </xdr:grpSpPr>
        <xdr:sp macro="" textlink="">
          <xdr:nvSpPr>
            <xdr:cNvPr id="95" name="Text Box 24"/>
            <xdr:cNvSpPr txBox="1">
              <a:spLocks noChangeArrowheads="1"/>
            </xdr:cNvSpPr>
          </xdr:nvSpPr>
          <xdr:spPr bwMode="auto">
            <a:xfrm>
              <a:off x="99051" y="9213208"/>
              <a:ext cx="5190276" cy="12576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defRPr sz="1000"/>
              </a:pPr>
              <a:r>
                <a:rPr lang="en-US" sz="1200" b="1" i="0" u="sng" strike="noStrike" baseline="0">
                  <a:solidFill>
                    <a:srgbClr val="000000"/>
                  </a:solidFill>
                  <a:latin typeface="Tw Cen MT" pitchFamily="34" charset="0"/>
                </a:rPr>
                <a:t>Saving Your Own Copy of the  Trends Worksheet</a:t>
              </a:r>
            </a:p>
            <a:p>
              <a:pPr algn="l" rtl="0">
                <a:lnSpc>
                  <a:spcPts val="1300"/>
                </a:lnSpc>
                <a:defRPr sz="1000"/>
              </a:pPr>
              <a:endParaRPr lang="en-US" sz="1200" b="0" i="0" u="none" strike="noStrike" baseline="0">
                <a:solidFill>
                  <a:srgbClr val="000000"/>
                </a:solidFill>
                <a:latin typeface="Tw Cen MT" pitchFamily="34" charset="0"/>
              </a:endParaRPr>
            </a:p>
            <a:p>
              <a:pPr algn="l" rtl="0">
                <a:defRPr sz="1000"/>
              </a:pPr>
              <a:r>
                <a:rPr lang="en-US" sz="1200" b="1" i="0" u="none" strike="noStrike" baseline="0">
                  <a:solidFill>
                    <a:srgbClr val="000000"/>
                  </a:solidFill>
                  <a:latin typeface="Tw Cen MT" pitchFamily="34" charset="0"/>
                </a:rPr>
                <a:t>Step 1:  </a:t>
              </a:r>
              <a:endParaRPr lang="en-US" sz="1200" b="0" i="0" u="none" strike="noStrike" baseline="0">
                <a:solidFill>
                  <a:srgbClr val="000000"/>
                </a:solidFill>
                <a:latin typeface="Tw Cen MT" pitchFamily="34" charset="0"/>
              </a:endParaRPr>
            </a:p>
            <a:p>
              <a:pPr algn="l" rtl="0">
                <a:defRPr sz="1000"/>
              </a:pPr>
              <a:endParaRPr lang="en-US" sz="1200" b="0" i="0" u="none" strike="noStrike" baseline="0">
                <a:solidFill>
                  <a:srgbClr val="000000"/>
                </a:solidFill>
                <a:latin typeface="Tw Cen MT" pitchFamily="34" charset="0"/>
              </a:endParaRPr>
            </a:p>
            <a:p>
              <a:pPr algn="l" rtl="0">
                <a:lnSpc>
                  <a:spcPts val="1300"/>
                </a:lnSpc>
                <a:defRPr sz="1000"/>
              </a:pPr>
              <a:r>
                <a:rPr lang="en-US" sz="1200" b="0" i="0" u="none" strike="noStrike" baseline="0">
                  <a:solidFill>
                    <a:srgbClr val="000000"/>
                  </a:solidFill>
                  <a:latin typeface="Tw Cen MT" pitchFamily="34" charset="0"/>
                </a:rPr>
                <a:t>Right click on the</a:t>
              </a:r>
              <a:r>
                <a:rPr lang="en-US" sz="1200" b="0" i="1" u="none" strike="noStrike" baseline="0">
                  <a:solidFill>
                    <a:srgbClr val="000000"/>
                  </a:solidFill>
                  <a:latin typeface="Tw Cen MT" pitchFamily="34" charset="0"/>
                </a:rPr>
                <a:t> Trends </a:t>
              </a:r>
              <a:r>
                <a:rPr lang="en-US" sz="1200" b="0" i="0" u="none" strike="noStrike" baseline="0">
                  <a:solidFill>
                    <a:srgbClr val="000000"/>
                  </a:solidFill>
                  <a:latin typeface="Tw Cen MT" pitchFamily="34" charset="0"/>
                </a:rPr>
                <a:t>tab at the bottom on the worksheet. </a:t>
              </a:r>
            </a:p>
            <a:p>
              <a:pPr algn="l" rtl="0">
                <a:defRPr sz="1000"/>
              </a:pPr>
              <a:r>
                <a:rPr lang="en-US" sz="1200" b="0" i="0" u="none" strike="noStrike" baseline="0">
                  <a:solidFill>
                    <a:srgbClr val="000000"/>
                  </a:solidFill>
                  <a:latin typeface="Tw Cen MT" pitchFamily="34" charset="0"/>
                </a:rPr>
                <a:t>A window will pop up, select "Move or Copy" (Figure 5)</a:t>
              </a:r>
            </a:p>
            <a:p>
              <a:pPr algn="l" rtl="0">
                <a:defRPr sz="1000"/>
              </a:pPr>
              <a:endParaRPr lang="en-US" sz="1200" b="0" i="0" u="none" strike="noStrike" baseline="0">
                <a:solidFill>
                  <a:srgbClr val="000000"/>
                </a:solidFill>
                <a:latin typeface="Tw Cen MT" pitchFamily="34" charset="0"/>
              </a:endParaRPr>
            </a:p>
            <a:p>
              <a:pPr algn="l" rtl="0">
                <a:lnSpc>
                  <a:spcPts val="1300"/>
                </a:lnSpc>
                <a:defRPr sz="1000"/>
              </a:pPr>
              <a:endParaRPr lang="en-US" sz="1200" b="0" i="0" u="none" strike="noStrike" baseline="0">
                <a:solidFill>
                  <a:srgbClr val="000000"/>
                </a:solidFill>
                <a:latin typeface="Eras Medium ITC"/>
              </a:endParaRPr>
            </a:p>
            <a:p>
              <a:pPr algn="l" rtl="0">
                <a:defRPr sz="1000"/>
              </a:pPr>
              <a:endParaRPr lang="en-US" sz="1200" b="0" i="0" u="none" strike="noStrike" baseline="0">
                <a:solidFill>
                  <a:srgbClr val="000000"/>
                </a:solidFill>
                <a:latin typeface="Eras Medium ITC"/>
              </a:endParaRPr>
            </a:p>
          </xdr:txBody>
        </xdr:sp>
        <xdr:sp macro="" textlink="">
          <xdr:nvSpPr>
            <xdr:cNvPr id="98" name="Text Box 44"/>
            <xdr:cNvSpPr txBox="1">
              <a:spLocks noChangeArrowheads="1"/>
            </xdr:cNvSpPr>
          </xdr:nvSpPr>
          <xdr:spPr bwMode="auto">
            <a:xfrm>
              <a:off x="89782" y="10380118"/>
              <a:ext cx="663465"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5</a:t>
              </a:r>
              <a:r>
                <a:rPr lang="en-US" sz="1200" b="1" i="0" u="none" strike="noStrike" baseline="0">
                  <a:solidFill>
                    <a:srgbClr val="000000"/>
                  </a:solidFill>
                  <a:latin typeface="Eras Demi ITC"/>
                </a:rPr>
                <a:t>:</a:t>
              </a:r>
            </a:p>
          </xdr:txBody>
        </xdr:sp>
      </xdr:grpSp>
      <xdr:sp macro="" textlink="">
        <xdr:nvSpPr>
          <xdr:cNvPr id="90" name="Text Box 36"/>
          <xdr:cNvSpPr txBox="1">
            <a:spLocks noChangeArrowheads="1"/>
          </xdr:cNvSpPr>
        </xdr:nvSpPr>
        <xdr:spPr bwMode="auto">
          <a:xfrm>
            <a:off x="234862" y="17397938"/>
            <a:ext cx="571045" cy="1961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7</a:t>
            </a:r>
            <a:r>
              <a:rPr lang="en-US" sz="1200" b="0" i="0" u="none" strike="noStrike" baseline="0">
                <a:solidFill>
                  <a:srgbClr val="000000"/>
                </a:solidFill>
                <a:latin typeface="Tw Cen MT" pitchFamily="34" charset="0"/>
              </a:rPr>
              <a:t>:</a:t>
            </a:r>
          </a:p>
        </xdr:txBody>
      </xdr:sp>
    </xdr:grpSp>
    <xdr:clientData/>
  </xdr:twoCellAnchor>
  <xdr:twoCellAnchor editAs="oneCell">
    <xdr:from>
      <xdr:col>0</xdr:col>
      <xdr:colOff>107808</xdr:colOff>
      <xdr:row>105</xdr:row>
      <xdr:rowOff>134471</xdr:rowOff>
    </xdr:from>
    <xdr:to>
      <xdr:col>6</xdr:col>
      <xdr:colOff>219867</xdr:colOff>
      <xdr:row>118</xdr:row>
      <xdr:rowOff>98052</xdr:rowOff>
    </xdr:to>
    <xdr:pic>
      <xdr:nvPicPr>
        <xdr:cNvPr id="102" name="Picture 101"/>
        <xdr:cNvPicPr/>
      </xdr:nvPicPr>
      <xdr:blipFill rotWithShape="1">
        <a:blip xmlns:r="http://schemas.openxmlformats.org/officeDocument/2006/relationships" r:embed="rId6"/>
        <a:srcRect t="54861" r="54688"/>
        <a:stretch/>
      </xdr:blipFill>
      <xdr:spPr bwMode="auto">
        <a:xfrm>
          <a:off x="107808" y="19762540"/>
          <a:ext cx="3304576" cy="209849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112059</xdr:colOff>
      <xdr:row>151</xdr:row>
      <xdr:rowOff>112060</xdr:rowOff>
    </xdr:from>
    <xdr:to>
      <xdr:col>9</xdr:col>
      <xdr:colOff>528918</xdr:colOff>
      <xdr:row>169</xdr:row>
      <xdr:rowOff>35298</xdr:rowOff>
    </xdr:to>
    <xdr:grpSp>
      <xdr:nvGrpSpPr>
        <xdr:cNvPr id="8" name="Group 7"/>
        <xdr:cNvGrpSpPr/>
      </xdr:nvGrpSpPr>
      <xdr:grpSpPr>
        <a:xfrm>
          <a:off x="112059" y="27296410"/>
          <a:ext cx="5217459" cy="2837888"/>
          <a:chOff x="6510618" y="35074413"/>
          <a:chExt cx="5257800" cy="2747121"/>
        </a:xfrm>
      </xdr:grpSpPr>
      <xdr:pic>
        <xdr:nvPicPr>
          <xdr:cNvPr id="103" name="Picture 102"/>
          <xdr:cNvPicPr/>
        </xdr:nvPicPr>
        <xdr:blipFill rotWithShape="1">
          <a:blip xmlns:r="http://schemas.openxmlformats.org/officeDocument/2006/relationships" r:embed="rId7"/>
          <a:srcRect t="27099" r="42361" b="39566"/>
          <a:stretch/>
        </xdr:blipFill>
        <xdr:spPr bwMode="auto">
          <a:xfrm>
            <a:off x="6645088" y="35365765"/>
            <a:ext cx="5123330" cy="2455769"/>
          </a:xfrm>
          <a:prstGeom prst="rect">
            <a:avLst/>
          </a:prstGeom>
          <a:ln>
            <a:noFill/>
          </a:ln>
          <a:extLst>
            <a:ext uri="{53640926-AAD7-44D8-BBD7-CCE9431645EC}">
              <a14:shadowObscured xmlns:a14="http://schemas.microsoft.com/office/drawing/2010/main"/>
            </a:ext>
          </a:extLst>
        </xdr:spPr>
      </xdr:pic>
      <xdr:sp macro="" textlink="">
        <xdr:nvSpPr>
          <xdr:cNvPr id="104" name="Oval 103"/>
          <xdr:cNvSpPr/>
        </xdr:nvSpPr>
        <xdr:spPr>
          <a:xfrm>
            <a:off x="6510618" y="35652300"/>
            <a:ext cx="553202" cy="679319"/>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xnSp macro="">
        <xdr:nvCxnSpPr>
          <xdr:cNvPr id="105" name="Straight Arrow Connector 104"/>
          <xdr:cNvCxnSpPr/>
        </xdr:nvCxnSpPr>
        <xdr:spPr>
          <a:xfrm flipV="1">
            <a:off x="6996895" y="35231564"/>
            <a:ext cx="572324" cy="423072"/>
          </a:xfrm>
          <a:prstGeom prst="straightConnector1">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106" name="TextBox 105"/>
          <xdr:cNvSpPr txBox="1"/>
        </xdr:nvSpPr>
        <xdr:spPr>
          <a:xfrm>
            <a:off x="7312399" y="35074413"/>
            <a:ext cx="1820820" cy="4908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Click on arrow to select entire worksheet</a:t>
            </a:r>
          </a:p>
        </xdr:txBody>
      </xdr:sp>
    </xdr:grpSp>
    <xdr:clientData/>
  </xdr:twoCellAnchor>
  <xdr:twoCellAnchor editAs="oneCell">
    <xdr:from>
      <xdr:col>0</xdr:col>
      <xdr:colOff>0</xdr:colOff>
      <xdr:row>171</xdr:row>
      <xdr:rowOff>0</xdr:rowOff>
    </xdr:from>
    <xdr:to>
      <xdr:col>9</xdr:col>
      <xdr:colOff>449097</xdr:colOff>
      <xdr:row>179</xdr:row>
      <xdr:rowOff>94840</xdr:rowOff>
    </xdr:to>
    <xdr:sp macro="" textlink="">
      <xdr:nvSpPr>
        <xdr:cNvPr id="108" name="Text Box 32"/>
        <xdr:cNvSpPr txBox="1">
          <a:spLocks noChangeArrowheads="1"/>
        </xdr:cNvSpPr>
      </xdr:nvSpPr>
      <xdr:spPr bwMode="auto">
        <a:xfrm>
          <a:off x="0" y="38537029"/>
          <a:ext cx="5290038" cy="13723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100"/>
            </a:lnSpc>
            <a:defRPr sz="1000"/>
          </a:pPr>
          <a:r>
            <a:rPr lang="en-US" sz="1200" b="1" i="0" u="sng" strike="noStrike" baseline="0">
              <a:solidFill>
                <a:srgbClr val="000000"/>
              </a:solidFill>
              <a:latin typeface="Tw Cen MT" pitchFamily="34" charset="0"/>
            </a:rPr>
            <a:t>Removing Data Protection</a:t>
          </a:r>
          <a:endParaRPr lang="en-US" sz="1200" b="0" i="0" u="sng" strike="noStrike" baseline="0">
            <a:solidFill>
              <a:srgbClr val="000000"/>
            </a:solidFill>
            <a:latin typeface="Tw Cen MT" pitchFamily="34" charset="0"/>
          </a:endParaRP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100"/>
            </a:lnSpc>
            <a:defRPr sz="1000"/>
          </a:pPr>
          <a:r>
            <a:rPr lang="en-US" sz="1200" b="0" i="0" u="none" strike="noStrike" baseline="0">
              <a:solidFill>
                <a:srgbClr val="000000"/>
              </a:solidFill>
              <a:latin typeface="Tw Cen MT" pitchFamily="34" charset="0"/>
            </a:rPr>
            <a:t>In order to reformat or move the data around, you need to remove the data protection.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1" i="0" u="none" strike="noStrike" baseline="0">
              <a:solidFill>
                <a:srgbClr val="000000"/>
              </a:solidFill>
              <a:latin typeface="Tw Cen MT" pitchFamily="34" charset="0"/>
            </a:rPr>
            <a:t>Step 1: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In the "Name Box</a:t>
          </a:r>
          <a:r>
            <a:rPr lang="en-US" sz="1200" b="0" i="0" u="none" strike="noStrike" baseline="0">
              <a:solidFill>
                <a:srgbClr val="000000"/>
              </a:solidFill>
              <a:latin typeface="Tw Cen MT" pitchFamily="34" charset="0"/>
              <a:ea typeface="+mn-ea"/>
              <a:cs typeface="+mn-cs"/>
            </a:rPr>
            <a:t>" (Figure 8) in </a:t>
          </a:r>
          <a:r>
            <a:rPr lang="en-US" sz="1200" b="0" i="0" u="none" strike="noStrike" baseline="0">
              <a:solidFill>
                <a:srgbClr val="000000"/>
              </a:solidFill>
              <a:latin typeface="Tw Cen MT" pitchFamily="34" charset="0"/>
            </a:rPr>
            <a:t>the upper left hand corner select "Print Area".</a:t>
          </a:r>
        </a:p>
        <a:p>
          <a:pPr algn="l" rtl="0">
            <a:lnSpc>
              <a:spcPts val="1100"/>
            </a:lnSpc>
            <a:defRPr sz="1000"/>
          </a:pPr>
          <a:r>
            <a:rPr lang="en-US" sz="1200" b="0" i="0" u="none" strike="noStrike" baseline="0">
              <a:solidFill>
                <a:srgbClr val="000000"/>
              </a:solidFill>
              <a:latin typeface="Tw Cen MT" pitchFamily="34" charset="0"/>
            </a:rPr>
            <a:t>You now have the entire print area highlighted.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1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1"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a:p>
          <a:pPr algn="l" rtl="0">
            <a:lnSpc>
              <a:spcPts val="1200"/>
            </a:lnSpc>
            <a:defRPr sz="1000"/>
          </a:pPr>
          <a:endParaRPr lang="en-US" sz="1200" b="0"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xdr:txBody>
    </xdr:sp>
    <xdr:clientData/>
  </xdr:twoCellAnchor>
  <xdr:twoCellAnchor editAs="oneCell">
    <xdr:from>
      <xdr:col>0</xdr:col>
      <xdr:colOff>0</xdr:colOff>
      <xdr:row>217</xdr:row>
      <xdr:rowOff>60024</xdr:rowOff>
    </xdr:from>
    <xdr:to>
      <xdr:col>9</xdr:col>
      <xdr:colOff>449097</xdr:colOff>
      <xdr:row>226</xdr:row>
      <xdr:rowOff>28575</xdr:rowOff>
    </xdr:to>
    <xdr:sp macro="" textlink="">
      <xdr:nvSpPr>
        <xdr:cNvPr id="109" name="Text Box 34"/>
        <xdr:cNvSpPr txBox="1">
          <a:spLocks noChangeArrowheads="1"/>
        </xdr:cNvSpPr>
      </xdr:nvSpPr>
      <xdr:spPr bwMode="auto">
        <a:xfrm>
          <a:off x="0" y="37950474"/>
          <a:ext cx="5249697" cy="142587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7432" rIns="0" bIns="0" anchor="t" upright="1"/>
        <a:lstStyle/>
        <a:p>
          <a:pPr algn="l" rtl="0">
            <a:lnSpc>
              <a:spcPts val="1200"/>
            </a:lnSpc>
            <a:defRPr sz="1000"/>
          </a:pPr>
          <a:r>
            <a:rPr lang="en-US" sz="1200" b="1" i="0" u="none" strike="noStrike" baseline="0">
              <a:solidFill>
                <a:srgbClr val="000000"/>
              </a:solidFill>
              <a:latin typeface="Tw Cen MT" pitchFamily="34" charset="0"/>
            </a:rPr>
            <a:t>Step 3:</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Another pop up box will appear, select the "Settings" tab if it is not already selected (Figure 10). </a:t>
          </a:r>
        </a:p>
        <a:p>
          <a:pPr algn="l" rtl="0">
            <a:lnSpc>
              <a:spcPts val="1200"/>
            </a:lnSpc>
            <a:defRPr sz="1000"/>
          </a:pPr>
          <a:endParaRPr lang="en-US" sz="1200" b="0" i="0" u="none" strike="noStrike" baseline="0">
            <a:solidFill>
              <a:srgbClr val="000000"/>
            </a:solidFill>
            <a:latin typeface="Tw Cen MT" pitchFamily="34" charset="0"/>
          </a:endParaRPr>
        </a:p>
        <a:p>
          <a:pPr algn="l" rtl="0">
            <a:lnSpc>
              <a:spcPts val="1200"/>
            </a:lnSpc>
            <a:defRPr sz="1000"/>
          </a:pPr>
          <a:r>
            <a:rPr lang="en-US" sz="1200" b="0" i="0" u="none" strike="noStrike" baseline="0">
              <a:solidFill>
                <a:srgbClr val="000000"/>
              </a:solidFill>
              <a:latin typeface="Tw Cen MT" pitchFamily="34" charset="0"/>
            </a:rPr>
            <a:t>Click "Clear All" located on the bottom left hand corner of this pop up box.</a:t>
          </a:r>
        </a:p>
        <a:p>
          <a:pPr algn="l" rtl="0">
            <a:lnSpc>
              <a:spcPts val="1200"/>
            </a:lnSpc>
            <a:defRPr sz="1000"/>
          </a:pPr>
          <a:r>
            <a:rPr lang="en-US" sz="1200" b="0" i="0" u="none" strike="noStrike" baseline="0">
              <a:solidFill>
                <a:srgbClr val="000000"/>
              </a:solidFill>
              <a:latin typeface="Tw Cen MT" pitchFamily="34" charset="0"/>
            </a:rPr>
            <a:t> </a:t>
          </a:r>
        </a:p>
        <a:p>
          <a:pPr algn="l" rtl="0">
            <a:lnSpc>
              <a:spcPts val="1200"/>
            </a:lnSpc>
            <a:defRPr sz="1000"/>
          </a:pPr>
          <a:r>
            <a:rPr lang="en-US" sz="1200" b="0" i="0" u="none" strike="noStrike" baseline="0">
              <a:solidFill>
                <a:srgbClr val="000000"/>
              </a:solidFill>
              <a:latin typeface="Tw Cen MT" pitchFamily="34" charset="0"/>
            </a:rPr>
            <a:t>You should now be able to move the data around and change formats.</a:t>
          </a:r>
        </a:p>
        <a:p>
          <a:pPr algn="l" rtl="0">
            <a:lnSpc>
              <a:spcPts val="1200"/>
            </a:lnSpc>
            <a:defRPr sz="1000"/>
          </a:pPr>
          <a:endParaRPr lang="en-US" sz="1200" b="0" i="0" u="none" strike="noStrike" baseline="0">
            <a:solidFill>
              <a:srgbClr val="000000"/>
            </a:solidFill>
            <a:latin typeface="Eras Medium ITC"/>
          </a:endParaRPr>
        </a:p>
        <a:p>
          <a:pPr algn="l" rtl="0">
            <a:lnSpc>
              <a:spcPts val="1100"/>
            </a:lnSpc>
            <a:defRPr sz="1000"/>
          </a:pPr>
          <a:endParaRPr lang="en-US" sz="1200" b="0" i="0" u="none" strike="noStrike" baseline="0">
            <a:solidFill>
              <a:srgbClr val="000000"/>
            </a:solidFill>
            <a:latin typeface="Eras Medium ITC"/>
          </a:endParaRPr>
        </a:p>
        <a:p>
          <a:pPr algn="l" rtl="0">
            <a:lnSpc>
              <a:spcPts val="1000"/>
            </a:lnSpc>
            <a:defRPr sz="1000"/>
          </a:pPr>
          <a:endParaRPr lang="en-US" sz="1200" b="0" i="0" u="none" strike="noStrike" baseline="0">
            <a:solidFill>
              <a:srgbClr val="000000"/>
            </a:solidFill>
            <a:latin typeface="Eras Medium ITC"/>
          </a:endParaRPr>
        </a:p>
      </xdr:txBody>
    </xdr:sp>
    <xdr:clientData/>
  </xdr:twoCellAnchor>
  <xdr:twoCellAnchor>
    <xdr:from>
      <xdr:col>0</xdr:col>
      <xdr:colOff>0</xdr:colOff>
      <xdr:row>198</xdr:row>
      <xdr:rowOff>11206</xdr:rowOff>
    </xdr:from>
    <xdr:to>
      <xdr:col>9</xdr:col>
      <xdr:colOff>478863</xdr:colOff>
      <xdr:row>215</xdr:row>
      <xdr:rowOff>143543</xdr:rowOff>
    </xdr:to>
    <xdr:grpSp>
      <xdr:nvGrpSpPr>
        <xdr:cNvPr id="120" name="Group 119"/>
        <xdr:cNvGrpSpPr/>
      </xdr:nvGrpSpPr>
      <xdr:grpSpPr>
        <a:xfrm>
          <a:off x="0" y="34825081"/>
          <a:ext cx="5279463" cy="2885062"/>
          <a:chOff x="0" y="25066974"/>
          <a:chExt cx="5328047" cy="2616618"/>
        </a:xfrm>
      </xdr:grpSpPr>
      <xdr:grpSp>
        <xdr:nvGrpSpPr>
          <xdr:cNvPr id="121" name="Group 120"/>
          <xdr:cNvGrpSpPr/>
        </xdr:nvGrpSpPr>
        <xdr:grpSpPr>
          <a:xfrm>
            <a:off x="5953" y="26277382"/>
            <a:ext cx="3386138" cy="1406210"/>
            <a:chOff x="5953" y="26277382"/>
            <a:chExt cx="3386138" cy="1406210"/>
          </a:xfrm>
        </xdr:grpSpPr>
        <xdr:pic>
          <xdr:nvPicPr>
            <xdr:cNvPr id="123" name="Picture 3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953" y="26501302"/>
              <a:ext cx="3386138" cy="11822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4" name="Text Box 44"/>
            <xdr:cNvSpPr txBox="1">
              <a:spLocks noChangeArrowheads="1"/>
            </xdr:cNvSpPr>
          </xdr:nvSpPr>
          <xdr:spPr bwMode="auto">
            <a:xfrm>
              <a:off x="5953" y="26277382"/>
              <a:ext cx="589728" cy="2038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en-US" sz="1200" b="1" i="0" u="none" strike="noStrike" baseline="0">
                  <a:solidFill>
                    <a:srgbClr val="000000"/>
                  </a:solidFill>
                  <a:latin typeface="Tw Cen MT" pitchFamily="34" charset="0"/>
                </a:rPr>
                <a:t>Figure 9</a:t>
              </a:r>
              <a:r>
                <a:rPr lang="en-US" sz="1200" b="0" i="0" u="none" strike="noStrike" baseline="0">
                  <a:solidFill>
                    <a:srgbClr val="000000"/>
                  </a:solidFill>
                  <a:latin typeface="Eras Demi ITC"/>
                </a:rPr>
                <a:t>:</a:t>
              </a:r>
            </a:p>
          </xdr:txBody>
        </xdr:sp>
      </xdr:grpSp>
      <xdr:sp macro="" textlink="">
        <xdr:nvSpPr>
          <xdr:cNvPr id="122" name="TextBox 121"/>
          <xdr:cNvSpPr txBox="1"/>
        </xdr:nvSpPr>
        <xdr:spPr>
          <a:xfrm>
            <a:off x="0" y="25066974"/>
            <a:ext cx="5328047" cy="16001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rtl="0"/>
            <a:r>
              <a:rPr lang="en-US" sz="1200" b="1" i="0" baseline="0">
                <a:solidFill>
                  <a:schemeClr val="tx1"/>
                </a:solidFill>
                <a:effectLst/>
                <a:latin typeface="Tw Cen MT" pitchFamily="34" charset="0"/>
                <a:ea typeface="+mn-ea"/>
                <a:cs typeface="+mn-cs"/>
              </a:rPr>
              <a:t>Step 2:</a:t>
            </a:r>
          </a:p>
          <a:p>
            <a:pPr rtl="0"/>
            <a:endParaRPr lang="en-US" sz="1200" b="0" i="0" baseline="0">
              <a:solidFill>
                <a:schemeClr val="tx1"/>
              </a:solidFill>
              <a:effectLst/>
              <a:latin typeface="Tw Cen MT" pitchFamily="34" charset="0"/>
              <a:ea typeface="+mn-ea"/>
              <a:cs typeface="+mn-cs"/>
            </a:endParaRPr>
          </a:p>
          <a:p>
            <a:pPr rtl="0"/>
            <a:r>
              <a:rPr lang="en-US" sz="1200" b="0" i="0" baseline="0">
                <a:solidFill>
                  <a:schemeClr val="tx1"/>
                </a:solidFill>
                <a:effectLst/>
                <a:latin typeface="Tw Cen MT" pitchFamily="34" charset="0"/>
                <a:ea typeface="+mn-ea"/>
                <a:cs typeface="+mn-cs"/>
              </a:rPr>
              <a:t>On the toolbar, click on "Data" tab, then select "Data Validation".</a:t>
            </a:r>
            <a:endParaRPr lang="en-US" sz="1200">
              <a:effectLst/>
              <a:latin typeface="Tw Cen MT" pitchFamily="34" charset="0"/>
            </a:endParaRPr>
          </a:p>
          <a:p>
            <a:pPr rtl="0"/>
            <a:r>
              <a:rPr lang="en-US" sz="1200" b="0" i="0" baseline="0">
                <a:solidFill>
                  <a:schemeClr val="tx1"/>
                </a:solidFill>
                <a:effectLst/>
                <a:latin typeface="Tw Cen MT" pitchFamily="34" charset="0"/>
                <a:ea typeface="+mn-ea"/>
                <a:cs typeface="+mn-cs"/>
              </a:rPr>
              <a:t>A pop-up window will appear to warn you that you have more than one type of validation (Figure 9).  </a:t>
            </a:r>
            <a:endParaRPr lang="en-US" sz="1200">
              <a:effectLst/>
              <a:latin typeface="Tw Cen MT" pitchFamily="34" charset="0"/>
            </a:endParaRPr>
          </a:p>
          <a:p>
            <a:pPr rtl="0"/>
            <a:endParaRPr lang="en-US" sz="1200" b="0" i="0" baseline="0">
              <a:solidFill>
                <a:schemeClr val="tx1"/>
              </a:solidFill>
              <a:effectLst/>
              <a:latin typeface="Tw Cen MT" pitchFamily="34" charset="0"/>
              <a:ea typeface="+mn-ea"/>
              <a:cs typeface="+mn-cs"/>
            </a:endParaRPr>
          </a:p>
          <a:p>
            <a:pPr rtl="0"/>
            <a:r>
              <a:rPr lang="en-US" sz="1200" b="0" i="0" baseline="0">
                <a:solidFill>
                  <a:schemeClr val="tx1"/>
                </a:solidFill>
                <a:effectLst/>
                <a:latin typeface="Tw Cen MT" pitchFamily="34" charset="0"/>
                <a:ea typeface="+mn-ea"/>
                <a:cs typeface="+mn-cs"/>
              </a:rPr>
              <a:t>Click "OK".</a:t>
            </a:r>
          </a:p>
          <a:p>
            <a:pPr rtl="0"/>
            <a:endParaRPr lang="en-US" sz="1200">
              <a:effectLst/>
              <a:latin typeface="Tw Cen MT" pitchFamily="34" charset="0"/>
            </a:endParaRPr>
          </a:p>
          <a:p>
            <a:endParaRPr lang="en-US" sz="1100"/>
          </a:p>
        </xdr:txBody>
      </xdr:sp>
    </xdr:grpSp>
    <xdr:clientData/>
  </xdr:twoCellAnchor>
  <xdr:twoCellAnchor>
    <xdr:from>
      <xdr:col>0</xdr:col>
      <xdr:colOff>11206</xdr:colOff>
      <xdr:row>226</xdr:row>
      <xdr:rowOff>102680</xdr:rowOff>
    </xdr:from>
    <xdr:to>
      <xdr:col>7</xdr:col>
      <xdr:colOff>94863</xdr:colOff>
      <xdr:row>242</xdr:row>
      <xdr:rowOff>94619</xdr:rowOff>
    </xdr:to>
    <xdr:grpSp>
      <xdr:nvGrpSpPr>
        <xdr:cNvPr id="125" name="Group 124"/>
        <xdr:cNvGrpSpPr/>
      </xdr:nvGrpSpPr>
      <xdr:grpSpPr>
        <a:xfrm>
          <a:off x="11206" y="39450455"/>
          <a:ext cx="3817457" cy="2582739"/>
          <a:chOff x="0" y="29223891"/>
          <a:chExt cx="3855244" cy="2494729"/>
        </a:xfrm>
      </xdr:grpSpPr>
      <xdr:pic>
        <xdr:nvPicPr>
          <xdr:cNvPr id="126" name="Picture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29458814"/>
            <a:ext cx="3855244" cy="2259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27" name="Text Box 44"/>
          <xdr:cNvSpPr txBox="1">
            <a:spLocks noChangeArrowheads="1"/>
          </xdr:cNvSpPr>
        </xdr:nvSpPr>
        <xdr:spPr bwMode="auto">
          <a:xfrm>
            <a:off x="53579" y="29223891"/>
            <a:ext cx="588816" cy="2044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10</a:t>
            </a:r>
            <a:r>
              <a:rPr lang="en-US" sz="1200" b="0" i="0" u="none" strike="noStrike" baseline="0">
                <a:solidFill>
                  <a:srgbClr val="000000"/>
                </a:solidFill>
                <a:latin typeface="Eras Demi ITC"/>
              </a:rPr>
              <a:t>:</a:t>
            </a:r>
          </a:p>
        </xdr:txBody>
      </xdr:sp>
    </xdr:grpSp>
    <xdr:clientData/>
  </xdr:twoCellAnchor>
  <xdr:twoCellAnchor>
    <xdr:from>
      <xdr:col>0</xdr:col>
      <xdr:colOff>67236</xdr:colOff>
      <xdr:row>182</xdr:row>
      <xdr:rowOff>44823</xdr:rowOff>
    </xdr:from>
    <xdr:to>
      <xdr:col>9</xdr:col>
      <xdr:colOff>67236</xdr:colOff>
      <xdr:row>197</xdr:row>
      <xdr:rowOff>112059</xdr:rowOff>
    </xdr:to>
    <xdr:grpSp>
      <xdr:nvGrpSpPr>
        <xdr:cNvPr id="13" name="Group 12"/>
        <xdr:cNvGrpSpPr/>
      </xdr:nvGrpSpPr>
      <xdr:grpSpPr>
        <a:xfrm>
          <a:off x="67236" y="32267898"/>
          <a:ext cx="4800600" cy="2496111"/>
          <a:chOff x="67236" y="39982588"/>
          <a:chExt cx="4840941" cy="2420471"/>
        </a:xfrm>
      </xdr:grpSpPr>
      <xdr:pic>
        <xdr:nvPicPr>
          <xdr:cNvPr id="133" name="Picture 132"/>
          <xdr:cNvPicPr/>
        </xdr:nvPicPr>
        <xdr:blipFill rotWithShape="1">
          <a:blip xmlns:r="http://schemas.openxmlformats.org/officeDocument/2006/relationships" r:embed="rId10"/>
          <a:srcRect t="12711" r="44293" b="45561"/>
          <a:stretch/>
        </xdr:blipFill>
        <xdr:spPr bwMode="auto">
          <a:xfrm>
            <a:off x="67236" y="39982588"/>
            <a:ext cx="4840941" cy="2420471"/>
          </a:xfrm>
          <a:prstGeom prst="rect">
            <a:avLst/>
          </a:prstGeom>
          <a:ln>
            <a:noFill/>
          </a:ln>
          <a:extLst>
            <a:ext uri="{53640926-AAD7-44D8-BBD7-CCE9431645EC}">
              <a14:shadowObscured xmlns:a14="http://schemas.microsoft.com/office/drawing/2010/main"/>
            </a:ext>
          </a:extLst>
        </xdr:spPr>
      </xdr:pic>
      <xdr:cxnSp macro="">
        <xdr:nvCxnSpPr>
          <xdr:cNvPr id="134" name="Straight Arrow Connector 133"/>
          <xdr:cNvCxnSpPr/>
        </xdr:nvCxnSpPr>
        <xdr:spPr>
          <a:xfrm>
            <a:off x="1367118" y="40455816"/>
            <a:ext cx="443161" cy="0"/>
          </a:xfrm>
          <a:prstGeom prst="straightConnector1">
            <a:avLst/>
          </a:prstGeom>
          <a:ln w="25400">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sp macro="" textlink="">
        <xdr:nvSpPr>
          <xdr:cNvPr id="135" name="TextBox 134"/>
          <xdr:cNvSpPr txBox="1"/>
        </xdr:nvSpPr>
        <xdr:spPr>
          <a:xfrm>
            <a:off x="1790600" y="40307559"/>
            <a:ext cx="928552" cy="2635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Name Box</a:t>
            </a:r>
          </a:p>
        </xdr:txBody>
      </xdr:sp>
      <xdr:cxnSp macro="">
        <xdr:nvCxnSpPr>
          <xdr:cNvPr id="12" name="Straight Arrow Connector 11"/>
          <xdr:cNvCxnSpPr/>
        </xdr:nvCxnSpPr>
        <xdr:spPr>
          <a:xfrm flipH="1" flipV="1">
            <a:off x="1232647" y="40710971"/>
            <a:ext cx="224118" cy="123264"/>
          </a:xfrm>
          <a:prstGeom prst="straightConnector1">
            <a:avLst/>
          </a:prstGeom>
          <a:ln>
            <a:solidFill>
              <a:schemeClr val="tx1"/>
            </a:solidFill>
            <a:headEnd type="non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TextBox 141"/>
          <xdr:cNvSpPr txBox="1"/>
        </xdr:nvSpPr>
        <xdr:spPr>
          <a:xfrm>
            <a:off x="1423147" y="40677352"/>
            <a:ext cx="1380652" cy="267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Select Print Area</a:t>
            </a:r>
          </a:p>
        </xdr:txBody>
      </xdr:sp>
    </xdr:grpSp>
    <xdr:clientData/>
  </xdr:twoCellAnchor>
  <xdr:twoCellAnchor>
    <xdr:from>
      <xdr:col>0</xdr:col>
      <xdr:colOff>0</xdr:colOff>
      <xdr:row>180</xdr:row>
      <xdr:rowOff>0</xdr:rowOff>
    </xdr:from>
    <xdr:to>
      <xdr:col>1</xdr:col>
      <xdr:colOff>43973</xdr:colOff>
      <xdr:row>181</xdr:row>
      <xdr:rowOff>39327</xdr:rowOff>
    </xdr:to>
    <xdr:sp macro="" textlink="">
      <xdr:nvSpPr>
        <xdr:cNvPr id="144" name="Text Box 36"/>
        <xdr:cNvSpPr txBox="1">
          <a:spLocks noChangeArrowheads="1"/>
        </xdr:cNvSpPr>
      </xdr:nvSpPr>
      <xdr:spPr bwMode="auto">
        <a:xfrm>
          <a:off x="0" y="39971382"/>
          <a:ext cx="581855" cy="1962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noAutofit/>
        </a:bodyPr>
        <a:lstStyle/>
        <a:p>
          <a:pPr algn="l" rtl="0">
            <a:defRPr sz="1000"/>
          </a:pPr>
          <a:r>
            <a:rPr lang="en-US" sz="1200" b="1" i="0" u="none" strike="noStrike" baseline="0">
              <a:solidFill>
                <a:srgbClr val="000000"/>
              </a:solidFill>
              <a:latin typeface="Tw Cen MT" pitchFamily="34" charset="0"/>
            </a:rPr>
            <a:t>Figure 8</a:t>
          </a:r>
          <a:r>
            <a:rPr lang="en-US" sz="1200" b="0" i="0" u="none" strike="noStrike" baseline="0">
              <a:solidFill>
                <a:srgbClr val="000000"/>
              </a:solidFill>
              <a:latin typeface="Tw Cen MT" pitchFamily="34" charset="0"/>
            </a:rPr>
            <a:t>:</a:t>
          </a:r>
        </a:p>
      </xdr:txBody>
    </xdr:sp>
    <xdr:clientData/>
  </xdr:twoCellAnchor>
  <xdr:twoCellAnchor>
    <xdr:from>
      <xdr:col>6</xdr:col>
      <xdr:colOff>485775</xdr:colOff>
      <xdr:row>45</xdr:row>
      <xdr:rowOff>28575</xdr:rowOff>
    </xdr:from>
    <xdr:to>
      <xdr:col>7</xdr:col>
      <xdr:colOff>304800</xdr:colOff>
      <xdr:row>46</xdr:row>
      <xdr:rowOff>142875</xdr:rowOff>
    </xdr:to>
    <xdr:sp macro="" textlink="">
      <xdr:nvSpPr>
        <xdr:cNvPr id="58" name="Oval 57"/>
        <xdr:cNvSpPr/>
      </xdr:nvSpPr>
      <xdr:spPr>
        <a:xfrm>
          <a:off x="3686175" y="8982075"/>
          <a:ext cx="352425" cy="314325"/>
        </a:xfrm>
        <a:prstGeom prst="ellipse">
          <a:avLst/>
        </a:prstGeom>
        <a:no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342900</xdr:colOff>
      <xdr:row>46</xdr:row>
      <xdr:rowOff>57150</xdr:rowOff>
    </xdr:from>
    <xdr:to>
      <xdr:col>8</xdr:col>
      <xdr:colOff>228600</xdr:colOff>
      <xdr:row>47</xdr:row>
      <xdr:rowOff>0</xdr:rowOff>
    </xdr:to>
    <xdr:cxnSp macro="">
      <xdr:nvCxnSpPr>
        <xdr:cNvPr id="9" name="Straight Arrow Connector 8"/>
        <xdr:cNvCxnSpPr/>
      </xdr:nvCxnSpPr>
      <xdr:spPr>
        <a:xfrm>
          <a:off x="4076700" y="9210675"/>
          <a:ext cx="419100" cy="142875"/>
        </a:xfrm>
        <a:prstGeom prst="straightConnector1">
          <a:avLst/>
        </a:prstGeom>
        <a:ln w="15875">
          <a:solidFill>
            <a:schemeClr val="tx1"/>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171450</xdr:colOff>
      <xdr:row>46</xdr:row>
      <xdr:rowOff>76200</xdr:rowOff>
    </xdr:from>
    <xdr:ext cx="539891" cy="352425"/>
    <xdr:sp macro="" textlink="">
      <xdr:nvSpPr>
        <xdr:cNvPr id="10" name="TextBox 9"/>
        <xdr:cNvSpPr txBox="1"/>
      </xdr:nvSpPr>
      <xdr:spPr>
        <a:xfrm>
          <a:off x="4438650" y="9229725"/>
          <a:ext cx="539891" cy="352425"/>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Arrow</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278</xdr:row>
      <xdr:rowOff>136070</xdr:rowOff>
    </xdr:from>
    <xdr:to>
      <xdr:col>11</xdr:col>
      <xdr:colOff>428625</xdr:colOff>
      <xdr:row>303</xdr:row>
      <xdr:rowOff>57150</xdr:rowOff>
    </xdr:to>
    <xdr:sp macro="" textlink="">
      <xdr:nvSpPr>
        <xdr:cNvPr id="2072" name="Text Box 24"/>
        <xdr:cNvSpPr txBox="1">
          <a:spLocks noChangeArrowheads="1"/>
        </xdr:cNvSpPr>
      </xdr:nvSpPr>
      <xdr:spPr bwMode="auto">
        <a:xfrm>
          <a:off x="0" y="50342345"/>
          <a:ext cx="8305800" cy="396920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a:extLst/>
      </xdr:spPr>
      <xdr:txBody>
        <a:bodyPr vertOverflow="clip" wrap="square" lIns="27432" tIns="22860" rIns="0" bIns="0" anchor="t" upright="1"/>
        <a:lstStyle/>
        <a:p>
          <a:pPr algn="l" rtl="0">
            <a:defRPr sz="1000"/>
          </a:pPr>
          <a:r>
            <a:rPr lang="en-US" sz="900" b="1" i="0" u="none" strike="noStrike" baseline="0">
              <a:solidFill>
                <a:srgbClr val="000000"/>
              </a:solidFill>
              <a:latin typeface="Tw Cen MT" pitchFamily="34" charset="0"/>
              <a:cs typeface="Times New Roman"/>
            </a:rPr>
            <a:t>Sources</a:t>
          </a:r>
        </a:p>
        <a:p>
          <a:pPr algn="l" rtl="0">
            <a:defRPr sz="1000"/>
          </a:pPr>
          <a:endParaRPr lang="en-US" sz="900" b="0" i="0" u="none" strike="noStrike" baseline="30000">
            <a:solidFill>
              <a:srgbClr val="000000"/>
            </a:solidFill>
            <a:latin typeface="Tw Cen MT" pitchFamily="34" charset="0"/>
            <a:cs typeface="Times New Roman"/>
          </a:endParaRPr>
        </a:p>
        <a:p>
          <a:pPr algn="l" rtl="0">
            <a:defRPr sz="1000"/>
          </a:pPr>
          <a:r>
            <a:rPr lang="en-US" sz="1000" b="0" i="0" u="none" strike="noStrike" baseline="30000">
              <a:solidFill>
                <a:srgbClr val="000000"/>
              </a:solidFill>
              <a:latin typeface="Tw Cen MT" pitchFamily="34" charset="0"/>
              <a:cs typeface="Times New Roman"/>
            </a:rPr>
            <a:t>1</a:t>
          </a:r>
          <a:r>
            <a:rPr lang="en-US" sz="1000" b="0" i="0" u="none" strike="noStrike" baseline="0">
              <a:solidFill>
                <a:srgbClr val="000000"/>
              </a:solidFill>
              <a:latin typeface="Tw Cen MT" pitchFamily="34" charset="0"/>
              <a:cs typeface="Times New Roman"/>
            </a:rPr>
            <a:t> US Census www.census.gov  Poverty estimates and median household income:  www.census.gov/hhes/www/saipe/county.html</a:t>
          </a:r>
        </a:p>
        <a:p>
          <a:pPr algn="l" rtl="0">
            <a:defRPr sz="1000"/>
          </a:pPr>
          <a:r>
            <a:rPr lang="en-US" sz="1000" b="0" i="0" u="none" strike="noStrike" baseline="30000">
              <a:solidFill>
                <a:srgbClr val="000000"/>
              </a:solidFill>
              <a:latin typeface="Tw Cen MT" pitchFamily="34" charset="0"/>
              <a:cs typeface="Times New Roman"/>
            </a:rPr>
            <a:t>2</a:t>
          </a:r>
          <a:r>
            <a:rPr lang="en-US" sz="1000" b="0" i="0" u="none" strike="noStrike" baseline="0">
              <a:solidFill>
                <a:srgbClr val="000000"/>
              </a:solidFill>
              <a:latin typeface="Tw Cen MT" pitchFamily="34" charset="0"/>
              <a:cs typeface="Times New Roman"/>
            </a:rPr>
            <a:t> Minnesota State Demographer, http://www.demography.state.mn.us/estimates.html and US Census www.census.gov</a:t>
          </a:r>
        </a:p>
        <a:p>
          <a:pPr algn="l" rtl="0">
            <a:defRPr sz="1000"/>
          </a:pPr>
          <a:r>
            <a:rPr lang="en-US" sz="1000" b="0" i="0" u="none" strike="noStrike" baseline="30000">
              <a:solidFill>
                <a:srgbClr val="000000"/>
              </a:solidFill>
              <a:latin typeface="Tw Cen MT" pitchFamily="34" charset="0"/>
              <a:cs typeface="Times New Roman"/>
            </a:rPr>
            <a:t>3</a:t>
          </a:r>
          <a:r>
            <a:rPr lang="en-US" sz="1000" b="0" i="0" u="none" strike="noStrike" baseline="0">
              <a:solidFill>
                <a:srgbClr val="000000"/>
              </a:solidFill>
              <a:latin typeface="Tw Cen MT" pitchFamily="34" charset="0"/>
              <a:cs typeface="Times New Roman"/>
            </a:rPr>
            <a:t>Minnesota Department of Employment and Economic Development, http://www.deed.state.mn.us/lmi/tools/laus.htm</a:t>
          </a:r>
        </a:p>
        <a:p>
          <a:pPr algn="l" rtl="0">
            <a:defRPr sz="1000"/>
          </a:pPr>
          <a:r>
            <a:rPr lang="en-US" sz="1000" b="0" i="0" u="none" strike="noStrike" baseline="30000">
              <a:solidFill>
                <a:srgbClr val="000000"/>
              </a:solidFill>
              <a:latin typeface="Tw Cen MT" pitchFamily="34" charset="0"/>
              <a:cs typeface="Times New Roman"/>
            </a:rPr>
            <a:t>4</a:t>
          </a:r>
          <a:r>
            <a:rPr lang="en-US" sz="1000" b="0" i="0" u="none" strike="noStrike" baseline="0">
              <a:solidFill>
                <a:srgbClr val="000000"/>
              </a:solidFill>
              <a:latin typeface="Tw Cen MT" pitchFamily="34" charset="0"/>
              <a:cs typeface="Times New Roman"/>
            </a:rPr>
            <a:t>Minnesota Department of Human Services</a:t>
          </a:r>
        </a:p>
        <a:p>
          <a:pPr algn="l" rtl="0">
            <a:defRPr sz="1000"/>
          </a:pPr>
          <a:r>
            <a:rPr lang="en-US" sz="1000" b="0" i="0" u="none" strike="noStrike" baseline="30000">
              <a:solidFill>
                <a:srgbClr val="000000"/>
              </a:solidFill>
              <a:latin typeface="Tw Cen MT" pitchFamily="34" charset="0"/>
              <a:cs typeface="Times New Roman"/>
            </a:rPr>
            <a:t>5</a:t>
          </a:r>
          <a:r>
            <a:rPr lang="en-US" sz="1000" b="0" i="0" u="none" strike="noStrike" baseline="0">
              <a:solidFill>
                <a:srgbClr val="000000"/>
              </a:solidFill>
              <a:latin typeface="Tw Cen MT" pitchFamily="34" charset="0"/>
              <a:cs typeface="Times New Roman"/>
            </a:rPr>
            <a:t> US Department of Commerce, Bureau of Economic Analysis, www.bea.gov/bea/regional/reis/</a:t>
          </a:r>
        </a:p>
        <a:p>
          <a:pPr algn="l" rtl="0">
            <a:defRPr sz="1000"/>
          </a:pPr>
          <a:r>
            <a:rPr lang="en-US" sz="1000" b="0" i="0" u="none" strike="noStrike" baseline="30000">
              <a:solidFill>
                <a:srgbClr val="000000"/>
              </a:solidFill>
              <a:latin typeface="Tw Cen MT" pitchFamily="34" charset="0"/>
              <a:cs typeface="Times New Roman"/>
            </a:rPr>
            <a:t>6</a:t>
          </a:r>
          <a:r>
            <a:rPr lang="en-US" sz="1000" b="0" i="0" u="none" strike="noStrike" baseline="0">
              <a:solidFill>
                <a:srgbClr val="000000"/>
              </a:solidFill>
              <a:latin typeface="Tw Cen MT" pitchFamily="34" charset="0"/>
              <a:cs typeface="Times New Roman"/>
            </a:rPr>
            <a:t> Minnesota Department of Education - www.education.state.mn.us/mde/Data/index.html</a:t>
          </a:r>
        </a:p>
        <a:p>
          <a:pPr algn="l" rtl="0">
            <a:defRPr sz="1000"/>
          </a:pPr>
          <a:r>
            <a:rPr lang="en-US" sz="1000" b="0" i="0" u="none" strike="noStrike" baseline="30000">
              <a:solidFill>
                <a:srgbClr val="000000"/>
              </a:solidFill>
              <a:latin typeface="Tw Cen MT" pitchFamily="34" charset="0"/>
              <a:cs typeface="Times New Roman"/>
            </a:rPr>
            <a:t>7</a:t>
          </a:r>
          <a:r>
            <a:rPr lang="en-US" sz="1000" b="0" i="0" u="none" strike="noStrike" baseline="0">
              <a:solidFill>
                <a:srgbClr val="000000"/>
              </a:solidFill>
              <a:latin typeface="Tw Cen MT" pitchFamily="34" charset="0"/>
              <a:cs typeface="Times New Roman"/>
            </a:rPr>
            <a:t> Minnesota Department of Health, Center for Health Statistics, www.health.state.mn.us/divs/chs </a:t>
          </a:r>
        </a:p>
        <a:p>
          <a:pPr algn="l" rtl="0">
            <a:defRPr sz="1000"/>
          </a:pPr>
          <a:r>
            <a:rPr lang="en-US" sz="1000" b="0" i="0" u="none" strike="noStrike" baseline="30000">
              <a:solidFill>
                <a:srgbClr val="000000"/>
              </a:solidFill>
              <a:latin typeface="Tw Cen MT" pitchFamily="34" charset="0"/>
              <a:cs typeface="Times New Roman"/>
            </a:rPr>
            <a:t>8</a:t>
          </a:r>
          <a:r>
            <a:rPr lang="en-US" sz="1000" b="0" i="0" u="none" strike="noStrike" baseline="0">
              <a:solidFill>
                <a:srgbClr val="000000"/>
              </a:solidFill>
              <a:latin typeface="Tw Cen MT" pitchFamily="34" charset="0"/>
              <a:cs typeface="Times New Roman"/>
            </a:rPr>
            <a:t> Minnesota Department of Health, Center for Health Statistics, linked birth/death cohort</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For more detailed data on births and deaths in Minnesota go to the Minnesota Vital Statistics Interactive Queries Website:</a:t>
          </a:r>
        </a:p>
        <a:p>
          <a:pPr algn="l" rtl="0">
            <a:defRPr sz="1000"/>
          </a:pPr>
          <a:r>
            <a:rPr lang="en-US" sz="1000" b="0" i="0" u="none" strike="noStrike" baseline="0">
              <a:solidFill>
                <a:srgbClr val="000000"/>
              </a:solidFill>
              <a:latin typeface="Tw Cen MT" pitchFamily="34" charset="0"/>
              <a:cs typeface="Times New Roman"/>
            </a:rPr>
            <a:t>https://pqc.health.state.mn.us/mhsq/index.jsp</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1" i="0" u="none" strike="noStrike" baseline="0">
              <a:solidFill>
                <a:srgbClr val="000000"/>
              </a:solidFill>
              <a:latin typeface="Tw Cen MT" pitchFamily="34" charset="0"/>
              <a:cs typeface="Times New Roman"/>
            </a:rPr>
            <a:t>Definitions</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Number of Households: The number of occupied houses, apartments, or other separate living quarters, in which the occupants live and eat separately from other persons in the building and to which they have direct access from outside the building or through a common hall.  </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PreKindergarten to 12th Grade Enrollment: Students who were enrolled over October 1 of the school year. Excluded from the counts are shared-time students, adult students, and students attending in other states or nonpublic schools for care and treatment purposes. Dual enrolled students are counted only once.</a:t>
          </a:r>
        </a:p>
        <a:p>
          <a:pPr algn="l" rtl="0">
            <a:defRPr sz="1000"/>
          </a:pPr>
          <a:endParaRPr lang="en-US" sz="1000" b="0" i="0" u="none" strike="noStrike" baseline="0">
            <a:solidFill>
              <a:srgbClr val="000000"/>
            </a:solidFill>
            <a:latin typeface="Tw Cen MT" pitchFamily="34" charset="0"/>
            <a:cs typeface="Times New Roman"/>
          </a:endParaRPr>
        </a:p>
        <a:p>
          <a:r>
            <a:rPr lang="en-US" sz="1000">
              <a:effectLst/>
              <a:latin typeface="Tw Cen MT" pitchFamily="34" charset="0"/>
              <a:ea typeface="+mn-ea"/>
              <a:cs typeface="Times New Roman" pitchFamily="18" charset="0"/>
            </a:rPr>
            <a:t>The Four-Year Graduation Rate is a four-year, on-time graduation rate based on a cohort of first time ninth grade students plus transfers into the cohort within the four year period minus transfers out of the cohort within the four year period. </a:t>
          </a:r>
          <a:endParaRPr lang="en-US" sz="1000">
            <a:effectLst/>
            <a:latin typeface="Tw Cen MT" pitchFamily="34" charset="0"/>
            <a:cs typeface="Times New Roman" pitchFamily="18" charset="0"/>
          </a:endParaRP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Infant Deaths:  Deaths to infants under 1 year of age.</a:t>
          </a: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Age Adjusted Death Rate:  Adjusted to the 2000 US Standard Population for more information how to calculate go to: </a:t>
          </a:r>
          <a:r>
            <a:rPr lang="en-US" sz="1000" b="0" i="0" u="sng" strike="noStrike" baseline="0">
              <a:solidFill>
                <a:srgbClr val="000000"/>
              </a:solidFill>
              <a:latin typeface="Tw Cen MT" pitchFamily="34" charset="0"/>
              <a:cs typeface="Times New Roman"/>
            </a:rPr>
            <a:t>http://www.cdc.gov/nchs/data/statnt/statnt06rv.pdf</a:t>
          </a:r>
          <a:endParaRPr lang="en-US" sz="1000" b="0" i="0" u="none" strike="noStrike" baseline="0">
            <a:solidFill>
              <a:srgbClr val="000000"/>
            </a:solidFill>
            <a:latin typeface="Tw Cen MT" pitchFamily="34" charset="0"/>
            <a:cs typeface="Times New Roman"/>
          </a:endParaRPr>
        </a:p>
        <a:p>
          <a:pPr algn="l" rtl="0">
            <a:defRPr sz="1000"/>
          </a:pPr>
          <a:endParaRPr lang="en-US" sz="1000" b="0" i="0" u="none" strike="noStrike" baseline="0">
            <a:solidFill>
              <a:srgbClr val="000000"/>
            </a:solidFill>
            <a:latin typeface="Tw Cen MT" pitchFamily="34" charset="0"/>
            <a:cs typeface="Times New Roman"/>
          </a:endParaRPr>
        </a:p>
        <a:p>
          <a:pPr algn="l" rtl="0">
            <a:defRPr sz="1000"/>
          </a:pPr>
          <a:r>
            <a:rPr lang="en-US" sz="1000" b="0" i="0" u="none" strike="noStrike" baseline="0">
              <a:solidFill>
                <a:srgbClr val="000000"/>
              </a:solidFill>
              <a:latin typeface="Tw Cen MT" pitchFamily="34" charset="0"/>
              <a:cs typeface="Times New Roman"/>
            </a:rPr>
            <a:t>ICD 10 Codes:  Cancer (C00-C97), Heart Disease (I00-I09, I11, I13, I20-I51), Stroke (I60-I69) and Unintentional Injury (V01-X59, Y85-Y86)</a:t>
          </a:r>
        </a:p>
        <a:p>
          <a:pPr algn="l" rtl="0">
            <a:defRPr sz="1000"/>
          </a:pPr>
          <a:endParaRPr lang="en-US" sz="1000" b="0" i="0" u="none" strike="noStrike" baseline="0">
            <a:solidFill>
              <a:srgbClr val="000000"/>
            </a:solidFill>
            <a:latin typeface="Tw Cen MT" pitchFamily="34" charset="0"/>
            <a:cs typeface="Times New Roman"/>
          </a:endParaRPr>
        </a:p>
      </xdr:txBody>
    </xdr:sp>
    <xdr:clientData/>
  </xdr:twoCellAnchor>
  <xdr:twoCellAnchor>
    <xdr:from>
      <xdr:col>0</xdr:col>
      <xdr:colOff>0</xdr:colOff>
      <xdr:row>312</xdr:row>
      <xdr:rowOff>120902</xdr:rowOff>
    </xdr:from>
    <xdr:to>
      <xdr:col>0</xdr:col>
      <xdr:colOff>1032101</xdr:colOff>
      <xdr:row>316</xdr:row>
      <xdr:rowOff>111378</xdr:rowOff>
    </xdr:to>
    <xdr:pic>
      <xdr:nvPicPr>
        <xdr:cNvPr id="2329" name="Picture 25" descr="logob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5832627"/>
          <a:ext cx="1032101"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solidFill>
          <a:headEnd type="triangle"/>
          <a:tailEnd type="none"/>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althstats@health.state.mn.us" TargetMode="External"/><Relationship Id="rId1" Type="http://schemas.openxmlformats.org/officeDocument/2006/relationships/hyperlink" Target="http://www.health.state.mn.us/divs/chs/top_2.ht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ealthstats@state.mn.us" TargetMode="External"/><Relationship Id="rId1" Type="http://schemas.openxmlformats.org/officeDocument/2006/relationships/hyperlink" Target="http://www.health.state.mn.us/divs/chs"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R178"/>
  <sheetViews>
    <sheetView topLeftCell="A76" zoomScale="85" zoomScaleNormal="85" workbookViewId="0">
      <selection activeCell="B83" sqref="B83"/>
    </sheetView>
  </sheetViews>
  <sheetFormatPr defaultRowHeight="12.75" x14ac:dyDescent="0.2"/>
  <cols>
    <col min="1" max="1" width="26.6640625" style="93" customWidth="1"/>
    <col min="2" max="2" width="73.1640625" style="93" customWidth="1"/>
    <col min="3" max="12" width="14.83203125" style="93" customWidth="1"/>
    <col min="13" max="22" width="12.83203125" style="93" customWidth="1"/>
    <col min="23" max="24" width="5.83203125" style="93" customWidth="1"/>
    <col min="25" max="25" width="7.83203125" style="93" customWidth="1"/>
    <col min="26" max="26" width="8" style="93" customWidth="1"/>
    <col min="27" max="27" width="7.5" style="93" customWidth="1"/>
    <col min="28" max="28" width="8.1640625" style="93" customWidth="1"/>
    <col min="29" max="29" width="7.83203125" style="93" customWidth="1"/>
    <col min="30" max="30" width="9" style="93" customWidth="1"/>
    <col min="31" max="31" width="7.6640625" style="93" customWidth="1"/>
    <col min="32" max="32" width="7.5" style="93" customWidth="1"/>
    <col min="33" max="33" width="7.6640625" style="93" customWidth="1"/>
    <col min="34" max="37" width="9" style="93" customWidth="1"/>
    <col min="38" max="38" width="10.5" style="93" customWidth="1"/>
    <col min="39" max="39" width="11" style="93" customWidth="1"/>
    <col min="40" max="43" width="9" style="93" customWidth="1"/>
    <col min="44" max="44" width="10.5" style="93" customWidth="1"/>
    <col min="45" max="45" width="11" style="93" customWidth="1"/>
    <col min="46" max="46" width="10.6640625" style="93" customWidth="1"/>
    <col min="47" max="47" width="9" style="93" customWidth="1"/>
    <col min="48" max="48" width="10.1640625" style="93" customWidth="1"/>
    <col min="49" max="54" width="9" style="93" customWidth="1"/>
    <col min="55" max="55" width="9.5" style="93" customWidth="1"/>
    <col min="56" max="58" width="9" style="93" customWidth="1"/>
    <col min="59" max="59" width="9.5" style="93" customWidth="1"/>
    <col min="60" max="60" width="5.83203125" style="93" customWidth="1"/>
    <col min="61" max="61" width="5.6640625" style="93" customWidth="1"/>
    <col min="62" max="64" width="5.83203125" style="93" customWidth="1"/>
    <col min="65" max="73" width="8.83203125" style="93" customWidth="1"/>
    <col min="74" max="89" width="9.6640625" style="93" customWidth="1"/>
    <col min="90" max="94" width="9.33203125" style="93" customWidth="1"/>
    <col min="95" max="95" width="11.1640625" style="93" customWidth="1"/>
    <col min="96" max="96" width="8.6640625" style="93" customWidth="1"/>
    <col min="97" max="97" width="8" style="93" customWidth="1"/>
    <col min="98" max="98" width="9" style="93" customWidth="1"/>
    <col min="99" max="99" width="9.6640625" style="93" customWidth="1"/>
    <col min="100" max="100" width="9.33203125" style="93" customWidth="1"/>
    <col min="101" max="101" width="10.5" style="93" customWidth="1"/>
    <col min="102" max="102" width="11.5" style="93" customWidth="1"/>
    <col min="103" max="103" width="10.5" style="93" customWidth="1"/>
    <col min="104" max="105" width="11.5" style="93" customWidth="1"/>
    <col min="106" max="139" width="9.33203125" style="93" customWidth="1"/>
    <col min="140" max="140" width="12.6640625" style="93" customWidth="1"/>
    <col min="141" max="176" width="9.33203125" style="93" customWidth="1"/>
    <col min="177" max="195" width="7.83203125" style="93" customWidth="1"/>
    <col min="196" max="196" width="9.33203125" style="93" customWidth="1"/>
    <col min="197" max="197" width="9.6640625" style="93" customWidth="1"/>
    <col min="198" max="217" width="9.33203125" style="93" customWidth="1"/>
    <col min="218" max="218" width="11.6640625" style="93" customWidth="1"/>
    <col min="219" max="219" width="13" style="93" customWidth="1"/>
    <col min="220" max="220" width="12.6640625" style="93" customWidth="1"/>
    <col min="221" max="221" width="14.5" style="93" customWidth="1"/>
    <col min="222" max="222" width="12.33203125" style="93" customWidth="1"/>
    <col min="223" max="223" width="11.33203125" style="93" customWidth="1"/>
    <col min="224" max="229" width="9.5" style="93" bestFit="1" customWidth="1"/>
    <col min="230" max="16384" width="9.33203125" style="93"/>
  </cols>
  <sheetData>
    <row r="1" spans="1:252" ht="30" customHeight="1" x14ac:dyDescent="0.2">
      <c r="A1" s="90"/>
      <c r="B1" s="90"/>
      <c r="C1" s="153" t="s">
        <v>1</v>
      </c>
      <c r="D1" s="149"/>
      <c r="E1" s="149"/>
      <c r="F1" s="149"/>
      <c r="G1" s="149"/>
      <c r="H1" s="148" t="s">
        <v>0</v>
      </c>
      <c r="I1" s="148"/>
      <c r="J1" s="148"/>
      <c r="K1" s="148"/>
      <c r="L1" s="148"/>
      <c r="M1" s="148" t="s">
        <v>2</v>
      </c>
      <c r="N1" s="148"/>
      <c r="O1" s="148"/>
      <c r="P1" s="148"/>
      <c r="Q1" s="148"/>
      <c r="R1" s="148" t="s">
        <v>47</v>
      </c>
      <c r="S1" s="148"/>
      <c r="T1" s="148"/>
      <c r="U1" s="148"/>
      <c r="V1" s="148"/>
      <c r="W1" s="148" t="s">
        <v>48</v>
      </c>
      <c r="X1" s="148"/>
      <c r="Y1" s="148"/>
      <c r="Z1" s="148"/>
      <c r="AA1" s="148"/>
      <c r="AB1" s="148" t="s">
        <v>7</v>
      </c>
      <c r="AC1" s="148"/>
      <c r="AD1" s="148"/>
      <c r="AE1" s="148"/>
      <c r="AF1" s="148"/>
      <c r="AG1" s="148" t="s">
        <v>8</v>
      </c>
      <c r="AH1" s="148"/>
      <c r="AI1" s="148"/>
      <c r="AJ1" s="148"/>
      <c r="AK1" s="148"/>
      <c r="AL1" s="148" t="s">
        <v>220</v>
      </c>
      <c r="AM1" s="148"/>
      <c r="AN1" s="148"/>
      <c r="AO1" s="148"/>
      <c r="AP1" s="148"/>
      <c r="AQ1" s="91"/>
      <c r="AR1" s="148" t="s">
        <v>200</v>
      </c>
      <c r="AS1" s="148"/>
      <c r="AT1" s="148"/>
      <c r="AU1" s="148"/>
      <c r="AV1" s="148"/>
      <c r="AW1" s="91"/>
      <c r="AX1" s="148" t="s">
        <v>3</v>
      </c>
      <c r="AY1" s="148"/>
      <c r="AZ1" s="148"/>
      <c r="BA1" s="148"/>
      <c r="BB1" s="148"/>
      <c r="BC1" s="148" t="s">
        <v>6</v>
      </c>
      <c r="BD1" s="148"/>
      <c r="BE1" s="148"/>
      <c r="BF1" s="148"/>
      <c r="BG1" s="148"/>
      <c r="BH1" s="148" t="s">
        <v>4</v>
      </c>
      <c r="BI1" s="148"/>
      <c r="BJ1" s="148"/>
      <c r="BK1" s="148"/>
      <c r="BL1" s="148"/>
      <c r="BM1" s="148" t="s">
        <v>5</v>
      </c>
      <c r="BN1" s="148"/>
      <c r="BO1" s="148"/>
      <c r="BP1" s="148"/>
      <c r="BQ1" s="148"/>
      <c r="BR1" s="148" t="s">
        <v>9</v>
      </c>
      <c r="BS1" s="148"/>
      <c r="BT1" s="148"/>
      <c r="BU1" s="148"/>
      <c r="BV1" s="148" t="s">
        <v>10</v>
      </c>
      <c r="BW1" s="148"/>
      <c r="BX1" s="148"/>
      <c r="BY1" s="148"/>
      <c r="BZ1" s="148" t="s">
        <v>11</v>
      </c>
      <c r="CA1" s="148"/>
      <c r="CB1" s="148"/>
      <c r="CC1" s="148"/>
      <c r="CD1" s="148" t="s">
        <v>12</v>
      </c>
      <c r="CE1" s="148"/>
      <c r="CF1" s="148"/>
      <c r="CG1" s="148"/>
      <c r="CH1" s="148" t="s">
        <v>221</v>
      </c>
      <c r="CI1" s="148"/>
      <c r="CJ1" s="148"/>
      <c r="CK1" s="148"/>
      <c r="CL1" s="148" t="s">
        <v>13</v>
      </c>
      <c r="CM1" s="148"/>
      <c r="CN1" s="148"/>
      <c r="CO1" s="148"/>
      <c r="CP1" s="148"/>
      <c r="CQ1" s="150" t="s">
        <v>14</v>
      </c>
      <c r="CR1" s="148"/>
      <c r="CS1" s="148"/>
      <c r="CT1" s="148"/>
      <c r="CU1" s="148"/>
      <c r="CV1" s="150" t="s">
        <v>49</v>
      </c>
      <c r="CW1" s="148"/>
      <c r="CX1" s="148"/>
      <c r="CY1" s="148"/>
      <c r="CZ1" s="148"/>
      <c r="DA1" s="150" t="s">
        <v>169</v>
      </c>
      <c r="DB1" s="148"/>
      <c r="DC1" s="148"/>
      <c r="DD1" s="148"/>
      <c r="DE1" s="148"/>
      <c r="DF1" s="150" t="s">
        <v>15</v>
      </c>
      <c r="DG1" s="148"/>
      <c r="DH1" s="148"/>
      <c r="DI1" s="148"/>
      <c r="DJ1" s="148"/>
      <c r="DK1" s="148" t="s">
        <v>269</v>
      </c>
      <c r="DL1" s="148"/>
      <c r="DM1" s="148"/>
      <c r="DN1" s="148"/>
      <c r="DO1" s="148"/>
      <c r="DP1" s="148" t="s">
        <v>17</v>
      </c>
      <c r="DQ1" s="148"/>
      <c r="DR1" s="148"/>
      <c r="DS1" s="148"/>
      <c r="DT1" s="148"/>
      <c r="DU1" s="150" t="s">
        <v>18</v>
      </c>
      <c r="DV1" s="150"/>
      <c r="DW1" s="150"/>
      <c r="DX1" s="150"/>
      <c r="DY1" s="92"/>
      <c r="DZ1" s="92" t="s">
        <v>281</v>
      </c>
      <c r="EA1" s="92"/>
      <c r="EB1" s="92"/>
      <c r="EC1" s="92"/>
      <c r="ED1" s="92"/>
      <c r="EE1" s="148" t="s">
        <v>201</v>
      </c>
      <c r="EF1" s="148"/>
      <c r="EG1" s="148"/>
      <c r="EH1" s="148"/>
      <c r="EI1" s="148"/>
      <c r="EJ1" s="151" t="s">
        <v>16</v>
      </c>
      <c r="EK1" s="152"/>
      <c r="EL1" s="148" t="s">
        <v>19</v>
      </c>
      <c r="EM1" s="148"/>
      <c r="EN1" s="148"/>
      <c r="EO1" s="148"/>
      <c r="EP1" s="148"/>
      <c r="EQ1" s="148" t="s">
        <v>20</v>
      </c>
      <c r="ER1" s="148"/>
      <c r="ES1" s="148"/>
      <c r="ET1" s="148"/>
      <c r="EU1" s="148"/>
      <c r="EV1" s="148" t="s">
        <v>21</v>
      </c>
      <c r="EW1" s="148"/>
      <c r="EX1" s="148"/>
      <c r="EY1" s="148"/>
      <c r="EZ1" s="148"/>
      <c r="FA1" s="148" t="s">
        <v>22</v>
      </c>
      <c r="FB1" s="148"/>
      <c r="FC1" s="148"/>
      <c r="FD1" s="148"/>
      <c r="FE1" s="148"/>
      <c r="FF1" s="148" t="s">
        <v>23</v>
      </c>
      <c r="FG1" s="148"/>
      <c r="FH1" s="148"/>
      <c r="FI1" s="148"/>
      <c r="FJ1" s="148"/>
      <c r="FK1" s="148" t="s">
        <v>24</v>
      </c>
      <c r="FL1" s="148"/>
      <c r="FM1" s="148"/>
      <c r="FN1" s="148"/>
      <c r="FO1" s="148"/>
      <c r="FP1" s="148" t="s">
        <v>25</v>
      </c>
      <c r="FQ1" s="148"/>
      <c r="FR1" s="148"/>
      <c r="FS1" s="148"/>
      <c r="FT1" s="148"/>
      <c r="FU1" s="149" t="s">
        <v>26</v>
      </c>
      <c r="FV1" s="149"/>
      <c r="FW1" s="149"/>
      <c r="FX1" s="149"/>
      <c r="FY1" s="149"/>
      <c r="FZ1" s="149" t="s">
        <v>27</v>
      </c>
      <c r="GA1" s="149"/>
      <c r="GB1" s="149"/>
      <c r="GC1" s="149"/>
      <c r="GD1" s="149"/>
      <c r="GE1" s="149" t="s">
        <v>28</v>
      </c>
      <c r="GF1" s="149"/>
      <c r="GG1" s="149"/>
      <c r="GH1" s="149"/>
      <c r="GI1" s="149"/>
      <c r="GJ1" s="149" t="s">
        <v>29</v>
      </c>
      <c r="GK1" s="149"/>
      <c r="GL1" s="149"/>
      <c r="GM1" s="149"/>
      <c r="GN1" s="149"/>
      <c r="GO1" s="148" t="s">
        <v>30</v>
      </c>
      <c r="GP1" s="148"/>
      <c r="GQ1" s="148"/>
      <c r="GR1" s="148"/>
      <c r="GS1" s="148"/>
      <c r="GT1" s="148" t="s">
        <v>31</v>
      </c>
      <c r="GU1" s="148"/>
      <c r="GV1" s="148"/>
      <c r="GW1" s="148"/>
      <c r="GX1" s="148"/>
      <c r="GY1" s="148"/>
      <c r="GZ1" s="148"/>
      <c r="HA1" s="148"/>
      <c r="HB1" s="148"/>
      <c r="HC1" s="148"/>
      <c r="HD1" s="148" t="s">
        <v>202</v>
      </c>
      <c r="HE1" s="148"/>
      <c r="HF1" s="148"/>
      <c r="HG1" s="148"/>
      <c r="HH1" s="148"/>
      <c r="HI1" s="148" t="s">
        <v>65</v>
      </c>
      <c r="HJ1" s="148"/>
      <c r="HK1" s="148"/>
      <c r="HL1" s="147" t="s">
        <v>156</v>
      </c>
      <c r="HM1" s="147"/>
      <c r="HN1" s="147"/>
      <c r="HO1" s="147"/>
      <c r="HP1" s="147"/>
      <c r="HQ1" s="147" t="s">
        <v>157</v>
      </c>
      <c r="HR1" s="147"/>
      <c r="HS1" s="147"/>
      <c r="HT1" s="147"/>
      <c r="HU1" s="147"/>
    </row>
    <row r="2" spans="1:252" ht="15" customHeight="1" x14ac:dyDescent="0.2">
      <c r="A2" s="94" t="s">
        <v>33</v>
      </c>
      <c r="B2" s="90" t="s">
        <v>34</v>
      </c>
      <c r="C2" s="95">
        <v>2006</v>
      </c>
      <c r="D2" s="95">
        <v>2007</v>
      </c>
      <c r="E2" s="95">
        <v>2008</v>
      </c>
      <c r="F2" s="95">
        <v>2009</v>
      </c>
      <c r="G2" s="95">
        <v>2010</v>
      </c>
      <c r="H2" s="95">
        <v>2006</v>
      </c>
      <c r="I2" s="95">
        <v>2007</v>
      </c>
      <c r="J2" s="95">
        <v>2008</v>
      </c>
      <c r="K2" s="95">
        <v>2009</v>
      </c>
      <c r="L2" s="95">
        <v>2010</v>
      </c>
      <c r="M2" s="95">
        <v>2006</v>
      </c>
      <c r="N2" s="95">
        <v>2007</v>
      </c>
      <c r="O2" s="95">
        <v>2008</v>
      </c>
      <c r="P2" s="95">
        <v>2009</v>
      </c>
      <c r="Q2" s="95">
        <v>2010</v>
      </c>
      <c r="R2" s="95">
        <v>2006</v>
      </c>
      <c r="S2" s="95">
        <v>2007</v>
      </c>
      <c r="T2" s="95">
        <v>2008</v>
      </c>
      <c r="U2" s="95">
        <v>2009</v>
      </c>
      <c r="V2" s="95">
        <v>2010</v>
      </c>
      <c r="W2" s="95">
        <v>2006</v>
      </c>
      <c r="X2" s="95">
        <v>2007</v>
      </c>
      <c r="Y2" s="95">
        <v>2008</v>
      </c>
      <c r="Z2" s="95">
        <v>2009</v>
      </c>
      <c r="AA2" s="95">
        <v>2010</v>
      </c>
      <c r="AB2" s="95">
        <v>2006</v>
      </c>
      <c r="AC2" s="95">
        <v>2007</v>
      </c>
      <c r="AD2" s="95">
        <v>2008</v>
      </c>
      <c r="AE2" s="95">
        <v>2009</v>
      </c>
      <c r="AF2" s="95">
        <v>2010</v>
      </c>
      <c r="AG2" s="95">
        <v>2006</v>
      </c>
      <c r="AH2" s="95">
        <v>2007</v>
      </c>
      <c r="AI2" s="95">
        <v>2008</v>
      </c>
      <c r="AJ2" s="95">
        <v>2009</v>
      </c>
      <c r="AK2" s="95">
        <v>2010</v>
      </c>
      <c r="AL2" s="95" t="s">
        <v>35</v>
      </c>
      <c r="AM2" s="95" t="s">
        <v>36</v>
      </c>
      <c r="AN2" s="95" t="s">
        <v>37</v>
      </c>
      <c r="AO2" s="95" t="s">
        <v>38</v>
      </c>
      <c r="AP2" s="95" t="s">
        <v>39</v>
      </c>
      <c r="AQ2" s="95" t="s">
        <v>40</v>
      </c>
      <c r="AR2" s="95" t="s">
        <v>35</v>
      </c>
      <c r="AS2" s="95" t="s">
        <v>36</v>
      </c>
      <c r="AT2" s="95" t="s">
        <v>37</v>
      </c>
      <c r="AU2" s="95" t="s">
        <v>38</v>
      </c>
      <c r="AV2" s="95" t="s">
        <v>39</v>
      </c>
      <c r="AW2" s="95" t="s">
        <v>40</v>
      </c>
      <c r="AX2" s="95">
        <v>2005</v>
      </c>
      <c r="AY2" s="95">
        <v>2006</v>
      </c>
      <c r="AZ2" s="95">
        <v>2007</v>
      </c>
      <c r="BA2" s="95">
        <v>2008</v>
      </c>
      <c r="BB2" s="96">
        <v>2009</v>
      </c>
      <c r="BC2" s="95">
        <v>2005</v>
      </c>
      <c r="BD2" s="95">
        <v>2006</v>
      </c>
      <c r="BE2" s="95">
        <v>2007</v>
      </c>
      <c r="BF2" s="95">
        <v>2008</v>
      </c>
      <c r="BG2" s="96">
        <v>2009</v>
      </c>
      <c r="BH2" s="95">
        <v>2005</v>
      </c>
      <c r="BI2" s="95">
        <v>2006</v>
      </c>
      <c r="BJ2" s="95">
        <v>2007</v>
      </c>
      <c r="BK2" s="95">
        <v>2008</v>
      </c>
      <c r="BL2" s="96">
        <v>2009</v>
      </c>
      <c r="BM2" s="95">
        <v>2005</v>
      </c>
      <c r="BN2" s="95">
        <v>2006</v>
      </c>
      <c r="BO2" s="95">
        <v>2007</v>
      </c>
      <c r="BP2" s="95">
        <v>2008</v>
      </c>
      <c r="BQ2" s="96">
        <v>2009</v>
      </c>
      <c r="BR2" s="95" t="s">
        <v>168</v>
      </c>
      <c r="BS2" s="95" t="s">
        <v>196</v>
      </c>
      <c r="BT2" s="95" t="s">
        <v>198</v>
      </c>
      <c r="BU2" s="96" t="s">
        <v>199</v>
      </c>
      <c r="BV2" s="95" t="s">
        <v>168</v>
      </c>
      <c r="BW2" s="95" t="s">
        <v>196</v>
      </c>
      <c r="BX2" s="95" t="s">
        <v>198</v>
      </c>
      <c r="BY2" s="96" t="s">
        <v>199</v>
      </c>
      <c r="BZ2" s="95" t="s">
        <v>168</v>
      </c>
      <c r="CA2" s="95" t="s">
        <v>196</v>
      </c>
      <c r="CB2" s="95" t="s">
        <v>198</v>
      </c>
      <c r="CC2" s="96" t="s">
        <v>199</v>
      </c>
      <c r="CD2" s="95" t="s">
        <v>168</v>
      </c>
      <c r="CE2" s="95" t="s">
        <v>196</v>
      </c>
      <c r="CF2" s="95" t="s">
        <v>198</v>
      </c>
      <c r="CG2" s="96" t="s">
        <v>199</v>
      </c>
      <c r="CH2" s="95" t="s">
        <v>168</v>
      </c>
      <c r="CI2" s="95" t="s">
        <v>196</v>
      </c>
      <c r="CJ2" s="95" t="s">
        <v>198</v>
      </c>
      <c r="CK2" s="96" t="s">
        <v>199</v>
      </c>
      <c r="CL2" s="97" t="s">
        <v>271</v>
      </c>
      <c r="CM2" s="97" t="s">
        <v>272</v>
      </c>
      <c r="CN2" s="97" t="s">
        <v>273</v>
      </c>
      <c r="CO2" s="97" t="s">
        <v>274</v>
      </c>
      <c r="CP2" s="95"/>
      <c r="CQ2" s="97" t="s">
        <v>271</v>
      </c>
      <c r="CR2" s="97" t="s">
        <v>272</v>
      </c>
      <c r="CS2" s="97" t="s">
        <v>273</v>
      </c>
      <c r="CT2" s="97" t="s">
        <v>274</v>
      </c>
      <c r="CU2" s="95"/>
      <c r="CV2" s="97" t="s">
        <v>271</v>
      </c>
      <c r="CW2" s="97" t="s">
        <v>272</v>
      </c>
      <c r="CX2" s="97" t="s">
        <v>273</v>
      </c>
      <c r="CY2" s="97" t="s">
        <v>274</v>
      </c>
      <c r="CZ2" s="95"/>
      <c r="DA2" s="97" t="s">
        <v>271</v>
      </c>
      <c r="DB2" s="97" t="s">
        <v>272</v>
      </c>
      <c r="DC2" s="97" t="s">
        <v>273</v>
      </c>
      <c r="DD2" s="97" t="s">
        <v>274</v>
      </c>
      <c r="DE2" s="95"/>
      <c r="DF2" s="97" t="s">
        <v>271</v>
      </c>
      <c r="DG2" s="97" t="s">
        <v>272</v>
      </c>
      <c r="DH2" s="97" t="s">
        <v>273</v>
      </c>
      <c r="DI2" s="97" t="s">
        <v>274</v>
      </c>
      <c r="DJ2" s="95"/>
      <c r="DK2" s="97" t="s">
        <v>271</v>
      </c>
      <c r="DL2" s="97" t="s">
        <v>272</v>
      </c>
      <c r="DM2" s="97" t="s">
        <v>273</v>
      </c>
      <c r="DN2" s="97" t="s">
        <v>274</v>
      </c>
      <c r="DO2" s="95"/>
      <c r="DP2" s="97" t="s">
        <v>271</v>
      </c>
      <c r="DQ2" s="97" t="s">
        <v>272</v>
      </c>
      <c r="DR2" s="97" t="s">
        <v>273</v>
      </c>
      <c r="DS2" s="97" t="s">
        <v>274</v>
      </c>
      <c r="DT2" s="95"/>
      <c r="DU2" s="97" t="s">
        <v>275</v>
      </c>
      <c r="DV2" s="97" t="s">
        <v>276</v>
      </c>
      <c r="DW2" s="97" t="s">
        <v>277</v>
      </c>
      <c r="DX2" s="97" t="s">
        <v>278</v>
      </c>
      <c r="DY2" s="96"/>
      <c r="DZ2" s="95" t="s">
        <v>168</v>
      </c>
      <c r="EA2" s="95" t="s">
        <v>196</v>
      </c>
      <c r="EB2" s="95" t="s">
        <v>198</v>
      </c>
      <c r="EC2" s="96" t="s">
        <v>199</v>
      </c>
      <c r="ED2" s="95"/>
      <c r="EE2" s="95" t="s">
        <v>41</v>
      </c>
      <c r="EF2" s="95" t="s">
        <v>42</v>
      </c>
      <c r="EG2" s="95" t="s">
        <v>43</v>
      </c>
      <c r="EH2" s="95" t="s">
        <v>38</v>
      </c>
      <c r="EI2" s="95" t="s">
        <v>44</v>
      </c>
      <c r="EJ2" s="97" t="s">
        <v>274</v>
      </c>
      <c r="EK2" s="96"/>
      <c r="EL2" s="97" t="s">
        <v>271</v>
      </c>
      <c r="EM2" s="97" t="s">
        <v>272</v>
      </c>
      <c r="EN2" s="97" t="s">
        <v>273</v>
      </c>
      <c r="EO2" s="97" t="s">
        <v>274</v>
      </c>
      <c r="EP2" s="95"/>
      <c r="EQ2" s="97" t="s">
        <v>271</v>
      </c>
      <c r="ER2" s="97" t="s">
        <v>272</v>
      </c>
      <c r="ES2" s="97" t="s">
        <v>273</v>
      </c>
      <c r="ET2" s="97" t="s">
        <v>274</v>
      </c>
      <c r="EU2" s="95"/>
      <c r="EV2" s="97" t="s">
        <v>271</v>
      </c>
      <c r="EW2" s="97" t="s">
        <v>272</v>
      </c>
      <c r="EX2" s="97" t="s">
        <v>273</v>
      </c>
      <c r="EY2" s="97" t="s">
        <v>274</v>
      </c>
      <c r="EZ2" s="95"/>
      <c r="FA2" s="97" t="s">
        <v>271</v>
      </c>
      <c r="FB2" s="97" t="s">
        <v>272</v>
      </c>
      <c r="FC2" s="97" t="s">
        <v>273</v>
      </c>
      <c r="FD2" s="97" t="s">
        <v>274</v>
      </c>
      <c r="FE2" s="95"/>
      <c r="FF2" s="97" t="s">
        <v>271</v>
      </c>
      <c r="FG2" s="97" t="s">
        <v>272</v>
      </c>
      <c r="FH2" s="97" t="s">
        <v>273</v>
      </c>
      <c r="FI2" s="97" t="s">
        <v>274</v>
      </c>
      <c r="FJ2" s="95"/>
      <c r="FK2" s="97" t="s">
        <v>271</v>
      </c>
      <c r="FL2" s="97" t="s">
        <v>272</v>
      </c>
      <c r="FM2" s="97" t="s">
        <v>273</v>
      </c>
      <c r="FN2" s="97" t="s">
        <v>274</v>
      </c>
      <c r="FO2" s="95"/>
      <c r="FP2" s="97" t="s">
        <v>271</v>
      </c>
      <c r="FQ2" s="97" t="s">
        <v>272</v>
      </c>
      <c r="FR2" s="97" t="s">
        <v>273</v>
      </c>
      <c r="FS2" s="97" t="s">
        <v>274</v>
      </c>
      <c r="FT2" s="95"/>
      <c r="FU2" s="97" t="s">
        <v>271</v>
      </c>
      <c r="FV2" s="97" t="s">
        <v>272</v>
      </c>
      <c r="FW2" s="97" t="s">
        <v>273</v>
      </c>
      <c r="FX2" s="97" t="s">
        <v>274</v>
      </c>
      <c r="FY2" s="95"/>
      <c r="FZ2" s="97" t="s">
        <v>271</v>
      </c>
      <c r="GA2" s="97" t="s">
        <v>272</v>
      </c>
      <c r="GB2" s="97" t="s">
        <v>273</v>
      </c>
      <c r="GC2" s="97" t="s">
        <v>274</v>
      </c>
      <c r="GD2" s="95"/>
      <c r="GE2" s="97" t="s">
        <v>271</v>
      </c>
      <c r="GF2" s="97" t="s">
        <v>272</v>
      </c>
      <c r="GG2" s="97" t="s">
        <v>273</v>
      </c>
      <c r="GH2" s="97" t="s">
        <v>274</v>
      </c>
      <c r="GI2" s="95"/>
      <c r="GJ2" s="97" t="s">
        <v>271</v>
      </c>
      <c r="GK2" s="97" t="s">
        <v>272</v>
      </c>
      <c r="GL2" s="97" t="s">
        <v>273</v>
      </c>
      <c r="GM2" s="97" t="s">
        <v>274</v>
      </c>
      <c r="GN2" s="95"/>
      <c r="GO2" s="97" t="s">
        <v>271</v>
      </c>
      <c r="GP2" s="97" t="s">
        <v>272</v>
      </c>
      <c r="GQ2" s="97" t="s">
        <v>273</v>
      </c>
      <c r="GR2" s="97" t="s">
        <v>274</v>
      </c>
      <c r="GS2" s="95"/>
      <c r="GT2" s="97" t="s">
        <v>271</v>
      </c>
      <c r="GU2" s="97" t="s">
        <v>272</v>
      </c>
      <c r="GV2" s="97" t="s">
        <v>273</v>
      </c>
      <c r="GW2" s="97" t="s">
        <v>274</v>
      </c>
      <c r="GX2" s="95"/>
      <c r="GY2" s="95"/>
      <c r="GZ2" s="95"/>
      <c r="HA2" s="95"/>
      <c r="HB2" s="95"/>
      <c r="HC2" s="95"/>
      <c r="HD2" s="95" t="s">
        <v>45</v>
      </c>
      <c r="HE2" s="95" t="s">
        <v>42</v>
      </c>
      <c r="HF2" s="95" t="s">
        <v>43</v>
      </c>
      <c r="HG2" s="95" t="s">
        <v>38</v>
      </c>
      <c r="HH2" s="95" t="s">
        <v>40</v>
      </c>
      <c r="HI2" s="97" t="s">
        <v>271</v>
      </c>
      <c r="HJ2" s="97" t="s">
        <v>272</v>
      </c>
      <c r="HK2" s="97" t="s">
        <v>273</v>
      </c>
      <c r="HL2" s="97" t="s">
        <v>271</v>
      </c>
      <c r="HM2" s="97" t="s">
        <v>272</v>
      </c>
      <c r="HN2" s="97" t="s">
        <v>273</v>
      </c>
      <c r="HO2" s="97" t="s">
        <v>274</v>
      </c>
      <c r="HP2" s="95"/>
      <c r="HQ2" s="97" t="s">
        <v>271</v>
      </c>
      <c r="HR2" s="97" t="s">
        <v>272</v>
      </c>
      <c r="HS2" s="97" t="s">
        <v>273</v>
      </c>
      <c r="HT2" s="97" t="s">
        <v>274</v>
      </c>
      <c r="HU2" s="95"/>
      <c r="HV2" s="97" t="s">
        <v>271</v>
      </c>
      <c r="HW2" s="97" t="s">
        <v>272</v>
      </c>
      <c r="HX2" s="97" t="s">
        <v>273</v>
      </c>
      <c r="HY2" s="97" t="s">
        <v>274</v>
      </c>
    </row>
    <row r="3" spans="1:252" x14ac:dyDescent="0.2">
      <c r="A3" s="93">
        <v>0</v>
      </c>
      <c r="B3" s="98" t="s">
        <v>32</v>
      </c>
      <c r="C3" s="99">
        <v>5167101</v>
      </c>
      <c r="D3" s="99">
        <v>5197621</v>
      </c>
      <c r="E3" s="99">
        <v>5220393</v>
      </c>
      <c r="F3" s="99">
        <v>5266214</v>
      </c>
      <c r="G3" s="99">
        <v>5303925</v>
      </c>
      <c r="H3" s="99">
        <v>2061551</v>
      </c>
      <c r="I3" s="99">
        <v>2080877</v>
      </c>
      <c r="J3" s="99">
        <v>2095574</v>
      </c>
      <c r="K3" s="99">
        <v>2108843</v>
      </c>
      <c r="L3" s="99">
        <v>2087227</v>
      </c>
      <c r="M3" s="100">
        <v>17.877768352172037</v>
      </c>
      <c r="N3" s="100">
        <v>18.042272645290243</v>
      </c>
      <c r="O3" s="101">
        <v>18.405817030301797</v>
      </c>
      <c r="P3" s="101">
        <v>18.90554594234591</v>
      </c>
      <c r="Q3" s="102">
        <v>19.202697908766517</v>
      </c>
      <c r="R3" s="100">
        <v>29.360226799640841</v>
      </c>
      <c r="S3" s="100">
        <v>29.355616104577891</v>
      </c>
      <c r="T3" s="100">
        <v>29.300242876124123</v>
      </c>
      <c r="U3" s="100">
        <v>29.458821686574556</v>
      </c>
      <c r="V3" s="100">
        <v>29.891927356383359</v>
      </c>
      <c r="W3" s="100">
        <v>47.237995151812882</v>
      </c>
      <c r="X3" s="100">
        <v>47.39788874986813</v>
      </c>
      <c r="Y3" s="100">
        <v>47.706059906425921</v>
      </c>
      <c r="Z3" s="100">
        <v>48.364367628920469</v>
      </c>
      <c r="AA3" s="100">
        <v>49.094625265149872</v>
      </c>
      <c r="AB3" s="103">
        <v>4</v>
      </c>
      <c r="AC3" s="103">
        <v>4.5999999999999996</v>
      </c>
      <c r="AD3" s="103">
        <v>5.4</v>
      </c>
      <c r="AE3" s="103">
        <v>8</v>
      </c>
      <c r="AF3" s="100">
        <v>7.3</v>
      </c>
      <c r="AG3" s="99">
        <v>120949.0833333333</v>
      </c>
      <c r="AH3" s="99">
        <v>126086.41666666667</v>
      </c>
      <c r="AI3" s="104">
        <v>134859.25</v>
      </c>
      <c r="AJ3" s="104">
        <v>169710.66666666669</v>
      </c>
      <c r="AK3" s="105">
        <v>203064.83333333328</v>
      </c>
      <c r="AL3" s="106">
        <v>4615613</v>
      </c>
      <c r="AM3" s="106">
        <v>231053</v>
      </c>
      <c r="AN3" s="106">
        <v>60491</v>
      </c>
      <c r="AO3" s="106">
        <v>183831</v>
      </c>
      <c r="AP3" s="106">
        <v>0</v>
      </c>
      <c r="AQ3" s="106">
        <v>196135</v>
      </c>
      <c r="AR3" s="106">
        <v>4524062</v>
      </c>
      <c r="AS3" s="106">
        <v>274412</v>
      </c>
      <c r="AT3" s="106">
        <v>60916</v>
      </c>
      <c r="AU3" s="106">
        <v>216390</v>
      </c>
      <c r="AV3" s="106">
        <v>125145</v>
      </c>
      <c r="AW3" s="106">
        <v>250258</v>
      </c>
      <c r="AX3" s="107">
        <v>37290</v>
      </c>
      <c r="AY3" s="107">
        <v>38859</v>
      </c>
      <c r="AZ3" s="107">
        <v>41105</v>
      </c>
      <c r="BA3" s="107">
        <v>42953</v>
      </c>
      <c r="BB3" s="107">
        <v>41854</v>
      </c>
      <c r="BC3" s="107">
        <v>52048</v>
      </c>
      <c r="BD3" s="107">
        <v>54022</v>
      </c>
      <c r="BE3" s="107">
        <v>55664</v>
      </c>
      <c r="BF3" s="108">
        <v>57318</v>
      </c>
      <c r="BG3" s="108">
        <v>55621</v>
      </c>
      <c r="BH3" s="100">
        <v>9.1999999999999993</v>
      </c>
      <c r="BI3" s="100">
        <v>9.6999999999999993</v>
      </c>
      <c r="BJ3" s="100">
        <v>9.5</v>
      </c>
      <c r="BK3" s="100">
        <v>9.6</v>
      </c>
      <c r="BL3" s="100">
        <v>10.9</v>
      </c>
      <c r="BM3" s="100">
        <v>11.6</v>
      </c>
      <c r="BN3" s="109">
        <v>12</v>
      </c>
      <c r="BO3" s="100">
        <v>11.9</v>
      </c>
      <c r="BP3" s="100">
        <v>11.4</v>
      </c>
      <c r="BQ3" s="100">
        <v>13.9</v>
      </c>
      <c r="BR3" s="110">
        <v>837578</v>
      </c>
      <c r="BS3" s="110">
        <v>835934</v>
      </c>
      <c r="BT3" s="110">
        <v>836630</v>
      </c>
      <c r="BU3" s="110">
        <v>837640</v>
      </c>
      <c r="BV3" s="100">
        <v>31.628099114351144</v>
      </c>
      <c r="BW3" s="100">
        <v>32.726626743259636</v>
      </c>
      <c r="BX3" s="103">
        <v>35.487132902238741</v>
      </c>
      <c r="BY3" s="103">
        <v>36.566305334033714</v>
      </c>
      <c r="BZ3" s="100">
        <v>7.4770349746531073</v>
      </c>
      <c r="CA3" s="100">
        <v>7.6293104479540252</v>
      </c>
      <c r="CB3" s="103">
        <v>7.3384889377622127</v>
      </c>
      <c r="CC3" s="103">
        <v>7.6561530012893364</v>
      </c>
      <c r="CD3" s="100">
        <v>14.259089899686956</v>
      </c>
      <c r="CE3" s="100">
        <v>14.437503439266736</v>
      </c>
      <c r="CF3" s="103">
        <v>14.608488818235061</v>
      </c>
      <c r="CG3" s="103">
        <v>14.839071677570317</v>
      </c>
      <c r="CH3" s="100">
        <v>74.8</v>
      </c>
      <c r="CI3" s="105">
        <v>74.900000000000006</v>
      </c>
      <c r="CJ3" s="111">
        <v>75.900000000000006</v>
      </c>
      <c r="CK3" s="111">
        <v>76.821750059683467</v>
      </c>
      <c r="CL3" s="112">
        <v>324810</v>
      </c>
      <c r="CM3" s="112">
        <v>326784</v>
      </c>
      <c r="CN3" s="112">
        <v>346241</v>
      </c>
      <c r="CO3" s="112">
        <v>358596</v>
      </c>
      <c r="CP3" s="112"/>
      <c r="CQ3" s="113">
        <v>14.361834846548652</v>
      </c>
      <c r="CR3" s="113">
        <v>13.751386410027759</v>
      </c>
      <c r="CS3" s="113">
        <v>13.686828604076776</v>
      </c>
      <c r="CT3" s="113">
        <v>13.710285512807484</v>
      </c>
      <c r="CU3" s="112"/>
      <c r="CV3" s="114">
        <v>4.3125994187462249</v>
      </c>
      <c r="CW3" s="114">
        <v>4.4539779863767377</v>
      </c>
      <c r="CX3" s="114">
        <v>4.7336906080656265</v>
      </c>
      <c r="CY3" s="114">
        <v>4.8418063740089403</v>
      </c>
      <c r="CZ3" s="112"/>
      <c r="DA3" s="113">
        <v>7.2349451610678068</v>
      </c>
      <c r="DB3" s="113">
        <v>7.4177389949908843</v>
      </c>
      <c r="DC3" s="113">
        <v>8.1499240949916079</v>
      </c>
      <c r="DD3" s="113">
        <v>8.1416680267667694</v>
      </c>
      <c r="DE3" s="112"/>
      <c r="DF3" s="113">
        <v>82.434109376661965</v>
      </c>
      <c r="DG3" s="113">
        <v>84.323713423401244</v>
      </c>
      <c r="DH3" s="113">
        <v>85.858991225423338</v>
      </c>
      <c r="DI3" s="113">
        <v>86.013142944701912</v>
      </c>
      <c r="DJ3" s="112"/>
      <c r="DK3" s="114">
        <v>14.443236274611939</v>
      </c>
      <c r="DL3" s="114">
        <v>12.261212759593754</v>
      </c>
      <c r="DM3" s="114">
        <v>10.170353573731582</v>
      </c>
      <c r="DN3" s="114">
        <v>9.7808703936847117</v>
      </c>
      <c r="DO3" s="112"/>
      <c r="DP3" s="113">
        <v>23.34391560459051</v>
      </c>
      <c r="DQ3" s="113">
        <v>25.431733730020262</v>
      </c>
      <c r="DR3" s="113">
        <v>27.948284579270496</v>
      </c>
      <c r="DS3" s="113">
        <v>32.866793482202127</v>
      </c>
      <c r="DT3" s="112"/>
      <c r="DU3" s="115">
        <v>2340</v>
      </c>
      <c r="DV3" s="115">
        <v>1990</v>
      </c>
      <c r="DW3" s="115">
        <v>1728</v>
      </c>
      <c r="DX3" s="115">
        <v>1893</v>
      </c>
      <c r="DY3" s="112"/>
      <c r="DZ3" s="116">
        <v>5.792446123668725</v>
      </c>
      <c r="EA3" s="116">
        <v>5.5389140759930919</v>
      </c>
      <c r="EB3" s="116">
        <v>4.8605960719681365</v>
      </c>
      <c r="EC3" s="116">
        <v>4.7760816750691628</v>
      </c>
      <c r="ED3" s="112"/>
      <c r="EE3" s="113">
        <v>75.2</v>
      </c>
      <c r="EF3" s="113">
        <v>9.6999999999999993</v>
      </c>
      <c r="EG3" s="113">
        <v>2</v>
      </c>
      <c r="EH3" s="113">
        <v>7.3</v>
      </c>
      <c r="EI3" s="113">
        <v>7.5</v>
      </c>
      <c r="EJ3" s="113">
        <v>26.05224385776291</v>
      </c>
      <c r="EK3" s="113"/>
      <c r="EL3" s="115">
        <v>180398</v>
      </c>
      <c r="EM3" s="115">
        <v>187264</v>
      </c>
      <c r="EN3" s="115">
        <v>188055</v>
      </c>
      <c r="EO3" s="115">
        <v>189138</v>
      </c>
      <c r="EP3" s="112"/>
      <c r="EQ3" s="114">
        <v>797.64978992262672</v>
      </c>
      <c r="ER3" s="114">
        <v>788.02500265846504</v>
      </c>
      <c r="ES3" s="114">
        <v>743.37717172133227</v>
      </c>
      <c r="ET3" s="114">
        <v>723.13577990869442</v>
      </c>
      <c r="EU3" s="112"/>
      <c r="EV3" s="113">
        <v>812.9</v>
      </c>
      <c r="EW3" s="113">
        <v>783.1</v>
      </c>
      <c r="EX3" s="113">
        <v>714</v>
      </c>
      <c r="EY3" s="113">
        <v>663.2</v>
      </c>
      <c r="EZ3" s="112"/>
      <c r="FA3" s="115">
        <v>51979</v>
      </c>
      <c r="FB3" s="115">
        <v>47283</v>
      </c>
      <c r="FC3" s="115">
        <v>41236</v>
      </c>
      <c r="FD3" s="115">
        <v>36893</v>
      </c>
      <c r="FE3" s="112"/>
      <c r="FF3" s="115">
        <v>42528</v>
      </c>
      <c r="FG3" s="115">
        <v>44447</v>
      </c>
      <c r="FH3" s="115">
        <v>45206</v>
      </c>
      <c r="FI3" s="115">
        <v>46841</v>
      </c>
      <c r="FJ3" s="112"/>
      <c r="FK3" s="115">
        <v>14712</v>
      </c>
      <c r="FL3" s="115">
        <v>14620</v>
      </c>
      <c r="FM3" s="115">
        <v>12865</v>
      </c>
      <c r="FN3" s="115">
        <v>10566</v>
      </c>
      <c r="FO3" s="112"/>
      <c r="FP3" s="115">
        <v>7710</v>
      </c>
      <c r="FQ3" s="115">
        <v>8596</v>
      </c>
      <c r="FR3" s="115">
        <v>9363</v>
      </c>
      <c r="FS3" s="115">
        <v>10100</v>
      </c>
      <c r="FT3" s="112"/>
      <c r="FU3" s="113">
        <v>234.16935484999999</v>
      </c>
      <c r="FV3" s="113">
        <v>196.37519061</v>
      </c>
      <c r="FW3" s="113">
        <v>154.11566668</v>
      </c>
      <c r="FX3" s="113">
        <v>126.55212321</v>
      </c>
      <c r="FY3" s="112"/>
      <c r="FZ3" s="113">
        <v>196.33153300000001</v>
      </c>
      <c r="GA3" s="113">
        <v>191.55026144999999</v>
      </c>
      <c r="GB3" s="113">
        <v>178.2303685</v>
      </c>
      <c r="GC3" s="113">
        <v>169.60137904000001</v>
      </c>
      <c r="GD3" s="112"/>
      <c r="GE3" s="113">
        <v>65.333105279999998</v>
      </c>
      <c r="GF3" s="113">
        <v>59.836208759999998</v>
      </c>
      <c r="GG3" s="113">
        <v>47.613712329999998</v>
      </c>
      <c r="GH3" s="113">
        <v>36.207636350000001</v>
      </c>
      <c r="GI3" s="112"/>
      <c r="GJ3" s="113">
        <v>32.959951709999999</v>
      </c>
      <c r="GK3" s="113">
        <v>35.085334119999999</v>
      </c>
      <c r="GL3" s="113">
        <v>35.598075139999999</v>
      </c>
      <c r="GM3" s="113">
        <v>36.181503820000003</v>
      </c>
      <c r="GN3" s="112"/>
      <c r="GO3" s="113">
        <v>1038.22740039</v>
      </c>
      <c r="GP3" s="113">
        <v>967.66828755999995</v>
      </c>
      <c r="GQ3" s="113">
        <v>861.84129031999998</v>
      </c>
      <c r="GR3" s="113">
        <v>794.56009222</v>
      </c>
      <c r="GS3" s="112"/>
      <c r="GT3" s="113">
        <v>655.28405958999997</v>
      </c>
      <c r="GU3" s="113">
        <v>649.86770246000003</v>
      </c>
      <c r="GV3" s="113">
        <v>602.26322567</v>
      </c>
      <c r="GW3" s="113">
        <v>561.84478101000002</v>
      </c>
      <c r="GX3" s="112"/>
      <c r="GY3" s="112"/>
      <c r="GZ3" s="112"/>
      <c r="HA3" s="112"/>
      <c r="HB3" s="112"/>
      <c r="HC3" s="112"/>
      <c r="HD3" s="115">
        <v>36793</v>
      </c>
      <c r="HE3" s="115">
        <v>921</v>
      </c>
      <c r="HF3" s="115">
        <v>439</v>
      </c>
      <c r="HG3" s="115">
        <v>530</v>
      </c>
      <c r="HH3" s="115">
        <v>313</v>
      </c>
      <c r="HI3" s="114">
        <v>34.842822598373267</v>
      </c>
      <c r="HJ3" s="114">
        <v>30.809412975826962</v>
      </c>
      <c r="HK3" s="113">
        <v>26.86007863923707</v>
      </c>
      <c r="HL3" s="112">
        <v>13637</v>
      </c>
      <c r="HM3" s="112">
        <v>14078</v>
      </c>
      <c r="HN3" s="112">
        <v>15811</v>
      </c>
      <c r="HO3" s="112">
        <v>16745</v>
      </c>
      <c r="HP3" s="112"/>
      <c r="HQ3" s="112">
        <v>20977</v>
      </c>
      <c r="HR3" s="112">
        <v>20954</v>
      </c>
      <c r="HS3" s="112">
        <v>24373</v>
      </c>
      <c r="HT3" s="112">
        <v>24942</v>
      </c>
      <c r="HU3" s="117"/>
    </row>
    <row r="4" spans="1:252" x14ac:dyDescent="0.2">
      <c r="A4" s="93">
        <v>1</v>
      </c>
      <c r="B4" s="98" t="s">
        <v>69</v>
      </c>
      <c r="C4" s="99">
        <v>16149</v>
      </c>
      <c r="D4" s="99">
        <v>15910</v>
      </c>
      <c r="E4" s="99">
        <v>15736</v>
      </c>
      <c r="F4" s="99">
        <v>15646</v>
      </c>
      <c r="G4" s="99">
        <v>16202</v>
      </c>
      <c r="H4" s="99">
        <v>7215</v>
      </c>
      <c r="I4" s="99">
        <v>7203</v>
      </c>
      <c r="J4" s="99">
        <v>7235</v>
      </c>
      <c r="K4" s="99">
        <v>7111</v>
      </c>
      <c r="L4" s="99">
        <v>7299</v>
      </c>
      <c r="M4" s="100">
        <v>39.629176854115727</v>
      </c>
      <c r="N4" s="100">
        <v>41.350698456044533</v>
      </c>
      <c r="O4" s="101">
        <v>43.128623577410352</v>
      </c>
      <c r="P4" s="101">
        <v>47.0562341806977</v>
      </c>
      <c r="Q4" s="102">
        <v>46.936821952776008</v>
      </c>
      <c r="R4" s="100">
        <v>24.887938060309697</v>
      </c>
      <c r="S4" s="100">
        <v>25.753597311206804</v>
      </c>
      <c r="T4" s="100">
        <v>25.821344213012669</v>
      </c>
      <c r="U4" s="100">
        <v>25.123803235391218</v>
      </c>
      <c r="V4" s="100">
        <v>25.388215273346095</v>
      </c>
      <c r="W4" s="100">
        <v>64.517114914425434</v>
      </c>
      <c r="X4" s="100">
        <v>67.104295767251344</v>
      </c>
      <c r="Y4" s="100">
        <v>68.949967790423017</v>
      </c>
      <c r="Z4" s="100">
        <v>72.180037416088922</v>
      </c>
      <c r="AA4" s="100">
        <v>72.325037226122106</v>
      </c>
      <c r="AB4" s="100">
        <v>5.9</v>
      </c>
      <c r="AC4" s="100">
        <v>6.9</v>
      </c>
      <c r="AD4" s="100">
        <v>8.1</v>
      </c>
      <c r="AE4" s="100">
        <v>10.6</v>
      </c>
      <c r="AF4" s="100">
        <v>9.6999999999999993</v>
      </c>
      <c r="AG4" s="99">
        <v>438.75</v>
      </c>
      <c r="AH4" s="99">
        <v>476.75</v>
      </c>
      <c r="AI4" s="104">
        <v>542.83333333333337</v>
      </c>
      <c r="AJ4" s="104">
        <v>712.58333333333337</v>
      </c>
      <c r="AK4" s="105">
        <v>811.33333333333337</v>
      </c>
      <c r="AL4" s="106">
        <v>15528</v>
      </c>
      <c r="AM4" s="106">
        <v>53</v>
      </c>
      <c r="AN4" s="106">
        <v>371</v>
      </c>
      <c r="AO4" s="106">
        <v>35</v>
      </c>
      <c r="AP4" s="106">
        <v>0</v>
      </c>
      <c r="AQ4" s="106">
        <v>112</v>
      </c>
      <c r="AR4" s="106">
        <v>15494</v>
      </c>
      <c r="AS4" s="106">
        <v>57</v>
      </c>
      <c r="AT4" s="106">
        <v>390</v>
      </c>
      <c r="AU4" s="106">
        <v>31</v>
      </c>
      <c r="AV4" s="106">
        <v>209</v>
      </c>
      <c r="AW4" s="106">
        <v>151</v>
      </c>
      <c r="AX4" s="107">
        <v>24196</v>
      </c>
      <c r="AY4" s="107">
        <v>25176</v>
      </c>
      <c r="AZ4" s="107">
        <v>26473</v>
      </c>
      <c r="BA4" s="107">
        <v>28747</v>
      </c>
      <c r="BB4" s="107">
        <v>30240</v>
      </c>
      <c r="BC4" s="107">
        <v>37268</v>
      </c>
      <c r="BD4" s="107">
        <v>36157</v>
      </c>
      <c r="BE4" s="107">
        <v>38610</v>
      </c>
      <c r="BF4" s="108">
        <v>39680</v>
      </c>
      <c r="BG4" s="108">
        <v>38924</v>
      </c>
      <c r="BH4" s="100">
        <v>14.4</v>
      </c>
      <c r="BI4" s="100">
        <v>14.8</v>
      </c>
      <c r="BJ4" s="100">
        <v>13.4</v>
      </c>
      <c r="BK4" s="100">
        <v>13.9</v>
      </c>
      <c r="BL4" s="100">
        <v>15</v>
      </c>
      <c r="BM4" s="100">
        <v>23.7</v>
      </c>
      <c r="BN4" s="109">
        <v>23.6</v>
      </c>
      <c r="BO4" s="109">
        <v>21.9</v>
      </c>
      <c r="BP4" s="109">
        <v>22.6</v>
      </c>
      <c r="BQ4" s="100">
        <v>23.9</v>
      </c>
      <c r="BR4" s="106">
        <v>2078</v>
      </c>
      <c r="BS4" s="118">
        <v>2013</v>
      </c>
      <c r="BT4" s="118">
        <v>2018</v>
      </c>
      <c r="BU4" s="110">
        <v>2034</v>
      </c>
      <c r="BV4" s="100">
        <v>45.380173243503371</v>
      </c>
      <c r="BW4" s="100">
        <v>47.938400397416792</v>
      </c>
      <c r="BX4" s="100">
        <v>51.387512388503467</v>
      </c>
      <c r="BY4" s="103">
        <v>51.474926253687315</v>
      </c>
      <c r="BZ4" s="100">
        <v>9.6246390760346495E-2</v>
      </c>
      <c r="CA4" s="100">
        <v>9.9354197714853459E-2</v>
      </c>
      <c r="CB4" s="100">
        <v>0.14866204162537167</v>
      </c>
      <c r="CC4" s="103">
        <v>9.8328416912487712E-2</v>
      </c>
      <c r="CD4" s="100">
        <v>15.640038498556304</v>
      </c>
      <c r="CE4" s="100">
        <v>15.648286140089418</v>
      </c>
      <c r="CF4" s="100">
        <v>17.244796828543112</v>
      </c>
      <c r="CG4" s="103">
        <v>17.502458210422812</v>
      </c>
      <c r="CH4" s="100">
        <v>83.80952380952381</v>
      </c>
      <c r="CI4" s="105">
        <v>81.05</v>
      </c>
      <c r="CJ4" s="111">
        <v>81.010000000000005</v>
      </c>
      <c r="CK4" s="111">
        <v>85.05747126436782</v>
      </c>
      <c r="CL4" s="112">
        <v>665</v>
      </c>
      <c r="CM4" s="112">
        <v>683</v>
      </c>
      <c r="CN4" s="112">
        <v>745</v>
      </c>
      <c r="CO4" s="112">
        <v>729</v>
      </c>
      <c r="CP4" s="112"/>
      <c r="CQ4" s="113">
        <v>10.267891608121671</v>
      </c>
      <c r="CR4" s="113">
        <v>9.5753480351610136</v>
      </c>
      <c r="CS4" s="113">
        <v>9.4527552561125709</v>
      </c>
      <c r="CT4" s="113">
        <v>9.1533468101402509</v>
      </c>
      <c r="CU4" s="112"/>
      <c r="CV4" s="114">
        <v>3.2307692307692308</v>
      </c>
      <c r="CW4" s="114">
        <v>3.8980509745127438</v>
      </c>
      <c r="CX4" s="114">
        <v>3.8727524204702628</v>
      </c>
      <c r="CY4" s="114">
        <v>4.7287899860917939</v>
      </c>
      <c r="CZ4" s="112"/>
      <c r="DA4" s="113">
        <v>5.1993067590987865</v>
      </c>
      <c r="DB4" s="113">
        <v>7.2368421052631575</v>
      </c>
      <c r="DC4" s="113">
        <v>8.5403726708074537</v>
      </c>
      <c r="DD4" s="113">
        <v>7.5949367088607591</v>
      </c>
      <c r="DE4" s="112"/>
      <c r="DF4" s="113">
        <v>78.08</v>
      </c>
      <c r="DG4" s="113">
        <v>88.4375</v>
      </c>
      <c r="DH4" s="113">
        <v>84.594222833562583</v>
      </c>
      <c r="DI4" s="113">
        <v>86.134453781512605</v>
      </c>
      <c r="DJ4" s="112"/>
      <c r="DK4" s="114">
        <v>26.141732283464567</v>
      </c>
      <c r="DL4" s="114">
        <v>24.850299401197606</v>
      </c>
      <c r="DM4" s="114">
        <v>29.436038514442917</v>
      </c>
      <c r="DN4" s="114">
        <v>29.551820728291318</v>
      </c>
      <c r="DO4" s="112"/>
      <c r="DP4" s="113">
        <v>26.616541353383457</v>
      </c>
      <c r="DQ4" s="113">
        <v>30.161054172767205</v>
      </c>
      <c r="DR4" s="113">
        <v>39.194630872483224</v>
      </c>
      <c r="DS4" s="113">
        <v>43.347050754458159</v>
      </c>
      <c r="DT4" s="112"/>
      <c r="DU4" s="115">
        <v>5</v>
      </c>
      <c r="DV4" s="115">
        <v>6</v>
      </c>
      <c r="DW4" s="115">
        <v>2</v>
      </c>
      <c r="DX4" s="115">
        <v>1</v>
      </c>
      <c r="DY4" s="112"/>
      <c r="DZ4" s="116">
        <v>3.81</v>
      </c>
      <c r="EA4" s="116">
        <v>3.6842105263157894</v>
      </c>
      <c r="EB4" s="116">
        <v>5.0599999999999996</v>
      </c>
      <c r="EC4" s="116">
        <v>6.3218390804597702</v>
      </c>
      <c r="ED4" s="112"/>
      <c r="EE4" s="113">
        <v>90.163934426229503</v>
      </c>
      <c r="EF4" s="113">
        <v>0</v>
      </c>
      <c r="EG4" s="113">
        <v>9.0163934426229506</v>
      </c>
      <c r="EH4" s="113">
        <v>0.81967213114754101</v>
      </c>
      <c r="EI4" s="113">
        <v>1.639344262295082</v>
      </c>
      <c r="EJ4" s="113">
        <v>27.982326951399116</v>
      </c>
      <c r="EK4" s="113"/>
      <c r="EL4" s="115">
        <v>915</v>
      </c>
      <c r="EM4" s="115">
        <v>890</v>
      </c>
      <c r="EN4" s="115">
        <v>881</v>
      </c>
      <c r="EO4" s="115">
        <v>973</v>
      </c>
      <c r="EP4" s="112"/>
      <c r="EQ4" s="114">
        <v>1412.8001235235081</v>
      </c>
      <c r="ER4" s="114">
        <v>1247.7393486520209</v>
      </c>
      <c r="ES4" s="114">
        <v>1117.8358900181443</v>
      </c>
      <c r="ET4" s="114">
        <v>1221.7018444809964</v>
      </c>
      <c r="EU4" s="112"/>
      <c r="EV4" s="113">
        <v>910.21428237999999</v>
      </c>
      <c r="EW4" s="113">
        <v>809.31861444000003</v>
      </c>
      <c r="EX4" s="113">
        <v>668.96041720000005</v>
      </c>
      <c r="EY4" s="113">
        <v>673.41855275</v>
      </c>
      <c r="EZ4" s="112"/>
      <c r="FA4" s="115">
        <v>320</v>
      </c>
      <c r="FB4" s="115">
        <v>268</v>
      </c>
      <c r="FC4" s="115">
        <v>226</v>
      </c>
      <c r="FD4" s="115">
        <v>229</v>
      </c>
      <c r="FE4" s="112"/>
      <c r="FF4" s="115">
        <v>215</v>
      </c>
      <c r="FG4" s="115">
        <v>231</v>
      </c>
      <c r="FH4" s="115">
        <v>230</v>
      </c>
      <c r="FI4" s="115">
        <v>239</v>
      </c>
      <c r="FJ4" s="112"/>
      <c r="FK4" s="115">
        <v>100</v>
      </c>
      <c r="FL4" s="115">
        <v>73</v>
      </c>
      <c r="FM4" s="115">
        <v>52</v>
      </c>
      <c r="FN4" s="115">
        <v>43</v>
      </c>
      <c r="FO4" s="112"/>
      <c r="FP4" s="115">
        <v>32</v>
      </c>
      <c r="FQ4" s="115">
        <v>42</v>
      </c>
      <c r="FR4" s="115">
        <v>55</v>
      </c>
      <c r="FS4" s="115">
        <v>48</v>
      </c>
      <c r="FT4" s="112"/>
      <c r="FU4" s="113">
        <v>306.13389594</v>
      </c>
      <c r="FV4" s="113">
        <v>227.54222271</v>
      </c>
      <c r="FW4" s="113">
        <v>164.41869388000001</v>
      </c>
      <c r="FX4" s="113">
        <v>149.89942687000001</v>
      </c>
      <c r="FY4" s="112"/>
      <c r="FZ4" s="113">
        <v>211.47994431000001</v>
      </c>
      <c r="GA4" s="113">
        <v>208.89644053999999</v>
      </c>
      <c r="GB4" s="113">
        <v>164.26044175999999</v>
      </c>
      <c r="GC4" s="113">
        <v>162.46345671</v>
      </c>
      <c r="GD4" s="112"/>
      <c r="GE4" s="113">
        <v>96.452264490000005</v>
      </c>
      <c r="GF4" s="113">
        <v>61.240326690000003</v>
      </c>
      <c r="GG4" s="113">
        <v>37.613322340000003</v>
      </c>
      <c r="GH4" s="113">
        <v>29.02838569</v>
      </c>
      <c r="GI4" s="112"/>
      <c r="GJ4" s="113">
        <v>46.565787180000001</v>
      </c>
      <c r="GK4" s="113">
        <v>51.527212079999998</v>
      </c>
      <c r="GL4" s="113">
        <v>62.61728626</v>
      </c>
      <c r="GM4" s="113">
        <v>46.368133450000002</v>
      </c>
      <c r="GN4" s="112"/>
      <c r="GO4" s="113">
        <v>1206.4170833200001</v>
      </c>
      <c r="GP4" s="113">
        <v>1076.8626679399999</v>
      </c>
      <c r="GQ4" s="113">
        <v>835.70575086999997</v>
      </c>
      <c r="GR4" s="113">
        <v>770.67057094999996</v>
      </c>
      <c r="GS4" s="112"/>
      <c r="GT4" s="113">
        <v>696.66110814000001</v>
      </c>
      <c r="GU4" s="113">
        <v>625.77273048999996</v>
      </c>
      <c r="GV4" s="113">
        <v>513.86737544000005</v>
      </c>
      <c r="GW4" s="113">
        <v>573.10266290000004</v>
      </c>
      <c r="GX4" s="112"/>
      <c r="GY4" s="112"/>
      <c r="GZ4" s="112"/>
      <c r="HA4" s="112"/>
      <c r="HB4" s="112"/>
      <c r="HC4" s="112"/>
      <c r="HD4" s="115">
        <v>198</v>
      </c>
      <c r="HE4" s="115">
        <v>2</v>
      </c>
      <c r="HF4" s="115">
        <v>3</v>
      </c>
      <c r="HG4" s="115">
        <v>0</v>
      </c>
      <c r="HH4" s="115">
        <v>0</v>
      </c>
      <c r="HI4" s="114">
        <v>39.204545454545453</v>
      </c>
      <c r="HJ4" s="114">
        <v>36.321839080459768</v>
      </c>
      <c r="HK4" s="113">
        <v>31.411359724612737</v>
      </c>
      <c r="HL4" s="112">
        <v>21</v>
      </c>
      <c r="HM4" s="112">
        <v>26</v>
      </c>
      <c r="HN4" s="112">
        <v>28</v>
      </c>
      <c r="HO4" s="112">
        <v>34</v>
      </c>
      <c r="HP4" s="112"/>
      <c r="HQ4" s="112">
        <v>30</v>
      </c>
      <c r="HR4" s="112">
        <v>44</v>
      </c>
      <c r="HS4" s="112">
        <v>55</v>
      </c>
      <c r="HT4" s="112">
        <v>48</v>
      </c>
      <c r="HU4" s="117"/>
    </row>
    <row r="5" spans="1:252" ht="13.5" customHeight="1" x14ac:dyDescent="0.2">
      <c r="A5" s="93">
        <v>2</v>
      </c>
      <c r="B5" s="98" t="s">
        <v>70</v>
      </c>
      <c r="C5" s="99">
        <v>327005</v>
      </c>
      <c r="D5" s="99">
        <v>326252</v>
      </c>
      <c r="E5" s="99">
        <v>327090</v>
      </c>
      <c r="F5" s="99">
        <v>331582</v>
      </c>
      <c r="G5" s="99">
        <v>330844</v>
      </c>
      <c r="H5" s="99">
        <v>119138</v>
      </c>
      <c r="I5" s="99">
        <v>119973</v>
      </c>
      <c r="J5" s="99">
        <v>120891</v>
      </c>
      <c r="K5" s="99">
        <v>122105</v>
      </c>
      <c r="L5" s="99">
        <v>121227</v>
      </c>
      <c r="M5" s="100">
        <v>11.537976198246415</v>
      </c>
      <c r="N5" s="100">
        <v>11.926176082030464</v>
      </c>
      <c r="O5" s="101">
        <v>12.313844516835214</v>
      </c>
      <c r="P5" s="101">
        <v>13.416109877002066</v>
      </c>
      <c r="Q5" s="102">
        <v>14.129095890410959</v>
      </c>
      <c r="R5" s="100">
        <v>30.75256184322172</v>
      </c>
      <c r="S5" s="100">
        <v>30.792482873865911</v>
      </c>
      <c r="T5" s="100">
        <v>30.326499819023073</v>
      </c>
      <c r="U5" s="100">
        <v>29.886423551986724</v>
      </c>
      <c r="V5" s="100">
        <v>30.898410958904108</v>
      </c>
      <c r="W5" s="100">
        <v>42.290538041468139</v>
      </c>
      <c r="X5" s="100">
        <v>42.71865895589638</v>
      </c>
      <c r="Y5" s="100">
        <v>42.640344335858288</v>
      </c>
      <c r="Z5" s="100">
        <v>43.302533428988788</v>
      </c>
      <c r="AA5" s="100">
        <v>45.027506849315067</v>
      </c>
      <c r="AB5" s="100">
        <v>3.9</v>
      </c>
      <c r="AC5" s="100">
        <v>4.5</v>
      </c>
      <c r="AD5" s="100">
        <v>5.5</v>
      </c>
      <c r="AE5" s="100">
        <v>8.5</v>
      </c>
      <c r="AF5" s="100">
        <v>7.5</v>
      </c>
      <c r="AG5" s="99">
        <v>5462.666666666667</v>
      </c>
      <c r="AH5" s="99">
        <v>5776.416666666667</v>
      </c>
      <c r="AI5" s="104">
        <v>6224.916666666667</v>
      </c>
      <c r="AJ5" s="104">
        <v>8070.666666666667</v>
      </c>
      <c r="AK5" s="105">
        <v>9886.5</v>
      </c>
      <c r="AL5" s="106">
        <v>295343</v>
      </c>
      <c r="AM5" s="106">
        <v>11136</v>
      </c>
      <c r="AN5" s="106">
        <v>2436</v>
      </c>
      <c r="AO5" s="106">
        <v>12341</v>
      </c>
      <c r="AP5" s="106">
        <v>0</v>
      </c>
      <c r="AQ5" s="106">
        <v>8171</v>
      </c>
      <c r="AR5" s="106">
        <v>287802</v>
      </c>
      <c r="AS5" s="106">
        <v>14503</v>
      </c>
      <c r="AT5" s="106">
        <v>2257</v>
      </c>
      <c r="AU5" s="106">
        <v>12972</v>
      </c>
      <c r="AV5" s="106">
        <v>8521</v>
      </c>
      <c r="AW5" s="106">
        <v>12020</v>
      </c>
      <c r="AX5" s="107">
        <v>34875</v>
      </c>
      <c r="AY5" s="107">
        <v>35640</v>
      </c>
      <c r="AZ5" s="107">
        <v>37575</v>
      </c>
      <c r="BA5" s="107">
        <v>38744</v>
      </c>
      <c r="BB5" s="107">
        <v>37646</v>
      </c>
      <c r="BC5" s="107">
        <v>61776</v>
      </c>
      <c r="BD5" s="107">
        <v>66271</v>
      </c>
      <c r="BE5" s="107">
        <v>65832</v>
      </c>
      <c r="BF5" s="108">
        <v>69981</v>
      </c>
      <c r="BG5" s="108">
        <v>67349</v>
      </c>
      <c r="BH5" s="100">
        <v>6.2</v>
      </c>
      <c r="BI5" s="100">
        <v>6</v>
      </c>
      <c r="BJ5" s="100">
        <v>6.4</v>
      </c>
      <c r="BK5" s="100">
        <v>5.8</v>
      </c>
      <c r="BL5" s="100">
        <v>7.1</v>
      </c>
      <c r="BM5" s="100">
        <v>7.7</v>
      </c>
      <c r="BN5" s="109">
        <v>7.6</v>
      </c>
      <c r="BO5" s="109">
        <v>8</v>
      </c>
      <c r="BP5" s="109">
        <v>7.4</v>
      </c>
      <c r="BQ5" s="100">
        <v>9.3000000000000007</v>
      </c>
      <c r="BR5" s="106">
        <v>64824</v>
      </c>
      <c r="BS5" s="118">
        <v>64180</v>
      </c>
      <c r="BT5" s="118">
        <v>63985</v>
      </c>
      <c r="BU5" s="110">
        <v>63551</v>
      </c>
      <c r="BV5" s="100">
        <v>25.931753671479701</v>
      </c>
      <c r="BW5" s="100">
        <v>27.332502337176688</v>
      </c>
      <c r="BX5" s="100">
        <v>30.539970305540358</v>
      </c>
      <c r="BY5" s="103">
        <v>32.594294346273074</v>
      </c>
      <c r="BZ5" s="100">
        <v>7.2827964951252628</v>
      </c>
      <c r="CA5" s="100">
        <v>6.927391710813338</v>
      </c>
      <c r="CB5" s="100">
        <v>6.5859185746659374</v>
      </c>
      <c r="CC5" s="103">
        <v>7.5765920284495918</v>
      </c>
      <c r="CD5" s="100">
        <v>13.150993459212637</v>
      </c>
      <c r="CE5" s="100">
        <v>13.416952321595513</v>
      </c>
      <c r="CF5" s="100">
        <v>13.661014300226615</v>
      </c>
      <c r="CG5" s="103">
        <v>13.941558748092083</v>
      </c>
      <c r="CH5" s="100">
        <v>72.632423756019264</v>
      </c>
      <c r="CI5" s="105">
        <v>74.459999999999994</v>
      </c>
      <c r="CJ5" s="111">
        <v>75.510000000000005</v>
      </c>
      <c r="CK5" s="111">
        <v>76.020627417275463</v>
      </c>
      <c r="CL5" s="112">
        <v>21196</v>
      </c>
      <c r="CM5" s="112">
        <v>21204</v>
      </c>
      <c r="CN5" s="112">
        <v>21716</v>
      </c>
      <c r="CO5" s="112">
        <v>21871</v>
      </c>
      <c r="CP5" s="112"/>
      <c r="CQ5" s="113">
        <v>16.031948930119277</v>
      </c>
      <c r="CR5" s="113">
        <v>14.542960511651035</v>
      </c>
      <c r="CS5" s="113">
        <v>13.803843794595041</v>
      </c>
      <c r="CT5" s="113">
        <v>13.313464489616033</v>
      </c>
      <c r="CU5" s="112"/>
      <c r="CV5" s="114">
        <v>3.8864120953673194</v>
      </c>
      <c r="CW5" s="114">
        <v>4.3043287296862038</v>
      </c>
      <c r="CX5" s="114">
        <v>4.4444444444444446</v>
      </c>
      <c r="CY5" s="114">
        <v>4.7227242461714072</v>
      </c>
      <c r="CZ5" s="112"/>
      <c r="DA5" s="113">
        <v>6.8060915823511001</v>
      </c>
      <c r="DB5" s="113">
        <v>7.0453806996642481</v>
      </c>
      <c r="DC5" s="113">
        <v>8.1215875682486356</v>
      </c>
      <c r="DD5" s="113">
        <v>8.0149413020277489</v>
      </c>
      <c r="DE5" s="112"/>
      <c r="DF5" s="113">
        <v>83.495002939447389</v>
      </c>
      <c r="DG5" s="113">
        <v>85.056400196174593</v>
      </c>
      <c r="DH5" s="113">
        <v>86.046954616886524</v>
      </c>
      <c r="DI5" s="113">
        <v>86.60120072602038</v>
      </c>
      <c r="DJ5" s="112"/>
      <c r="DK5" s="114">
        <v>15.839732230754086</v>
      </c>
      <c r="DL5" s="114">
        <v>12.356700326845212</v>
      </c>
      <c r="DM5" s="114">
        <v>7.9410725997679226</v>
      </c>
      <c r="DN5" s="114">
        <v>8.2172121661034208</v>
      </c>
      <c r="DO5" s="112"/>
      <c r="DP5" s="113">
        <v>20.189676323487781</v>
      </c>
      <c r="DQ5" s="113">
        <v>22.329135418140655</v>
      </c>
      <c r="DR5" s="113">
        <v>24.037398673544583</v>
      </c>
      <c r="DS5" s="113">
        <v>29.763592299602177</v>
      </c>
      <c r="DT5" s="112"/>
      <c r="DU5" s="115">
        <v>132</v>
      </c>
      <c r="DV5" s="115">
        <v>120</v>
      </c>
      <c r="DW5" s="115">
        <v>96</v>
      </c>
      <c r="DX5" s="115">
        <v>113</v>
      </c>
      <c r="DY5" s="112"/>
      <c r="DZ5" s="116">
        <v>6.12</v>
      </c>
      <c r="EA5" s="116">
        <v>5.3705692803437168</v>
      </c>
      <c r="EB5" s="116">
        <v>4</v>
      </c>
      <c r="EC5" s="116">
        <v>3.8031800601633003</v>
      </c>
      <c r="ED5" s="112"/>
      <c r="EE5" s="113">
        <v>79.693853145180583</v>
      </c>
      <c r="EF5" s="113">
        <v>8.6103802917962202</v>
      </c>
      <c r="EG5" s="113">
        <v>0.59794307581918205</v>
      </c>
      <c r="EH5" s="113">
        <v>6.8883042334369771</v>
      </c>
      <c r="EI5" s="113">
        <v>5.0180940892641734</v>
      </c>
      <c r="EJ5" s="113">
        <v>20.941493173912285</v>
      </c>
      <c r="EK5" s="113"/>
      <c r="EL5" s="115">
        <v>5444</v>
      </c>
      <c r="EM5" s="115">
        <v>6375</v>
      </c>
      <c r="EN5" s="115">
        <v>7250</v>
      </c>
      <c r="EO5" s="115">
        <v>7673</v>
      </c>
      <c r="EP5" s="112"/>
      <c r="EQ5" s="114">
        <v>411.76604064714735</v>
      </c>
      <c r="ER5" s="114">
        <v>437.23530117796332</v>
      </c>
      <c r="ES5" s="114">
        <v>460.84853338927081</v>
      </c>
      <c r="ET5" s="114">
        <v>467.07609633223825</v>
      </c>
      <c r="EU5" s="112"/>
      <c r="EV5" s="113">
        <v>853.37485992999996</v>
      </c>
      <c r="EW5" s="113">
        <v>758.20781771999998</v>
      </c>
      <c r="EX5" s="113">
        <v>698.34828779999998</v>
      </c>
      <c r="EY5" s="113">
        <v>640.93770595000001</v>
      </c>
      <c r="EZ5" s="112"/>
      <c r="FA5" s="115">
        <v>1426</v>
      </c>
      <c r="FB5" s="115">
        <v>1462</v>
      </c>
      <c r="FC5" s="115">
        <v>1403</v>
      </c>
      <c r="FD5" s="115">
        <v>1229</v>
      </c>
      <c r="FE5" s="112"/>
      <c r="FF5" s="115">
        <v>1432</v>
      </c>
      <c r="FG5" s="115">
        <v>1744</v>
      </c>
      <c r="FH5" s="115">
        <v>2021</v>
      </c>
      <c r="FI5" s="115">
        <v>2283</v>
      </c>
      <c r="FJ5" s="112"/>
      <c r="FK5" s="115">
        <v>331</v>
      </c>
      <c r="FL5" s="115">
        <v>384</v>
      </c>
      <c r="FM5" s="115">
        <v>388</v>
      </c>
      <c r="FN5" s="115">
        <v>353</v>
      </c>
      <c r="FO5" s="112"/>
      <c r="FP5" s="115">
        <v>317</v>
      </c>
      <c r="FQ5" s="115">
        <v>351</v>
      </c>
      <c r="FR5" s="115">
        <v>502</v>
      </c>
      <c r="FS5" s="115">
        <v>477</v>
      </c>
      <c r="FT5" s="112"/>
      <c r="FU5" s="113">
        <v>234.36207332999999</v>
      </c>
      <c r="FV5" s="113">
        <v>182.47887094999999</v>
      </c>
      <c r="FW5" s="113">
        <v>142.07903884999999</v>
      </c>
      <c r="FX5" s="113">
        <v>108.14868987</v>
      </c>
      <c r="FY5" s="112"/>
      <c r="FZ5" s="113">
        <v>209.80937091000001</v>
      </c>
      <c r="GA5" s="113">
        <v>189.59821559</v>
      </c>
      <c r="GB5" s="113">
        <v>181.50078823000001</v>
      </c>
      <c r="GC5" s="113">
        <v>176.35404557999999</v>
      </c>
      <c r="GD5" s="112"/>
      <c r="GE5" s="113">
        <v>63.715791359999997</v>
      </c>
      <c r="GF5" s="113">
        <v>51.78169218</v>
      </c>
      <c r="GG5" s="113">
        <v>41.148373820000003</v>
      </c>
      <c r="GH5" s="113">
        <v>32.832729479999998</v>
      </c>
      <c r="GI5" s="112"/>
      <c r="GJ5" s="113">
        <v>33.709946270000003</v>
      </c>
      <c r="GK5" s="113">
        <v>33.004542149999999</v>
      </c>
      <c r="GL5" s="113">
        <v>41.78425403</v>
      </c>
      <c r="GM5" s="113">
        <v>36.074551069999998</v>
      </c>
      <c r="GN5" s="112"/>
      <c r="GO5" s="113">
        <v>1118.1139058900001</v>
      </c>
      <c r="GP5" s="113">
        <v>972.92605273000004</v>
      </c>
      <c r="GQ5" s="113">
        <v>814.35023402000002</v>
      </c>
      <c r="GR5" s="113">
        <v>763.31823362</v>
      </c>
      <c r="GS5" s="112"/>
      <c r="GT5" s="113">
        <v>693.82335692000004</v>
      </c>
      <c r="GU5" s="113">
        <v>628.70343541</v>
      </c>
      <c r="GV5" s="113">
        <v>612.64659486000005</v>
      </c>
      <c r="GW5" s="113">
        <v>545.48115158999997</v>
      </c>
      <c r="GX5" s="112"/>
      <c r="GY5" s="112"/>
      <c r="GZ5" s="112"/>
      <c r="HA5" s="112"/>
      <c r="HB5" s="112"/>
      <c r="HC5" s="112"/>
      <c r="HD5" s="115">
        <v>1631</v>
      </c>
      <c r="HE5" s="115">
        <v>28</v>
      </c>
      <c r="HF5" s="115">
        <v>8</v>
      </c>
      <c r="HG5" s="115">
        <v>22</v>
      </c>
      <c r="HH5" s="115">
        <v>16</v>
      </c>
      <c r="HI5" s="114">
        <v>31.94576845673128</v>
      </c>
      <c r="HJ5" s="114">
        <v>25.243578387953942</v>
      </c>
      <c r="HK5" s="113">
        <v>22.179380923209976</v>
      </c>
      <c r="HL5" s="112">
        <v>802</v>
      </c>
      <c r="HM5" s="112">
        <v>882</v>
      </c>
      <c r="HN5" s="112">
        <v>928</v>
      </c>
      <c r="HO5" s="112">
        <v>993</v>
      </c>
      <c r="HP5" s="112"/>
      <c r="HQ5" s="112">
        <v>1305</v>
      </c>
      <c r="HR5" s="112">
        <v>1301</v>
      </c>
      <c r="HS5" s="112">
        <v>1547</v>
      </c>
      <c r="HT5" s="112">
        <v>1502</v>
      </c>
      <c r="HU5" s="117"/>
    </row>
    <row r="6" spans="1:252" x14ac:dyDescent="0.2">
      <c r="A6" s="93">
        <v>3</v>
      </c>
      <c r="B6" s="98" t="s">
        <v>71</v>
      </c>
      <c r="C6" s="99">
        <v>32230</v>
      </c>
      <c r="D6" s="99">
        <v>31964</v>
      </c>
      <c r="E6" s="99">
        <v>32000</v>
      </c>
      <c r="F6" s="99">
        <v>32076</v>
      </c>
      <c r="G6" s="99">
        <v>32504</v>
      </c>
      <c r="H6" s="99">
        <v>13081</v>
      </c>
      <c r="I6" s="99">
        <v>13107</v>
      </c>
      <c r="J6" s="99">
        <v>13280</v>
      </c>
      <c r="K6" s="99">
        <v>13273</v>
      </c>
      <c r="L6" s="99">
        <v>13224</v>
      </c>
      <c r="M6" s="100">
        <v>24.832501781895939</v>
      </c>
      <c r="N6" s="100">
        <v>25.639043247161148</v>
      </c>
      <c r="O6" s="101">
        <v>26.519552799882828</v>
      </c>
      <c r="P6" s="101">
        <v>27.252419955323901</v>
      </c>
      <c r="Q6" s="102">
        <v>28.022469675879897</v>
      </c>
      <c r="R6" s="100">
        <v>28.315514373960561</v>
      </c>
      <c r="S6" s="100">
        <v>28.813723121526941</v>
      </c>
      <c r="T6" s="100">
        <v>29.707562368793631</v>
      </c>
      <c r="U6" s="100">
        <v>31.973194341027551</v>
      </c>
      <c r="V6" s="100">
        <v>33.560349970173</v>
      </c>
      <c r="W6" s="100">
        <v>53.148016155856503</v>
      </c>
      <c r="X6" s="100">
        <v>54.452766368688089</v>
      </c>
      <c r="Y6" s="100">
        <v>56.22711516867647</v>
      </c>
      <c r="Z6" s="100">
        <v>59.225614296351452</v>
      </c>
      <c r="AA6" s="100">
        <v>61.58281964605289</v>
      </c>
      <c r="AB6" s="100">
        <v>5.0999999999999996</v>
      </c>
      <c r="AC6" s="100">
        <v>5.8</v>
      </c>
      <c r="AD6" s="100">
        <v>6.8</v>
      </c>
      <c r="AE6" s="100">
        <v>9</v>
      </c>
      <c r="AF6" s="100">
        <v>7.8</v>
      </c>
      <c r="AG6" s="99">
        <v>1137.5</v>
      </c>
      <c r="AH6" s="99">
        <v>1172.25</v>
      </c>
      <c r="AI6" s="104">
        <v>1258.6666666666667</v>
      </c>
      <c r="AJ6" s="104">
        <v>1591</v>
      </c>
      <c r="AK6" s="105">
        <v>1871</v>
      </c>
      <c r="AL6" s="106">
        <v>28890</v>
      </c>
      <c r="AM6" s="106">
        <v>94</v>
      </c>
      <c r="AN6" s="106">
        <v>2363</v>
      </c>
      <c r="AO6" s="106">
        <v>158</v>
      </c>
      <c r="AP6" s="106">
        <v>0</v>
      </c>
      <c r="AQ6" s="106">
        <v>322</v>
      </c>
      <c r="AR6" s="106">
        <v>28720</v>
      </c>
      <c r="AS6" s="106">
        <v>138</v>
      </c>
      <c r="AT6" s="106">
        <v>2455</v>
      </c>
      <c r="AU6" s="106">
        <v>132</v>
      </c>
      <c r="AV6" s="106">
        <v>972</v>
      </c>
      <c r="AW6" s="106">
        <v>398</v>
      </c>
      <c r="AX6" s="107">
        <v>28968</v>
      </c>
      <c r="AY6" s="107">
        <v>29556</v>
      </c>
      <c r="AZ6" s="107">
        <v>31754</v>
      </c>
      <c r="BA6" s="107">
        <v>34241</v>
      </c>
      <c r="BB6" s="107">
        <v>34615</v>
      </c>
      <c r="BC6" s="107">
        <v>41592</v>
      </c>
      <c r="BD6" s="107">
        <v>41574</v>
      </c>
      <c r="BE6" s="107">
        <v>43419</v>
      </c>
      <c r="BF6" s="108">
        <v>43999</v>
      </c>
      <c r="BG6" s="108">
        <v>44596</v>
      </c>
      <c r="BH6" s="100">
        <v>11</v>
      </c>
      <c r="BI6" s="100">
        <v>11.8</v>
      </c>
      <c r="BJ6" s="100">
        <v>12.1</v>
      </c>
      <c r="BK6" s="100">
        <v>11.6</v>
      </c>
      <c r="BL6" s="100">
        <v>13.1</v>
      </c>
      <c r="BM6" s="100">
        <v>16.600000000000001</v>
      </c>
      <c r="BN6" s="109">
        <v>17.8</v>
      </c>
      <c r="BO6" s="109">
        <v>18.399999999999999</v>
      </c>
      <c r="BP6" s="109">
        <v>17.7</v>
      </c>
      <c r="BQ6" s="100">
        <v>19.5</v>
      </c>
      <c r="BR6" s="106">
        <v>4395</v>
      </c>
      <c r="BS6" s="118">
        <v>4459</v>
      </c>
      <c r="BT6" s="118">
        <v>4466</v>
      </c>
      <c r="BU6" s="110">
        <v>4510</v>
      </c>
      <c r="BV6" s="100">
        <v>38.58930602957907</v>
      </c>
      <c r="BW6" s="100">
        <v>37.609329446064137</v>
      </c>
      <c r="BX6" s="100">
        <v>41.043439319301392</v>
      </c>
      <c r="BY6" s="103">
        <v>41.773835920177383</v>
      </c>
      <c r="BZ6" s="100">
        <v>0.29579067121729236</v>
      </c>
      <c r="CA6" s="100">
        <v>0.44853106077595878</v>
      </c>
      <c r="CB6" s="100">
        <v>0.2239140170174653</v>
      </c>
      <c r="CC6" s="103">
        <v>0.33259423503325941</v>
      </c>
      <c r="CD6" s="100">
        <v>19.567690557451652</v>
      </c>
      <c r="CE6" s="100">
        <v>19.847499439336175</v>
      </c>
      <c r="CF6" s="100">
        <v>20.510523958799819</v>
      </c>
      <c r="CG6" s="103">
        <v>20.576496674057651</v>
      </c>
      <c r="CH6" s="100">
        <v>79.075425790754252</v>
      </c>
      <c r="CI6" s="105">
        <v>81.98</v>
      </c>
      <c r="CJ6" s="111">
        <v>85.44</v>
      </c>
      <c r="CK6" s="111">
        <v>80.965147453083105</v>
      </c>
      <c r="CL6" s="112">
        <v>1806</v>
      </c>
      <c r="CM6" s="112">
        <v>1862</v>
      </c>
      <c r="CN6" s="112">
        <v>2000</v>
      </c>
      <c r="CO6" s="112">
        <v>2207</v>
      </c>
      <c r="CP6" s="112"/>
      <c r="CQ6" s="113">
        <v>12.619045955407115</v>
      </c>
      <c r="CR6" s="113">
        <v>12.620391896379941</v>
      </c>
      <c r="CS6" s="113">
        <v>12.816158612778992</v>
      </c>
      <c r="CT6" s="113">
        <v>13.727343973528058</v>
      </c>
      <c r="CU6" s="112"/>
      <c r="CV6" s="114">
        <v>4.0181097906055463</v>
      </c>
      <c r="CW6" s="114">
        <v>4.43213296398892</v>
      </c>
      <c r="CX6" s="114">
        <v>4.0561622464898592</v>
      </c>
      <c r="CY6" s="114">
        <v>3.2756200280767431</v>
      </c>
      <c r="CZ6" s="112"/>
      <c r="DA6" s="113">
        <v>7.3493975903614457</v>
      </c>
      <c r="DB6" s="113">
        <v>8.1064356435643568</v>
      </c>
      <c r="DC6" s="113">
        <v>6.8038879359634077</v>
      </c>
      <c r="DD6" s="113">
        <v>6.4600840336134455</v>
      </c>
      <c r="DE6" s="112"/>
      <c r="DF6" s="113">
        <v>82.855536818437329</v>
      </c>
      <c r="DG6" s="113">
        <v>81.25</v>
      </c>
      <c r="DH6" s="113">
        <v>82.391857506361319</v>
      </c>
      <c r="DI6" s="113">
        <v>85.19553072625699</v>
      </c>
      <c r="DJ6" s="112"/>
      <c r="DK6" s="114">
        <v>24.761904761904763</v>
      </c>
      <c r="DL6" s="114">
        <v>25.940706955530217</v>
      </c>
      <c r="DM6" s="114">
        <v>22.674710910005029</v>
      </c>
      <c r="DN6" s="114">
        <v>19.126436781609197</v>
      </c>
      <c r="DO6" s="112"/>
      <c r="DP6" s="113">
        <v>29.844961240310077</v>
      </c>
      <c r="DQ6" s="113">
        <v>32.509403546480385</v>
      </c>
      <c r="DR6" s="113">
        <v>36.986986986986985</v>
      </c>
      <c r="DS6" s="113">
        <v>39.573889392565732</v>
      </c>
      <c r="DT6" s="112"/>
      <c r="DU6" s="115">
        <v>7</v>
      </c>
      <c r="DV6" s="115">
        <v>9</v>
      </c>
      <c r="DW6" s="115">
        <v>9</v>
      </c>
      <c r="DX6" s="115">
        <v>20</v>
      </c>
      <c r="DY6" s="112"/>
      <c r="DZ6" s="116">
        <v>6.08</v>
      </c>
      <c r="EA6" s="116">
        <v>5.5837563451776653</v>
      </c>
      <c r="EB6" s="116">
        <v>6.2</v>
      </c>
      <c r="EC6" s="116">
        <v>6.4343163538873993</v>
      </c>
      <c r="ED6" s="112"/>
      <c r="EE6" s="113">
        <v>83.802816901408448</v>
      </c>
      <c r="EF6" s="113">
        <v>0.70422535211267601</v>
      </c>
      <c r="EG6" s="113">
        <v>14.788732394366198</v>
      </c>
      <c r="EH6" s="113">
        <v>0</v>
      </c>
      <c r="EI6" s="113">
        <v>2.112676056338028</v>
      </c>
      <c r="EJ6" s="113">
        <v>35.583059369561013</v>
      </c>
      <c r="EK6" s="113"/>
      <c r="EL6" s="115">
        <v>1568</v>
      </c>
      <c r="EM6" s="115">
        <v>1639</v>
      </c>
      <c r="EN6" s="115">
        <v>1592</v>
      </c>
      <c r="EO6" s="115">
        <v>1658</v>
      </c>
      <c r="EP6" s="112"/>
      <c r="EQ6" s="114">
        <v>1095.607090702013</v>
      </c>
      <c r="ER6" s="114">
        <v>1110.8927131131429</v>
      </c>
      <c r="ES6" s="114">
        <v>1020.1662255772078</v>
      </c>
      <c r="ET6" s="114">
        <v>1031.2612735890132</v>
      </c>
      <c r="EU6" s="112"/>
      <c r="EV6" s="113">
        <v>879.23390903999996</v>
      </c>
      <c r="EW6" s="113">
        <v>876.76434539000002</v>
      </c>
      <c r="EX6" s="113">
        <v>808.51649583999995</v>
      </c>
      <c r="EY6" s="113">
        <v>774.82553922</v>
      </c>
      <c r="EZ6" s="112"/>
      <c r="FA6" s="115">
        <v>483</v>
      </c>
      <c r="FB6" s="115">
        <v>470</v>
      </c>
      <c r="FC6" s="115">
        <v>440</v>
      </c>
      <c r="FD6" s="115">
        <v>317</v>
      </c>
      <c r="FE6" s="112"/>
      <c r="FF6" s="115">
        <v>339</v>
      </c>
      <c r="FG6" s="115">
        <v>348</v>
      </c>
      <c r="FH6" s="115">
        <v>336</v>
      </c>
      <c r="FI6" s="115">
        <v>388</v>
      </c>
      <c r="FJ6" s="112"/>
      <c r="FK6" s="115">
        <v>140</v>
      </c>
      <c r="FL6" s="115">
        <v>139</v>
      </c>
      <c r="FM6" s="115">
        <v>119</v>
      </c>
      <c r="FN6" s="115">
        <v>105</v>
      </c>
      <c r="FO6" s="112"/>
      <c r="FP6" s="115">
        <v>76</v>
      </c>
      <c r="FQ6" s="115">
        <v>100</v>
      </c>
      <c r="FR6" s="115">
        <v>74</v>
      </c>
      <c r="FS6" s="115">
        <v>87</v>
      </c>
      <c r="FT6" s="112"/>
      <c r="FU6" s="113">
        <v>266.12330928</v>
      </c>
      <c r="FV6" s="113">
        <v>245.23894224</v>
      </c>
      <c r="FW6" s="113">
        <v>219.2022116</v>
      </c>
      <c r="FX6" s="113">
        <v>144.16645442999999</v>
      </c>
      <c r="FY6" s="112"/>
      <c r="FZ6" s="113">
        <v>194.97116946</v>
      </c>
      <c r="GA6" s="113">
        <v>191.20088491000001</v>
      </c>
      <c r="GB6" s="113">
        <v>172.50702767000001</v>
      </c>
      <c r="GC6" s="113">
        <v>180.1281018</v>
      </c>
      <c r="GD6" s="112"/>
      <c r="GE6" s="113">
        <v>73.444066730000003</v>
      </c>
      <c r="GF6" s="113">
        <v>70.240919399999996</v>
      </c>
      <c r="GG6" s="113">
        <v>58.38252979</v>
      </c>
      <c r="GH6" s="113">
        <v>48.095836030000001</v>
      </c>
      <c r="GI6" s="112"/>
      <c r="GJ6" s="113">
        <v>49.71765259</v>
      </c>
      <c r="GK6" s="113">
        <v>64.109879120000002</v>
      </c>
      <c r="GL6" s="113">
        <v>44.927579209999998</v>
      </c>
      <c r="GM6" s="113">
        <v>50.29349878</v>
      </c>
      <c r="GN6" s="112"/>
      <c r="GO6" s="113">
        <v>1097.31569216</v>
      </c>
      <c r="GP6" s="113">
        <v>1091.1793454900001</v>
      </c>
      <c r="GQ6" s="113">
        <v>983.20299418000002</v>
      </c>
      <c r="GR6" s="113">
        <v>931.13184565999995</v>
      </c>
      <c r="GS6" s="112"/>
      <c r="GT6" s="113">
        <v>702.28056158000004</v>
      </c>
      <c r="GU6" s="113">
        <v>692.33077824999998</v>
      </c>
      <c r="GV6" s="113">
        <v>666.18323009999995</v>
      </c>
      <c r="GW6" s="113">
        <v>660.35152131999996</v>
      </c>
      <c r="GX6" s="112"/>
      <c r="GY6" s="112"/>
      <c r="GZ6" s="112"/>
      <c r="HA6" s="112"/>
      <c r="HB6" s="112"/>
      <c r="HC6" s="112"/>
      <c r="HD6" s="115">
        <v>321</v>
      </c>
      <c r="HE6" s="115">
        <v>0</v>
      </c>
      <c r="HF6" s="115">
        <v>26</v>
      </c>
      <c r="HG6" s="115">
        <v>0</v>
      </c>
      <c r="HH6" s="115">
        <v>0</v>
      </c>
      <c r="HI6" s="114">
        <v>42.745841229732576</v>
      </c>
      <c r="HJ6" s="114">
        <v>42.545520100955471</v>
      </c>
      <c r="HK6" s="113">
        <v>32.745164574143196</v>
      </c>
      <c r="HL6" s="112">
        <v>71</v>
      </c>
      <c r="HM6" s="112">
        <v>80</v>
      </c>
      <c r="HN6" s="112">
        <v>78</v>
      </c>
      <c r="HO6" s="112">
        <v>70</v>
      </c>
      <c r="HP6" s="112"/>
      <c r="HQ6" s="112">
        <v>122</v>
      </c>
      <c r="HR6" s="112">
        <v>131</v>
      </c>
      <c r="HS6" s="112">
        <v>119</v>
      </c>
      <c r="HT6" s="112">
        <v>123</v>
      </c>
      <c r="HU6" s="117"/>
      <c r="HV6" s="119"/>
      <c r="HW6" s="119"/>
      <c r="HX6" s="119"/>
      <c r="HY6" s="119"/>
      <c r="HZ6" s="119"/>
      <c r="IA6" s="119"/>
      <c r="IB6" s="119"/>
      <c r="IC6" s="119"/>
      <c r="ID6" s="119"/>
      <c r="IE6" s="119"/>
      <c r="IF6" s="119"/>
      <c r="IG6" s="119"/>
      <c r="IH6" s="119"/>
      <c r="II6" s="119"/>
      <c r="IJ6" s="119"/>
      <c r="IK6" s="119"/>
      <c r="IL6" s="119"/>
      <c r="IM6" s="119"/>
      <c r="IN6" s="119"/>
      <c r="IO6" s="119"/>
      <c r="IP6" s="119"/>
      <c r="IQ6" s="119"/>
      <c r="IR6" s="119"/>
    </row>
    <row r="7" spans="1:252" x14ac:dyDescent="0.2">
      <c r="A7" s="93">
        <v>4</v>
      </c>
      <c r="B7" s="98" t="s">
        <v>72</v>
      </c>
      <c r="C7" s="99">
        <v>43169</v>
      </c>
      <c r="D7" s="99">
        <v>43609</v>
      </c>
      <c r="E7" s="99">
        <v>43835</v>
      </c>
      <c r="F7" s="99">
        <v>44350</v>
      </c>
      <c r="G7" s="99">
        <v>44442</v>
      </c>
      <c r="H7" s="99">
        <v>16000</v>
      </c>
      <c r="I7" s="99">
        <v>16193</v>
      </c>
      <c r="J7" s="99">
        <v>16397</v>
      </c>
      <c r="K7" s="99">
        <v>16480</v>
      </c>
      <c r="L7" s="99">
        <v>16846</v>
      </c>
      <c r="M7" s="100">
        <v>18.35224128389596</v>
      </c>
      <c r="N7" s="100">
        <v>18.799438413861587</v>
      </c>
      <c r="O7" s="101">
        <v>19.826779837173049</v>
      </c>
      <c r="P7" s="101">
        <v>19.584782164041727</v>
      </c>
      <c r="Q7" s="102">
        <v>19.600763046736613</v>
      </c>
      <c r="R7" s="100">
        <v>30.959463198671834</v>
      </c>
      <c r="S7" s="100">
        <v>30.531109817484502</v>
      </c>
      <c r="T7" s="100">
        <v>32.035336913216703</v>
      </c>
      <c r="U7" s="100">
        <v>31.604963523556282</v>
      </c>
      <c r="V7" s="100">
        <v>31.789072080664941</v>
      </c>
      <c r="W7" s="100">
        <v>49.311704482567791</v>
      </c>
      <c r="X7" s="100">
        <v>49.330548231346093</v>
      </c>
      <c r="Y7" s="100">
        <v>51.862116750389745</v>
      </c>
      <c r="Z7" s="100">
        <v>51.189745687598013</v>
      </c>
      <c r="AA7" s="100">
        <v>51.389835127401554</v>
      </c>
      <c r="AB7" s="100">
        <v>5.2</v>
      </c>
      <c r="AC7" s="100">
        <v>6.1</v>
      </c>
      <c r="AD7" s="100">
        <v>6.9</v>
      </c>
      <c r="AE7" s="100">
        <v>8.9</v>
      </c>
      <c r="AF7" s="100">
        <v>8.1999999999999993</v>
      </c>
      <c r="AG7" s="99">
        <v>2896.4166666666665</v>
      </c>
      <c r="AH7" s="99">
        <v>3015.0833333333335</v>
      </c>
      <c r="AI7" s="104">
        <v>3225.6666666666665</v>
      </c>
      <c r="AJ7" s="104">
        <v>3634.1666666666665</v>
      </c>
      <c r="AK7" s="105">
        <v>4006.5833333333335</v>
      </c>
      <c r="AL7" s="106">
        <v>33167</v>
      </c>
      <c r="AM7" s="106">
        <v>249</v>
      </c>
      <c r="AN7" s="106">
        <v>8344</v>
      </c>
      <c r="AO7" s="106">
        <v>489</v>
      </c>
      <c r="AP7" s="106">
        <v>0</v>
      </c>
      <c r="AQ7" s="106">
        <v>583</v>
      </c>
      <c r="AR7" s="106">
        <v>33359</v>
      </c>
      <c r="AS7" s="106">
        <v>262</v>
      </c>
      <c r="AT7" s="106">
        <v>9004</v>
      </c>
      <c r="AU7" s="106">
        <v>327</v>
      </c>
      <c r="AV7" s="106">
        <v>1377</v>
      </c>
      <c r="AW7" s="106">
        <v>676</v>
      </c>
      <c r="AX7" s="107">
        <v>25571</v>
      </c>
      <c r="AY7" s="107">
        <v>26244</v>
      </c>
      <c r="AZ7" s="107">
        <v>27549</v>
      </c>
      <c r="BA7" s="107">
        <v>29633</v>
      </c>
      <c r="BB7" s="107">
        <v>30976</v>
      </c>
      <c r="BC7" s="107">
        <v>38605</v>
      </c>
      <c r="BD7" s="107">
        <v>40431</v>
      </c>
      <c r="BE7" s="107">
        <v>41039</v>
      </c>
      <c r="BF7" s="108">
        <v>44742</v>
      </c>
      <c r="BG7" s="108">
        <v>39601</v>
      </c>
      <c r="BH7" s="100">
        <v>19.399999999999999</v>
      </c>
      <c r="BI7" s="100">
        <v>18.8</v>
      </c>
      <c r="BJ7" s="100">
        <v>17</v>
      </c>
      <c r="BK7" s="100">
        <v>17</v>
      </c>
      <c r="BL7" s="100">
        <v>20.9</v>
      </c>
      <c r="BM7" s="100">
        <v>25.5</v>
      </c>
      <c r="BN7" s="109">
        <v>26.9</v>
      </c>
      <c r="BO7" s="109">
        <v>24.1</v>
      </c>
      <c r="BP7" s="109">
        <v>25.2</v>
      </c>
      <c r="BQ7" s="100">
        <v>29.9</v>
      </c>
      <c r="BR7" s="106">
        <v>7575</v>
      </c>
      <c r="BS7" s="118">
        <v>7540</v>
      </c>
      <c r="BT7" s="118">
        <v>7667</v>
      </c>
      <c r="BU7" s="110">
        <v>7813</v>
      </c>
      <c r="BV7" s="100">
        <v>54.323432343234323</v>
      </c>
      <c r="BW7" s="100">
        <v>56.246684350132625</v>
      </c>
      <c r="BX7" s="100">
        <v>59.566975348897877</v>
      </c>
      <c r="BY7" s="103">
        <v>60.296940995776268</v>
      </c>
      <c r="BZ7" s="100">
        <v>2.112211221122112</v>
      </c>
      <c r="CA7" s="100">
        <v>1.4721485411140582</v>
      </c>
      <c r="CB7" s="100">
        <v>0.75648884831094299</v>
      </c>
      <c r="CC7" s="103">
        <v>1.1519262767182901</v>
      </c>
      <c r="CD7" s="100">
        <v>16.871287128712872</v>
      </c>
      <c r="CE7" s="100">
        <v>17.798408488063661</v>
      </c>
      <c r="CF7" s="100">
        <v>18.638320073040301</v>
      </c>
      <c r="CG7" s="103">
        <v>18.507615512607192</v>
      </c>
      <c r="CH7" s="100">
        <v>60</v>
      </c>
      <c r="CI7" s="105">
        <v>58.39</v>
      </c>
      <c r="CJ7" s="111">
        <v>58.8</v>
      </c>
      <c r="CK7" s="111">
        <v>56.327160493827158</v>
      </c>
      <c r="CL7" s="112">
        <v>2802</v>
      </c>
      <c r="CM7" s="112">
        <v>2846</v>
      </c>
      <c r="CN7" s="112">
        <v>3092</v>
      </c>
      <c r="CO7" s="112">
        <v>3639</v>
      </c>
      <c r="CP7" s="112"/>
      <c r="CQ7" s="113">
        <v>15.329317730473173</v>
      </c>
      <c r="CR7" s="113">
        <v>14.626976132228686</v>
      </c>
      <c r="CS7" s="113">
        <v>14.832795252737975</v>
      </c>
      <c r="CT7" s="113">
        <v>16.585766049087304</v>
      </c>
      <c r="CU7" s="112"/>
      <c r="CV7" s="114">
        <v>4.2893493275172663</v>
      </c>
      <c r="CW7" s="114">
        <v>4.2698241837100825</v>
      </c>
      <c r="CX7" s="114">
        <v>4.5758183032732127</v>
      </c>
      <c r="CY7" s="114">
        <v>4.9323562570462229</v>
      </c>
      <c r="CZ7" s="112"/>
      <c r="DA7" s="113">
        <v>7.8660436137071654</v>
      </c>
      <c r="DB7" s="113">
        <v>8.3972911963882613</v>
      </c>
      <c r="DC7" s="113">
        <v>8.7008343265792618</v>
      </c>
      <c r="DD7" s="113">
        <v>9.6109078816095774</v>
      </c>
      <c r="DE7" s="112"/>
      <c r="DF7" s="113">
        <v>68.361787141300397</v>
      </c>
      <c r="DG7" s="113">
        <v>73.44753747323341</v>
      </c>
      <c r="DH7" s="113">
        <v>71.474983755685514</v>
      </c>
      <c r="DI7" s="113">
        <v>71.87932466094658</v>
      </c>
      <c r="DJ7" s="112"/>
      <c r="DK7" s="114">
        <v>21.983715766099184</v>
      </c>
      <c r="DL7" s="114">
        <v>16.995900111815132</v>
      </c>
      <c r="DM7" s="114">
        <v>24.269005847953217</v>
      </c>
      <c r="DN7" s="114">
        <v>27.525461051472611</v>
      </c>
      <c r="DO7" s="112"/>
      <c r="DP7" s="113">
        <v>45.110635260528191</v>
      </c>
      <c r="DQ7" s="113">
        <v>47.821503865073787</v>
      </c>
      <c r="DR7" s="113">
        <v>50.776196636481245</v>
      </c>
      <c r="DS7" s="113">
        <v>56.553998351195382</v>
      </c>
      <c r="DT7" s="112"/>
      <c r="DU7" s="115">
        <v>35</v>
      </c>
      <c r="DV7" s="115">
        <v>27</v>
      </c>
      <c r="DW7" s="115">
        <v>20</v>
      </c>
      <c r="DX7" s="115">
        <v>28</v>
      </c>
      <c r="DY7" s="112"/>
      <c r="DZ7" s="116">
        <v>13.16</v>
      </c>
      <c r="EA7" s="116">
        <v>16.098226466575717</v>
      </c>
      <c r="EB7" s="116">
        <v>12.17</v>
      </c>
      <c r="EC7" s="116">
        <v>13.271604938271604</v>
      </c>
      <c r="ED7" s="112"/>
      <c r="EE7" s="113">
        <v>60.247592847317748</v>
      </c>
      <c r="EF7" s="113">
        <v>0.68775790921595603</v>
      </c>
      <c r="EG7" s="113">
        <v>37.826685006877582</v>
      </c>
      <c r="EH7" s="113">
        <v>0.96286107290233836</v>
      </c>
      <c r="EI7" s="113">
        <v>0.5524861878453039</v>
      </c>
      <c r="EJ7" s="113">
        <v>59.362723701440416</v>
      </c>
      <c r="EK7" s="113"/>
      <c r="EL7" s="115">
        <v>1481</v>
      </c>
      <c r="EM7" s="115">
        <v>1575</v>
      </c>
      <c r="EN7" s="115">
        <v>1672</v>
      </c>
      <c r="EO7" s="115">
        <v>1758</v>
      </c>
      <c r="EP7" s="112"/>
      <c r="EQ7" s="114">
        <v>810.23267519024876</v>
      </c>
      <c r="ER7" s="114">
        <v>809.46898834364652</v>
      </c>
      <c r="ES7" s="114">
        <v>802.08388300704701</v>
      </c>
      <c r="ET7" s="114">
        <v>801.2579476310932</v>
      </c>
      <c r="EU7" s="112"/>
      <c r="EV7" s="113">
        <v>887.51502875000006</v>
      </c>
      <c r="EW7" s="113">
        <v>866.72382275999996</v>
      </c>
      <c r="EX7" s="113">
        <v>821.20388817000003</v>
      </c>
      <c r="EY7" s="113">
        <v>765.12205127000004</v>
      </c>
      <c r="EZ7" s="112"/>
      <c r="FA7" s="115">
        <v>396</v>
      </c>
      <c r="FB7" s="115">
        <v>386</v>
      </c>
      <c r="FC7" s="115">
        <v>354</v>
      </c>
      <c r="FD7" s="115">
        <v>337</v>
      </c>
      <c r="FE7" s="112"/>
      <c r="FF7" s="115">
        <v>326</v>
      </c>
      <c r="FG7" s="115">
        <v>313</v>
      </c>
      <c r="FH7" s="115">
        <v>366</v>
      </c>
      <c r="FI7" s="115">
        <v>387</v>
      </c>
      <c r="FJ7" s="112"/>
      <c r="FK7" s="115">
        <v>128</v>
      </c>
      <c r="FL7" s="115">
        <v>115</v>
      </c>
      <c r="FM7" s="115">
        <v>86</v>
      </c>
      <c r="FN7" s="115">
        <v>96</v>
      </c>
      <c r="FO7" s="112"/>
      <c r="FP7" s="115">
        <v>109</v>
      </c>
      <c r="FQ7" s="115">
        <v>98</v>
      </c>
      <c r="FR7" s="115">
        <v>109</v>
      </c>
      <c r="FS7" s="115">
        <v>111</v>
      </c>
      <c r="FT7" s="112"/>
      <c r="FU7" s="113">
        <v>240.78936400000001</v>
      </c>
      <c r="FV7" s="113">
        <v>212.42632653999999</v>
      </c>
      <c r="FW7" s="113">
        <v>172.84205974</v>
      </c>
      <c r="FX7" s="113">
        <v>143.74429536</v>
      </c>
      <c r="FY7" s="112"/>
      <c r="FZ7" s="113">
        <v>201.10764226000001</v>
      </c>
      <c r="GA7" s="113">
        <v>176.07837960000001</v>
      </c>
      <c r="GB7" s="113">
        <v>185.13728295000001</v>
      </c>
      <c r="GC7" s="113">
        <v>171.6539769</v>
      </c>
      <c r="GD7" s="112"/>
      <c r="GE7" s="113">
        <v>77.060570769999998</v>
      </c>
      <c r="GF7" s="113">
        <v>62.64722905</v>
      </c>
      <c r="GG7" s="113">
        <v>41.8116309299999</v>
      </c>
      <c r="GH7" s="113">
        <v>40.698215779999998</v>
      </c>
      <c r="GI7" s="112"/>
      <c r="GJ7" s="113">
        <v>59.184851790000003</v>
      </c>
      <c r="GK7" s="113">
        <v>51.271218900000001</v>
      </c>
      <c r="GL7" s="113">
        <v>52.59272086</v>
      </c>
      <c r="GM7" s="113">
        <v>52.844370490000003</v>
      </c>
      <c r="GN7" s="112"/>
      <c r="GO7" s="113">
        <v>1099.74673719</v>
      </c>
      <c r="GP7" s="113">
        <v>1054.6037247500001</v>
      </c>
      <c r="GQ7" s="113">
        <v>1004.94032946</v>
      </c>
      <c r="GR7" s="113">
        <v>971.50468623999996</v>
      </c>
      <c r="GS7" s="112"/>
      <c r="GT7" s="113">
        <v>720.97980012000005</v>
      </c>
      <c r="GU7" s="113">
        <v>705.7715263</v>
      </c>
      <c r="GV7" s="113">
        <v>672.23102589999996</v>
      </c>
      <c r="GW7" s="113">
        <v>601.06515186000001</v>
      </c>
      <c r="GX7" s="112"/>
      <c r="GY7" s="112"/>
      <c r="GZ7" s="112"/>
      <c r="HA7" s="112"/>
      <c r="HB7" s="112"/>
      <c r="HC7" s="112"/>
      <c r="HD7" s="115">
        <v>291</v>
      </c>
      <c r="HE7" s="115">
        <v>0</v>
      </c>
      <c r="HF7" s="115">
        <v>74</v>
      </c>
      <c r="HG7" s="115">
        <v>0</v>
      </c>
      <c r="HH7" s="115">
        <v>0</v>
      </c>
      <c r="HI7" s="114">
        <v>48.711656441717793</v>
      </c>
      <c r="HJ7" s="114">
        <v>45.216663177726609</v>
      </c>
      <c r="HK7" s="113">
        <v>49.685534591194966</v>
      </c>
      <c r="HL7" s="112">
        <v>118</v>
      </c>
      <c r="HM7" s="112">
        <v>119</v>
      </c>
      <c r="HN7" s="112">
        <v>137</v>
      </c>
      <c r="HO7" s="112">
        <v>175</v>
      </c>
      <c r="HP7" s="112"/>
      <c r="HQ7" s="112">
        <v>202</v>
      </c>
      <c r="HR7" s="112">
        <v>186</v>
      </c>
      <c r="HS7" s="112">
        <v>219</v>
      </c>
      <c r="HT7" s="112">
        <v>289</v>
      </c>
      <c r="HU7" s="117"/>
      <c r="HV7" s="119"/>
      <c r="HW7" s="119"/>
      <c r="HX7" s="119"/>
      <c r="HY7" s="119"/>
      <c r="HZ7" s="119"/>
      <c r="IA7" s="119"/>
      <c r="IB7" s="119"/>
      <c r="IC7" s="119"/>
      <c r="ID7" s="119"/>
      <c r="IE7" s="119"/>
      <c r="IF7" s="119"/>
      <c r="IG7" s="119"/>
      <c r="IH7" s="119"/>
      <c r="II7" s="119"/>
      <c r="IJ7" s="119"/>
      <c r="IK7" s="119"/>
      <c r="IL7" s="119"/>
      <c r="IM7" s="119"/>
      <c r="IN7" s="119"/>
      <c r="IO7" s="119"/>
      <c r="IP7" s="119"/>
      <c r="IQ7" s="119"/>
      <c r="IR7" s="119"/>
    </row>
    <row r="8" spans="1:252" x14ac:dyDescent="0.2">
      <c r="A8" s="93">
        <v>5</v>
      </c>
      <c r="B8" s="98" t="s">
        <v>73</v>
      </c>
      <c r="C8" s="99">
        <v>38688</v>
      </c>
      <c r="D8" s="99">
        <v>39504</v>
      </c>
      <c r="E8" s="99">
        <v>39878</v>
      </c>
      <c r="F8" s="99">
        <v>40193</v>
      </c>
      <c r="G8" s="99">
        <v>38451</v>
      </c>
      <c r="H8" s="99">
        <v>15196</v>
      </c>
      <c r="I8" s="99">
        <v>15489</v>
      </c>
      <c r="J8" s="99">
        <v>15611</v>
      </c>
      <c r="K8" s="99">
        <v>15741</v>
      </c>
      <c r="L8" s="99">
        <v>15079</v>
      </c>
      <c r="M8" s="100">
        <v>14.893696381947036</v>
      </c>
      <c r="N8" s="100">
        <v>14.841080286606651</v>
      </c>
      <c r="O8" s="101">
        <v>15.065438327118519</v>
      </c>
      <c r="P8" s="101">
        <v>14.800547235023041</v>
      </c>
      <c r="Q8" s="102">
        <v>17.623632215906895</v>
      </c>
      <c r="R8" s="100">
        <v>29.410667661320407</v>
      </c>
      <c r="S8" s="100">
        <v>30.314164982546387</v>
      </c>
      <c r="T8" s="100">
        <v>30.719456021057251</v>
      </c>
      <c r="U8" s="100">
        <v>29.903513824884794</v>
      </c>
      <c r="V8" s="100">
        <v>31.048215597571822</v>
      </c>
      <c r="W8" s="100">
        <v>44.304364043267434</v>
      </c>
      <c r="X8" s="100">
        <v>45.155245269153035</v>
      </c>
      <c r="Y8" s="100">
        <v>45.784894348175769</v>
      </c>
      <c r="Z8" s="100">
        <v>44.704061059907836</v>
      </c>
      <c r="AA8" s="100">
        <v>48.671847813478713</v>
      </c>
      <c r="AB8" s="100">
        <v>4.5</v>
      </c>
      <c r="AC8" s="100">
        <v>5</v>
      </c>
      <c r="AD8" s="100">
        <v>6.1</v>
      </c>
      <c r="AE8" s="100">
        <v>8.6</v>
      </c>
      <c r="AF8" s="100">
        <v>7.6</v>
      </c>
      <c r="AG8" s="99">
        <v>726.75</v>
      </c>
      <c r="AH8" s="99">
        <v>752</v>
      </c>
      <c r="AI8" s="104">
        <v>823.66666666666663</v>
      </c>
      <c r="AJ8" s="104">
        <v>1055.3333333333333</v>
      </c>
      <c r="AK8" s="105">
        <v>1382</v>
      </c>
      <c r="AL8" s="106">
        <v>36829</v>
      </c>
      <c r="AM8" s="106">
        <v>554</v>
      </c>
      <c r="AN8" s="106">
        <v>213</v>
      </c>
      <c r="AO8" s="106">
        <v>641</v>
      </c>
      <c r="AP8" s="106">
        <v>0</v>
      </c>
      <c r="AQ8" s="106">
        <v>530</v>
      </c>
      <c r="AR8" s="106">
        <v>36348</v>
      </c>
      <c r="AS8" s="106">
        <v>749</v>
      </c>
      <c r="AT8" s="106">
        <v>159</v>
      </c>
      <c r="AU8" s="106">
        <v>429</v>
      </c>
      <c r="AV8" s="106">
        <v>615</v>
      </c>
      <c r="AW8" s="106">
        <v>632</v>
      </c>
      <c r="AX8" s="107">
        <v>28612</v>
      </c>
      <c r="AY8" s="107">
        <v>28364</v>
      </c>
      <c r="AZ8" s="107">
        <v>29048</v>
      </c>
      <c r="BA8" s="107">
        <v>31763</v>
      </c>
      <c r="BB8" s="107">
        <v>31215</v>
      </c>
      <c r="BC8" s="107">
        <v>45588</v>
      </c>
      <c r="BD8" s="107">
        <v>47676</v>
      </c>
      <c r="BE8" s="107">
        <v>48939</v>
      </c>
      <c r="BF8" s="108">
        <v>50587</v>
      </c>
      <c r="BG8" s="108">
        <v>49671</v>
      </c>
      <c r="BH8" s="100">
        <v>8.6999999999999993</v>
      </c>
      <c r="BI8" s="100">
        <v>7.4</v>
      </c>
      <c r="BJ8" s="100">
        <v>8.6999999999999993</v>
      </c>
      <c r="BK8" s="100">
        <v>10.199999999999999</v>
      </c>
      <c r="BL8" s="100">
        <v>12.2</v>
      </c>
      <c r="BM8" s="100">
        <v>9.5</v>
      </c>
      <c r="BN8" s="109">
        <v>9.1</v>
      </c>
      <c r="BO8" s="109">
        <v>10.199999999999999</v>
      </c>
      <c r="BP8" s="109">
        <v>12.8</v>
      </c>
      <c r="BQ8" s="100">
        <v>13.4</v>
      </c>
      <c r="BR8" s="106">
        <v>5440</v>
      </c>
      <c r="BS8" s="118">
        <v>5414</v>
      </c>
      <c r="BT8" s="118">
        <v>5455</v>
      </c>
      <c r="BU8" s="110">
        <v>5559</v>
      </c>
      <c r="BV8" s="100">
        <v>25.257352941176471</v>
      </c>
      <c r="BW8" s="100">
        <v>28.66642039157739</v>
      </c>
      <c r="BX8" s="100">
        <v>32.447296058661777</v>
      </c>
      <c r="BY8" s="103">
        <v>32.074114049289442</v>
      </c>
      <c r="BZ8" s="100">
        <v>0.34926470588235298</v>
      </c>
      <c r="CA8" s="100">
        <v>0.35094200221647581</v>
      </c>
      <c r="CB8" s="100">
        <v>0.23831347387717691</v>
      </c>
      <c r="CC8" s="103">
        <v>0.35977693829825508</v>
      </c>
      <c r="CD8" s="100">
        <v>16.580882352941178</v>
      </c>
      <c r="CE8" s="100">
        <v>16.900628001477649</v>
      </c>
      <c r="CF8" s="100">
        <v>16.901924839596699</v>
      </c>
      <c r="CG8" s="103">
        <v>16.531750314804821</v>
      </c>
      <c r="CH8" s="100">
        <v>85.497835497835496</v>
      </c>
      <c r="CI8" s="105">
        <v>84.2</v>
      </c>
      <c r="CJ8" s="111">
        <v>85.09</v>
      </c>
      <c r="CK8" s="111">
        <v>83.885209713024281</v>
      </c>
      <c r="CL8" s="112">
        <v>2461</v>
      </c>
      <c r="CM8" s="112">
        <v>2558</v>
      </c>
      <c r="CN8" s="112">
        <v>2870</v>
      </c>
      <c r="CO8" s="112">
        <v>3008</v>
      </c>
      <c r="CP8" s="112"/>
      <c r="CQ8" s="113">
        <v>15.356583487772765</v>
      </c>
      <c r="CR8" s="113">
        <v>15.029995358210972</v>
      </c>
      <c r="CS8" s="113">
        <v>15.493497589600462</v>
      </c>
      <c r="CT8" s="113">
        <v>15.291234990900495</v>
      </c>
      <c r="CU8" s="112"/>
      <c r="CV8" s="114">
        <v>4.4425817267393128</v>
      </c>
      <c r="CW8" s="114">
        <v>4.1348855881172222</v>
      </c>
      <c r="CX8" s="114">
        <v>5.5495495495495497</v>
      </c>
      <c r="CY8" s="114">
        <v>5.324232081911263</v>
      </c>
      <c r="CZ8" s="112"/>
      <c r="DA8" s="113">
        <v>6.9696969696969697</v>
      </c>
      <c r="DB8" s="113">
        <v>6.7240672406724071</v>
      </c>
      <c r="DC8" s="113">
        <v>9.0744101633393832</v>
      </c>
      <c r="DD8" s="113">
        <v>11.256906077348066</v>
      </c>
      <c r="DE8" s="112"/>
      <c r="DF8" s="113">
        <v>84.31613431613431</v>
      </c>
      <c r="DG8" s="113">
        <v>89.006259780907669</v>
      </c>
      <c r="DH8" s="113">
        <v>90.163934426229503</v>
      </c>
      <c r="DI8" s="113">
        <v>89.426284189459636</v>
      </c>
      <c r="DJ8" s="112"/>
      <c r="DK8" s="114">
        <v>21.209644462607276</v>
      </c>
      <c r="DL8" s="114">
        <v>17.345340642129994</v>
      </c>
      <c r="DM8" s="114">
        <v>16.695712791913557</v>
      </c>
      <c r="DN8" s="114">
        <v>17.415917415917416</v>
      </c>
      <c r="DO8" s="112"/>
      <c r="DP8" s="113">
        <v>21.576594880130028</v>
      </c>
      <c r="DQ8" s="113">
        <v>27.443315089913995</v>
      </c>
      <c r="DR8" s="113">
        <v>30.139372822299652</v>
      </c>
      <c r="DS8" s="113">
        <v>33.011968085106382</v>
      </c>
      <c r="DT8" s="112"/>
      <c r="DU8" s="115">
        <v>11</v>
      </c>
      <c r="DV8" s="115">
        <v>15</v>
      </c>
      <c r="DW8" s="115">
        <v>18</v>
      </c>
      <c r="DX8" s="115">
        <v>17</v>
      </c>
      <c r="DY8" s="112"/>
      <c r="DZ8" s="116">
        <v>1.73</v>
      </c>
      <c r="EA8" s="116">
        <v>1.0395010395010396</v>
      </c>
      <c r="EB8" s="116">
        <v>1.83</v>
      </c>
      <c r="EC8" s="116">
        <v>2.2075055187637971</v>
      </c>
      <c r="ED8" s="112"/>
      <c r="EE8" s="113">
        <v>93.949579831932766</v>
      </c>
      <c r="EF8" s="113">
        <v>3.865546218487395</v>
      </c>
      <c r="EG8" s="113">
        <v>0.33613445378151263</v>
      </c>
      <c r="EH8" s="113">
        <v>1.8487394957983194</v>
      </c>
      <c r="EI8" s="113">
        <v>1.0101010101010102</v>
      </c>
      <c r="EJ8" s="113">
        <v>29.955067398901647</v>
      </c>
      <c r="EK8" s="113"/>
      <c r="EL8" s="115">
        <v>1320</v>
      </c>
      <c r="EM8" s="115">
        <v>1471</v>
      </c>
      <c r="EN8" s="115">
        <v>1583</v>
      </c>
      <c r="EO8" s="115">
        <v>1522</v>
      </c>
      <c r="EP8" s="112"/>
      <c r="EQ8" s="114">
        <v>823.67696886875456</v>
      </c>
      <c r="ER8" s="114">
        <v>864.31286833183503</v>
      </c>
      <c r="ES8" s="114">
        <v>854.57166147517535</v>
      </c>
      <c r="ET8" s="114">
        <v>773.71208963266463</v>
      </c>
      <c r="EU8" s="112"/>
      <c r="EV8" s="113">
        <v>822.03114687000004</v>
      </c>
      <c r="EW8" s="113">
        <v>865.79933238000001</v>
      </c>
      <c r="EX8" s="113">
        <v>913.9892327</v>
      </c>
      <c r="EY8" s="113">
        <v>780.18232135999995</v>
      </c>
      <c r="EZ8" s="112"/>
      <c r="FA8" s="115">
        <v>466</v>
      </c>
      <c r="FB8" s="115">
        <v>468</v>
      </c>
      <c r="FC8" s="115">
        <v>415</v>
      </c>
      <c r="FD8" s="115">
        <v>367</v>
      </c>
      <c r="FE8" s="112"/>
      <c r="FF8" s="115">
        <v>290</v>
      </c>
      <c r="FG8" s="115">
        <v>294</v>
      </c>
      <c r="FH8" s="115">
        <v>317</v>
      </c>
      <c r="FI8" s="115">
        <v>338</v>
      </c>
      <c r="FJ8" s="112"/>
      <c r="FK8" s="115">
        <v>111</v>
      </c>
      <c r="FL8" s="115">
        <v>135</v>
      </c>
      <c r="FM8" s="115">
        <v>143</v>
      </c>
      <c r="FN8" s="115">
        <v>104</v>
      </c>
      <c r="FO8" s="112"/>
      <c r="FP8" s="115">
        <v>62</v>
      </c>
      <c r="FQ8" s="115">
        <v>72</v>
      </c>
      <c r="FR8" s="115">
        <v>78</v>
      </c>
      <c r="FS8" s="115">
        <v>63</v>
      </c>
      <c r="FT8" s="112"/>
      <c r="FU8" s="113">
        <v>287.09978765</v>
      </c>
      <c r="FV8" s="113">
        <v>269.69306685999999</v>
      </c>
      <c r="FW8" s="113">
        <v>239.25442867999999</v>
      </c>
      <c r="FX8" s="113">
        <v>181.57180844000001</v>
      </c>
      <c r="FY8" s="112"/>
      <c r="FZ8" s="113">
        <v>199.18297294999999</v>
      </c>
      <c r="GA8" s="113">
        <v>192.51831086999999</v>
      </c>
      <c r="GB8" s="113">
        <v>196.40647458999999</v>
      </c>
      <c r="GC8" s="113">
        <v>188.94700914000001</v>
      </c>
      <c r="GD8" s="112"/>
      <c r="GE8" s="113">
        <v>61.10004198</v>
      </c>
      <c r="GF8" s="113">
        <v>76.363721269999999</v>
      </c>
      <c r="GG8" s="113">
        <v>78.11115101</v>
      </c>
      <c r="GH8" s="113">
        <v>51.73655617</v>
      </c>
      <c r="GI8" s="112"/>
      <c r="GJ8" s="113">
        <v>36.902339429999998</v>
      </c>
      <c r="GK8" s="113">
        <v>41.096046999999999</v>
      </c>
      <c r="GL8" s="113">
        <v>42.508092480000002</v>
      </c>
      <c r="GM8" s="113">
        <v>31.186662989999999</v>
      </c>
      <c r="GN8" s="112"/>
      <c r="GO8" s="113">
        <v>1036.35386137</v>
      </c>
      <c r="GP8" s="113">
        <v>1013.8677298600001</v>
      </c>
      <c r="GQ8" s="113">
        <v>1099.99997603</v>
      </c>
      <c r="GR8" s="113">
        <v>914.05896095000003</v>
      </c>
      <c r="GS8" s="112"/>
      <c r="GT8" s="113">
        <v>660.46932954999897</v>
      </c>
      <c r="GU8" s="113">
        <v>751.39619333999997</v>
      </c>
      <c r="GV8" s="113">
        <v>773.86090553999998</v>
      </c>
      <c r="GW8" s="113">
        <v>670.59284548999995</v>
      </c>
      <c r="GX8" s="112"/>
      <c r="GY8" s="112"/>
      <c r="GZ8" s="112"/>
      <c r="HA8" s="112"/>
      <c r="HB8" s="112"/>
      <c r="HC8" s="112"/>
      <c r="HD8" s="115">
        <v>309</v>
      </c>
      <c r="HE8" s="115">
        <v>0</v>
      </c>
      <c r="HF8" s="115">
        <v>1</v>
      </c>
      <c r="HG8" s="115">
        <v>1</v>
      </c>
      <c r="HH8" s="115">
        <v>2</v>
      </c>
      <c r="HI8" s="114">
        <v>32.981285899573834</v>
      </c>
      <c r="HJ8" s="114">
        <v>36.73345476624165</v>
      </c>
      <c r="HK8" s="113">
        <v>36.843821323769156</v>
      </c>
      <c r="HL8" s="112">
        <v>106</v>
      </c>
      <c r="HM8" s="112">
        <v>103</v>
      </c>
      <c r="HN8" s="112">
        <v>154</v>
      </c>
      <c r="HO8" s="112">
        <v>156</v>
      </c>
      <c r="HP8" s="112"/>
      <c r="HQ8" s="112">
        <v>161</v>
      </c>
      <c r="HR8" s="112">
        <v>164</v>
      </c>
      <c r="HS8" s="112">
        <v>250</v>
      </c>
      <c r="HT8" s="112">
        <v>326</v>
      </c>
      <c r="HU8" s="117"/>
      <c r="HV8" s="119"/>
      <c r="HW8" s="119"/>
      <c r="HX8" s="119"/>
      <c r="HY8" s="119"/>
      <c r="HZ8" s="119"/>
      <c r="IA8" s="119"/>
      <c r="IB8" s="119"/>
      <c r="IC8" s="119"/>
      <c r="ID8" s="119"/>
      <c r="IE8" s="119"/>
      <c r="IF8" s="119"/>
      <c r="IG8" s="119"/>
      <c r="IH8" s="119"/>
      <c r="II8" s="119"/>
      <c r="IJ8" s="119"/>
      <c r="IK8" s="119"/>
      <c r="IL8" s="119"/>
      <c r="IM8" s="119"/>
      <c r="IN8" s="119"/>
      <c r="IO8" s="119"/>
      <c r="IP8" s="119"/>
      <c r="IQ8" s="119"/>
      <c r="IR8" s="119"/>
    </row>
    <row r="9" spans="1:252" x14ac:dyDescent="0.2">
      <c r="A9" s="93">
        <v>6</v>
      </c>
      <c r="B9" s="98" t="s">
        <v>74</v>
      </c>
      <c r="C9" s="99">
        <v>5510</v>
      </c>
      <c r="D9" s="99">
        <v>5385</v>
      </c>
      <c r="E9" s="99">
        <v>5365</v>
      </c>
      <c r="F9" s="99">
        <v>5251</v>
      </c>
      <c r="G9" s="99">
        <v>5269</v>
      </c>
      <c r="H9" s="99">
        <v>2285</v>
      </c>
      <c r="I9" s="99">
        <v>2259</v>
      </c>
      <c r="J9" s="99">
        <v>2261</v>
      </c>
      <c r="K9" s="99">
        <v>2222</v>
      </c>
      <c r="L9" s="99">
        <v>2293</v>
      </c>
      <c r="M9" s="100">
        <v>41.189024390243901</v>
      </c>
      <c r="N9" s="100">
        <v>43.217665615141954</v>
      </c>
      <c r="O9" s="101">
        <v>44.546899841017492</v>
      </c>
      <c r="P9" s="101">
        <v>42.333873581847648</v>
      </c>
      <c r="Q9" s="102">
        <v>43.367179823124793</v>
      </c>
      <c r="R9" s="100">
        <v>26.79878048780488</v>
      </c>
      <c r="S9" s="100">
        <v>26.656151419558359</v>
      </c>
      <c r="T9" s="100">
        <v>26.04133545310016</v>
      </c>
      <c r="U9" s="100">
        <v>27.876823338735818</v>
      </c>
      <c r="V9" s="100">
        <v>29.217163445791027</v>
      </c>
      <c r="W9" s="100">
        <v>67.987804878048792</v>
      </c>
      <c r="X9" s="100">
        <v>69.873817034700309</v>
      </c>
      <c r="Y9" s="100">
        <v>70.588235294117652</v>
      </c>
      <c r="Z9" s="100">
        <v>70.210696920583473</v>
      </c>
      <c r="AA9" s="100">
        <v>72.584343268915816</v>
      </c>
      <c r="AB9" s="100">
        <v>4.4000000000000004</v>
      </c>
      <c r="AC9" s="100">
        <v>4.9000000000000004</v>
      </c>
      <c r="AD9" s="100">
        <v>5.5</v>
      </c>
      <c r="AE9" s="100">
        <v>6.1</v>
      </c>
      <c r="AF9" s="100">
        <v>5.9</v>
      </c>
      <c r="AG9" s="99">
        <v>110</v>
      </c>
      <c r="AH9" s="99">
        <v>108.83333333333333</v>
      </c>
      <c r="AI9" s="104">
        <v>117.75</v>
      </c>
      <c r="AJ9" s="104">
        <v>132.25</v>
      </c>
      <c r="AK9" s="105">
        <v>148.25</v>
      </c>
      <c r="AL9" s="106">
        <v>5421</v>
      </c>
      <c r="AM9" s="106">
        <v>14</v>
      </c>
      <c r="AN9" s="106">
        <v>34</v>
      </c>
      <c r="AO9" s="106">
        <v>24</v>
      </c>
      <c r="AP9" s="106">
        <v>0</v>
      </c>
      <c r="AQ9" s="106">
        <v>34</v>
      </c>
      <c r="AR9" s="106">
        <v>5175</v>
      </c>
      <c r="AS9" s="106">
        <v>11</v>
      </c>
      <c r="AT9" s="106">
        <v>22</v>
      </c>
      <c r="AU9" s="106">
        <v>4</v>
      </c>
      <c r="AV9" s="106">
        <v>42</v>
      </c>
      <c r="AW9" s="106">
        <v>41</v>
      </c>
      <c r="AX9" s="107">
        <v>29005</v>
      </c>
      <c r="AY9" s="107">
        <v>30091</v>
      </c>
      <c r="AZ9" s="107">
        <v>32062</v>
      </c>
      <c r="BA9" s="107">
        <v>37309</v>
      </c>
      <c r="BB9" s="107">
        <v>38023</v>
      </c>
      <c r="BC9" s="107">
        <v>34749</v>
      </c>
      <c r="BD9" s="107">
        <v>35705</v>
      </c>
      <c r="BE9" s="107">
        <v>39748</v>
      </c>
      <c r="BF9" s="108">
        <v>39768</v>
      </c>
      <c r="BG9" s="108">
        <v>39113</v>
      </c>
      <c r="BH9" s="100">
        <v>12.3</v>
      </c>
      <c r="BI9" s="100">
        <v>12.8</v>
      </c>
      <c r="BJ9" s="100">
        <v>11.8</v>
      </c>
      <c r="BK9" s="100">
        <v>12.6</v>
      </c>
      <c r="BL9" s="100">
        <v>11.6</v>
      </c>
      <c r="BM9" s="100">
        <v>15.5</v>
      </c>
      <c r="BN9" s="109">
        <v>15.4</v>
      </c>
      <c r="BO9" s="109">
        <v>15.4</v>
      </c>
      <c r="BP9" s="109">
        <v>16.2</v>
      </c>
      <c r="BQ9" s="100">
        <v>15.7</v>
      </c>
      <c r="BR9" s="106">
        <v>917</v>
      </c>
      <c r="BS9" s="118">
        <v>905</v>
      </c>
      <c r="BT9" s="118">
        <v>897</v>
      </c>
      <c r="BU9" s="110">
        <v>904</v>
      </c>
      <c r="BV9" s="100">
        <v>42.202835332606327</v>
      </c>
      <c r="BW9" s="100">
        <v>44.19889502762431</v>
      </c>
      <c r="BX9" s="100">
        <v>42.474916387959865</v>
      </c>
      <c r="BY9" s="103">
        <v>46.017699115044245</v>
      </c>
      <c r="BZ9" s="100">
        <v>0.32715376226826609</v>
      </c>
      <c r="CA9" s="100">
        <v>0.22099447513812157</v>
      </c>
      <c r="CB9" s="100">
        <v>0.55741360089186176</v>
      </c>
      <c r="CC9" s="103">
        <v>0.33185840707964603</v>
      </c>
      <c r="CD9" s="100">
        <v>14.503816793893129</v>
      </c>
      <c r="CE9" s="100">
        <v>13.591160220994475</v>
      </c>
      <c r="CF9" s="100">
        <v>13.154960981047937</v>
      </c>
      <c r="CG9" s="103">
        <v>14.269911504424778</v>
      </c>
      <c r="CH9" s="100">
        <v>92.982456140350877</v>
      </c>
      <c r="CI9" s="105">
        <v>94.32</v>
      </c>
      <c r="CJ9" s="111">
        <v>96.7</v>
      </c>
      <c r="CK9" s="111">
        <v>92.222222222222229</v>
      </c>
      <c r="CL9" s="112">
        <v>309</v>
      </c>
      <c r="CM9" s="112">
        <v>278</v>
      </c>
      <c r="CN9" s="112">
        <v>271</v>
      </c>
      <c r="CO9" s="112">
        <v>306</v>
      </c>
      <c r="CP9" s="112"/>
      <c r="CQ9" s="113">
        <v>10.263734803693616</v>
      </c>
      <c r="CR9" s="113">
        <v>9.7294648794316316</v>
      </c>
      <c r="CS9" s="113">
        <v>9.6317884560705149</v>
      </c>
      <c r="CT9" s="113">
        <v>11.426437640029873</v>
      </c>
      <c r="CU9" s="112"/>
      <c r="CV9" s="114">
        <v>2.2950819672131146</v>
      </c>
      <c r="CW9" s="114">
        <v>2.5547445255474455</v>
      </c>
      <c r="CX9" s="114">
        <v>4.1509433962264151</v>
      </c>
      <c r="CY9" s="114">
        <v>1.6666666666666667</v>
      </c>
      <c r="CZ9" s="112"/>
      <c r="DA9" s="113">
        <v>5.1094890510948909</v>
      </c>
      <c r="DB9" s="113">
        <v>6.7924528301886795</v>
      </c>
      <c r="DC9" s="113">
        <v>8.8461538461538467</v>
      </c>
      <c r="DD9" s="113">
        <v>8.1355932203389827</v>
      </c>
      <c r="DE9" s="112"/>
      <c r="DF9" s="113">
        <v>76.333333333333329</v>
      </c>
      <c r="DG9" s="113">
        <v>80.505415162454867</v>
      </c>
      <c r="DH9" s="113">
        <v>81.784386617100367</v>
      </c>
      <c r="DI9" s="113">
        <v>80.528052805280524</v>
      </c>
      <c r="DJ9" s="112"/>
      <c r="DK9" s="114">
        <v>19.17808219178082</v>
      </c>
      <c r="DL9" s="114">
        <v>15.272727272727273</v>
      </c>
      <c r="DM9" s="114">
        <v>11.851851851851851</v>
      </c>
      <c r="DN9" s="114">
        <v>16.013071895424837</v>
      </c>
      <c r="DO9" s="112"/>
      <c r="DP9" s="113">
        <v>19.417475728155338</v>
      </c>
      <c r="DQ9" s="113">
        <v>28.057553956834532</v>
      </c>
      <c r="DR9" s="113">
        <v>22.140221402214021</v>
      </c>
      <c r="DS9" s="113">
        <v>24.183006535947712</v>
      </c>
      <c r="DT9" s="112"/>
      <c r="DU9" s="115">
        <v>2</v>
      </c>
      <c r="DV9" s="115">
        <v>1</v>
      </c>
      <c r="DW9" s="115">
        <v>2</v>
      </c>
      <c r="DX9" s="115">
        <v>1</v>
      </c>
      <c r="DY9" s="112"/>
      <c r="DZ9" s="116">
        <v>0</v>
      </c>
      <c r="EA9" s="116">
        <v>0</v>
      </c>
      <c r="EB9" s="116">
        <v>5.82</v>
      </c>
      <c r="EC9" s="116">
        <v>3.3333333333333335</v>
      </c>
      <c r="ED9" s="112"/>
      <c r="EE9" s="113">
        <v>98.275862068965523</v>
      </c>
      <c r="EF9" s="113">
        <v>0</v>
      </c>
      <c r="EG9" s="113">
        <v>0</v>
      </c>
      <c r="EH9" s="113">
        <v>1.7241379310344827</v>
      </c>
      <c r="EI9" s="113">
        <v>0</v>
      </c>
      <c r="EJ9" s="113" t="s">
        <v>46</v>
      </c>
      <c r="EK9" s="113"/>
      <c r="EL9" s="115">
        <v>505</v>
      </c>
      <c r="EM9" s="115">
        <v>494</v>
      </c>
      <c r="EN9" s="115">
        <v>430</v>
      </c>
      <c r="EO9" s="115">
        <v>381</v>
      </c>
      <c r="EP9" s="112"/>
      <c r="EQ9" s="114">
        <v>1677.4064970437787</v>
      </c>
      <c r="ER9" s="114">
        <v>1728.9049102299373</v>
      </c>
      <c r="ES9" s="114">
        <v>1528.2911572362809</v>
      </c>
      <c r="ET9" s="114">
        <v>1422.7035100821508</v>
      </c>
      <c r="EU9" s="112"/>
      <c r="EV9" s="113">
        <v>905.43892656000003</v>
      </c>
      <c r="EW9" s="113">
        <v>891.18823208000003</v>
      </c>
      <c r="EX9" s="113">
        <v>793.70202456000004</v>
      </c>
      <c r="EY9" s="113">
        <v>673.51177723000001</v>
      </c>
      <c r="EZ9" s="112"/>
      <c r="FA9" s="115">
        <v>197</v>
      </c>
      <c r="FB9" s="115">
        <v>183</v>
      </c>
      <c r="FC9" s="115">
        <v>136</v>
      </c>
      <c r="FD9" s="115">
        <v>93</v>
      </c>
      <c r="FE9" s="112"/>
      <c r="FF9" s="115">
        <v>126</v>
      </c>
      <c r="FG9" s="115">
        <v>123</v>
      </c>
      <c r="FH9" s="115">
        <v>116</v>
      </c>
      <c r="FI9" s="115">
        <v>96</v>
      </c>
      <c r="FJ9" s="112"/>
      <c r="FK9" s="115">
        <v>34</v>
      </c>
      <c r="FL9" s="115">
        <v>53</v>
      </c>
      <c r="FM9" s="115">
        <v>36</v>
      </c>
      <c r="FN9" s="115">
        <v>32</v>
      </c>
      <c r="FO9" s="112"/>
      <c r="FP9" s="115">
        <v>17</v>
      </c>
      <c r="FQ9" s="115">
        <v>17</v>
      </c>
      <c r="FR9" s="115">
        <v>13</v>
      </c>
      <c r="FS9" s="115">
        <v>19</v>
      </c>
      <c r="FT9" s="112"/>
      <c r="FU9" s="113">
        <v>324.83827359999998</v>
      </c>
      <c r="FV9" s="113">
        <v>304.93320424000001</v>
      </c>
      <c r="FW9" s="113">
        <v>225.07808421999999</v>
      </c>
      <c r="FX9" s="113">
        <v>145.33532249999999</v>
      </c>
      <c r="FY9" s="112"/>
      <c r="FZ9" s="113">
        <v>255.81754733</v>
      </c>
      <c r="GA9" s="113">
        <v>240.44118017</v>
      </c>
      <c r="GB9" s="113">
        <v>235.98328462000001</v>
      </c>
      <c r="GC9" s="113">
        <v>178.99928906</v>
      </c>
      <c r="GD9" s="112"/>
      <c r="GE9" s="113">
        <v>46.3067054999999</v>
      </c>
      <c r="GF9" s="113">
        <v>82.228379039999993</v>
      </c>
      <c r="GG9" s="113">
        <v>54.485842050000002</v>
      </c>
      <c r="GH9" s="113">
        <v>45.163457899999997</v>
      </c>
      <c r="GI9" s="112"/>
      <c r="GJ9" s="113" t="s">
        <v>46</v>
      </c>
      <c r="GK9" s="113" t="s">
        <v>46</v>
      </c>
      <c r="GL9" s="113" t="s">
        <v>46</v>
      </c>
      <c r="GM9" s="113" t="s">
        <v>46</v>
      </c>
      <c r="GN9" s="112"/>
      <c r="GO9" s="113">
        <v>1082.8456371699999</v>
      </c>
      <c r="GP9" s="113">
        <v>1192.50054513999</v>
      </c>
      <c r="GQ9" s="113">
        <v>952.88230855999996</v>
      </c>
      <c r="GR9" s="113">
        <v>825.18235521999998</v>
      </c>
      <c r="GS9" s="112"/>
      <c r="GT9" s="113">
        <v>769.52678184000001</v>
      </c>
      <c r="GU9" s="113">
        <v>663.99472238999999</v>
      </c>
      <c r="GV9" s="113">
        <v>651.98853374999999</v>
      </c>
      <c r="GW9" s="113">
        <v>547.80571452000004</v>
      </c>
      <c r="GX9" s="112"/>
      <c r="GY9" s="112"/>
      <c r="GZ9" s="112"/>
      <c r="HA9" s="112"/>
      <c r="HB9" s="112"/>
      <c r="HC9" s="112"/>
      <c r="HD9" s="115">
        <v>77</v>
      </c>
      <c r="HE9" s="115">
        <v>0</v>
      </c>
      <c r="HF9" s="115">
        <v>0</v>
      </c>
      <c r="HG9" s="115">
        <v>0</v>
      </c>
      <c r="HH9" s="115">
        <v>0</v>
      </c>
      <c r="HI9" s="114">
        <v>22.727272727272727</v>
      </c>
      <c r="HJ9" s="114">
        <v>34.749034749034749</v>
      </c>
      <c r="HK9" s="113">
        <v>21.238938053097346</v>
      </c>
      <c r="HL9" s="112">
        <v>7</v>
      </c>
      <c r="HM9" s="112">
        <v>7</v>
      </c>
      <c r="HN9" s="112">
        <v>11</v>
      </c>
      <c r="HO9" s="112">
        <v>5</v>
      </c>
      <c r="HP9" s="112"/>
      <c r="HQ9" s="112">
        <v>14</v>
      </c>
      <c r="HR9" s="112">
        <v>18</v>
      </c>
      <c r="HS9" s="112">
        <v>23</v>
      </c>
      <c r="HT9" s="112">
        <v>24</v>
      </c>
      <c r="HU9" s="117"/>
      <c r="HV9" s="119"/>
      <c r="HW9" s="119"/>
      <c r="HX9" s="119"/>
      <c r="HY9" s="119"/>
      <c r="HZ9" s="119"/>
      <c r="IA9" s="119"/>
      <c r="IB9" s="119"/>
      <c r="IC9" s="119"/>
      <c r="ID9" s="119"/>
      <c r="IE9" s="119"/>
      <c r="IF9" s="119"/>
      <c r="IG9" s="119"/>
      <c r="IH9" s="119"/>
      <c r="II9" s="119"/>
      <c r="IJ9" s="119"/>
      <c r="IK9" s="119"/>
      <c r="IL9" s="119"/>
      <c r="IM9" s="119"/>
      <c r="IN9" s="119"/>
      <c r="IO9" s="119"/>
      <c r="IP9" s="119"/>
      <c r="IQ9" s="119"/>
      <c r="IR9" s="119"/>
    </row>
    <row r="10" spans="1:252" ht="21" customHeight="1" x14ac:dyDescent="0.2">
      <c r="A10" s="93">
        <v>7</v>
      </c>
      <c r="B10" s="98" t="s">
        <v>75</v>
      </c>
      <c r="C10" s="99">
        <v>58254</v>
      </c>
      <c r="D10" s="99">
        <v>59802</v>
      </c>
      <c r="E10" s="99">
        <v>60401</v>
      </c>
      <c r="F10" s="99">
        <v>61010</v>
      </c>
      <c r="G10" s="99">
        <v>64013</v>
      </c>
      <c r="H10" s="99">
        <v>23308</v>
      </c>
      <c r="I10" s="99">
        <v>23699</v>
      </c>
      <c r="J10" s="99">
        <v>23974</v>
      </c>
      <c r="K10" s="99">
        <v>24175</v>
      </c>
      <c r="L10" s="99">
        <v>24445</v>
      </c>
      <c r="M10" s="100">
        <v>16.375691661896585</v>
      </c>
      <c r="N10" s="100">
        <v>16.019169031777789</v>
      </c>
      <c r="O10" s="101">
        <v>16.103301581429761</v>
      </c>
      <c r="P10" s="101">
        <v>16.397665618018511</v>
      </c>
      <c r="Q10" s="102">
        <v>16.450574312565262</v>
      </c>
      <c r="R10" s="100">
        <v>22.562488074794889</v>
      </c>
      <c r="S10" s="100">
        <v>23.100544363281067</v>
      </c>
      <c r="T10" s="100">
        <v>23.545731989272173</v>
      </c>
      <c r="U10" s="100">
        <v>22.684995212693202</v>
      </c>
      <c r="V10" s="100">
        <v>22.804994778976681</v>
      </c>
      <c r="W10" s="100">
        <v>38.938179736691467</v>
      </c>
      <c r="X10" s="100">
        <v>39.119713395058859</v>
      </c>
      <c r="Y10" s="100">
        <v>39.649033570701931</v>
      </c>
      <c r="Z10" s="100">
        <v>39.08266083071171</v>
      </c>
      <c r="AA10" s="100">
        <v>39.255569091541943</v>
      </c>
      <c r="AB10" s="100">
        <v>3.3</v>
      </c>
      <c r="AC10" s="100">
        <v>3.7</v>
      </c>
      <c r="AD10" s="100">
        <v>4.5</v>
      </c>
      <c r="AE10" s="100">
        <v>6.5</v>
      </c>
      <c r="AF10" s="100">
        <v>6</v>
      </c>
      <c r="AG10" s="99">
        <v>1134.5</v>
      </c>
      <c r="AH10" s="99">
        <v>1187.0833333333333</v>
      </c>
      <c r="AI10" s="104">
        <v>1268.6666666666667</v>
      </c>
      <c r="AJ10" s="104">
        <v>1654.25</v>
      </c>
      <c r="AK10" s="105">
        <v>2007.3333333333333</v>
      </c>
      <c r="AL10" s="106">
        <v>54751</v>
      </c>
      <c r="AM10" s="106">
        <v>1330</v>
      </c>
      <c r="AN10" s="106">
        <v>185</v>
      </c>
      <c r="AO10" s="106">
        <v>1486</v>
      </c>
      <c r="AP10" s="106">
        <v>0</v>
      </c>
      <c r="AQ10" s="106">
        <v>1182</v>
      </c>
      <c r="AR10" s="106">
        <v>59400</v>
      </c>
      <c r="AS10" s="106">
        <v>1741</v>
      </c>
      <c r="AT10" s="106">
        <v>178</v>
      </c>
      <c r="AU10" s="106">
        <v>1271</v>
      </c>
      <c r="AV10" s="106">
        <v>1025</v>
      </c>
      <c r="AW10" s="106">
        <v>1586</v>
      </c>
      <c r="AX10" s="107">
        <v>31602</v>
      </c>
      <c r="AY10" s="107">
        <v>31380</v>
      </c>
      <c r="AZ10" s="107">
        <v>32112</v>
      </c>
      <c r="BA10" s="107">
        <v>35009</v>
      </c>
      <c r="BB10" s="107">
        <v>34783</v>
      </c>
      <c r="BC10" s="107">
        <v>44562</v>
      </c>
      <c r="BD10" s="107">
        <v>43222</v>
      </c>
      <c r="BE10" s="107">
        <v>49783</v>
      </c>
      <c r="BF10" s="108">
        <v>49098</v>
      </c>
      <c r="BG10" s="108">
        <v>42979</v>
      </c>
      <c r="BH10" s="100">
        <v>13.1</v>
      </c>
      <c r="BI10" s="100">
        <v>16.8</v>
      </c>
      <c r="BJ10" s="100">
        <v>12.3</v>
      </c>
      <c r="BK10" s="100">
        <v>15.8</v>
      </c>
      <c r="BL10" s="100">
        <v>17.5</v>
      </c>
      <c r="BM10" s="100">
        <v>12.4</v>
      </c>
      <c r="BN10" s="109">
        <v>14.1</v>
      </c>
      <c r="BO10" s="109">
        <v>11.5</v>
      </c>
      <c r="BP10" s="109">
        <v>12.1</v>
      </c>
      <c r="BQ10" s="100">
        <v>14</v>
      </c>
      <c r="BR10" s="106">
        <v>9931</v>
      </c>
      <c r="BS10" s="118">
        <v>9954</v>
      </c>
      <c r="BT10" s="118">
        <v>9938</v>
      </c>
      <c r="BU10" s="110">
        <v>10082</v>
      </c>
      <c r="BV10" s="100">
        <v>31.356358876246098</v>
      </c>
      <c r="BW10" s="100">
        <v>31.24372111713884</v>
      </c>
      <c r="BX10" s="100">
        <v>33.839806802173477</v>
      </c>
      <c r="BY10" s="103">
        <v>34.318587581829</v>
      </c>
      <c r="BZ10" s="100">
        <v>3.343067163427651</v>
      </c>
      <c r="CA10" s="100">
        <v>3.425758489049628</v>
      </c>
      <c r="CB10" s="100">
        <v>3.0187160394445565</v>
      </c>
      <c r="CC10" s="103">
        <v>3.5707200952192024</v>
      </c>
      <c r="CD10" s="100">
        <v>17.228879266941899</v>
      </c>
      <c r="CE10" s="100">
        <v>17.902350813743219</v>
      </c>
      <c r="CF10" s="100">
        <v>18.373918293419198</v>
      </c>
      <c r="CG10" s="103">
        <v>18.736361832969649</v>
      </c>
      <c r="CH10" s="100">
        <v>80.266075388026607</v>
      </c>
      <c r="CI10" s="105">
        <v>77.790000000000006</v>
      </c>
      <c r="CJ10" s="111">
        <v>80.89</v>
      </c>
      <c r="CK10" s="111">
        <v>82.299741602067186</v>
      </c>
      <c r="CL10" s="112">
        <v>3077</v>
      </c>
      <c r="CM10" s="112">
        <v>3218</v>
      </c>
      <c r="CN10" s="112">
        <v>3443</v>
      </c>
      <c r="CO10" s="112">
        <v>3916</v>
      </c>
      <c r="CP10" s="112"/>
      <c r="CQ10" s="113">
        <v>11.412019523194921</v>
      </c>
      <c r="CR10" s="113">
        <v>11.838803905554451</v>
      </c>
      <c r="CS10" s="113">
        <v>12.050343345536508</v>
      </c>
      <c r="CT10" s="113">
        <v>12.903650981942796</v>
      </c>
      <c r="CU10" s="112"/>
      <c r="CV10" s="114">
        <v>3.5192563081009296</v>
      </c>
      <c r="CW10" s="114">
        <v>4.0129449838187705</v>
      </c>
      <c r="CX10" s="114">
        <v>3.8149594472814661</v>
      </c>
      <c r="CY10" s="114">
        <v>4.0972772931535815</v>
      </c>
      <c r="CZ10" s="112"/>
      <c r="DA10" s="113">
        <v>6.0042887776983562</v>
      </c>
      <c r="DB10" s="113">
        <v>7.4124447466848009</v>
      </c>
      <c r="DC10" s="113">
        <v>7.2547139661233624</v>
      </c>
      <c r="DD10" s="113">
        <v>6.9060773480662982</v>
      </c>
      <c r="DE10" s="112"/>
      <c r="DF10" s="113">
        <v>88.217420661715053</v>
      </c>
      <c r="DG10" s="113">
        <v>88.231382978723403</v>
      </c>
      <c r="DH10" s="113">
        <v>89.087185488589824</v>
      </c>
      <c r="DI10" s="113">
        <v>90.708418891170425</v>
      </c>
      <c r="DJ10" s="112"/>
      <c r="DK10" s="114">
        <v>11.103327495621716</v>
      </c>
      <c r="DL10" s="114">
        <v>14.447236180904522</v>
      </c>
      <c r="DM10" s="114">
        <v>11.46348559790515</v>
      </c>
      <c r="DN10" s="114">
        <v>6.7995910020449895</v>
      </c>
      <c r="DO10" s="112"/>
      <c r="DP10" s="113">
        <v>22.496749024707412</v>
      </c>
      <c r="DQ10" s="113">
        <v>26.10316967060286</v>
      </c>
      <c r="DR10" s="113">
        <v>28.173104850421144</v>
      </c>
      <c r="DS10" s="113">
        <v>31.843718079673135</v>
      </c>
      <c r="DT10" s="112"/>
      <c r="DU10" s="115">
        <v>22</v>
      </c>
      <c r="DV10" s="115">
        <v>22</v>
      </c>
      <c r="DW10" s="115">
        <v>12</v>
      </c>
      <c r="DX10" s="115">
        <v>11</v>
      </c>
      <c r="DY10" s="112"/>
      <c r="DZ10" s="116">
        <v>6.87</v>
      </c>
      <c r="EA10" s="116">
        <v>6.6508313539192399</v>
      </c>
      <c r="EB10" s="116">
        <v>0</v>
      </c>
      <c r="EC10" s="116">
        <v>5.5555555555555554</v>
      </c>
      <c r="ED10" s="112"/>
      <c r="EE10" s="113">
        <v>89.480519480519476</v>
      </c>
      <c r="EF10" s="113">
        <v>5.1948051948051948</v>
      </c>
      <c r="EG10" s="113">
        <v>0.12987012987012986</v>
      </c>
      <c r="EH10" s="113">
        <v>3.116883116883117</v>
      </c>
      <c r="EI10" s="113">
        <v>2.4707412223667102</v>
      </c>
      <c r="EJ10" s="113">
        <v>14.332071389940509</v>
      </c>
      <c r="EK10" s="113"/>
      <c r="EL10" s="115">
        <v>2060</v>
      </c>
      <c r="EM10" s="115">
        <v>2184</v>
      </c>
      <c r="EN10" s="115">
        <v>2143</v>
      </c>
      <c r="EO10" s="115">
        <v>2207</v>
      </c>
      <c r="EP10" s="112"/>
      <c r="EQ10" s="114">
        <v>764.01560668773277</v>
      </c>
      <c r="ER10" s="114">
        <v>803.4787983135775</v>
      </c>
      <c r="ES10" s="114">
        <v>750.0402494767568</v>
      </c>
      <c r="ET10" s="114">
        <v>727.23078950836953</v>
      </c>
      <c r="EU10" s="112"/>
      <c r="EV10" s="113">
        <v>774.78266493000001</v>
      </c>
      <c r="EW10" s="113">
        <v>766.53130713999997</v>
      </c>
      <c r="EX10" s="113">
        <v>709.70183004</v>
      </c>
      <c r="EY10" s="113">
        <v>668.74816842999996</v>
      </c>
      <c r="EZ10" s="112"/>
      <c r="FA10" s="115">
        <v>615</v>
      </c>
      <c r="FB10" s="115">
        <v>592</v>
      </c>
      <c r="FC10" s="115">
        <v>477</v>
      </c>
      <c r="FD10" s="115">
        <v>417</v>
      </c>
      <c r="FE10" s="112"/>
      <c r="FF10" s="115">
        <v>475</v>
      </c>
      <c r="FG10" s="115">
        <v>492</v>
      </c>
      <c r="FH10" s="115">
        <v>481</v>
      </c>
      <c r="FI10" s="115">
        <v>489</v>
      </c>
      <c r="FJ10" s="112"/>
      <c r="FK10" s="115">
        <v>227</v>
      </c>
      <c r="FL10" s="115">
        <v>207</v>
      </c>
      <c r="FM10" s="115">
        <v>149</v>
      </c>
      <c r="FN10" s="115">
        <v>126</v>
      </c>
      <c r="FO10" s="112"/>
      <c r="FP10" s="115">
        <v>87</v>
      </c>
      <c r="FQ10" s="115">
        <v>81</v>
      </c>
      <c r="FR10" s="115">
        <v>80</v>
      </c>
      <c r="FS10" s="115">
        <v>81</v>
      </c>
      <c r="FT10" s="112"/>
      <c r="FU10" s="113">
        <v>228.84470521</v>
      </c>
      <c r="FV10" s="113">
        <v>204.09938915000001</v>
      </c>
      <c r="FW10" s="113">
        <v>151.12574402000001</v>
      </c>
      <c r="FX10" s="113">
        <v>119.57909465</v>
      </c>
      <c r="FY10" s="112"/>
      <c r="FZ10" s="113">
        <v>189.35692295999999</v>
      </c>
      <c r="GA10" s="113">
        <v>185.63903091</v>
      </c>
      <c r="GB10" s="113">
        <v>175.37659138000001</v>
      </c>
      <c r="GC10" s="113">
        <v>164.77810307999999</v>
      </c>
      <c r="GD10" s="112"/>
      <c r="GE10" s="113">
        <v>80.408085940000007</v>
      </c>
      <c r="GF10" s="113">
        <v>68.403599200000002</v>
      </c>
      <c r="GG10" s="113">
        <v>45.673957119999997</v>
      </c>
      <c r="GH10" s="113">
        <v>35.782796830000002</v>
      </c>
      <c r="GI10" s="112"/>
      <c r="GJ10" s="113">
        <v>31.543977630000001</v>
      </c>
      <c r="GK10" s="113">
        <v>28.31678286</v>
      </c>
      <c r="GL10" s="113">
        <v>27.17893694</v>
      </c>
      <c r="GM10" s="113">
        <v>26.160818039999999</v>
      </c>
      <c r="GN10" s="112"/>
      <c r="GO10" s="113">
        <v>1035.23105229</v>
      </c>
      <c r="GP10" s="113">
        <v>936.23018506999995</v>
      </c>
      <c r="GQ10" s="113">
        <v>844.79535482000006</v>
      </c>
      <c r="GR10" s="113">
        <v>812.19480424000005</v>
      </c>
      <c r="GS10" s="112"/>
      <c r="GT10" s="113">
        <v>594.82105249999995</v>
      </c>
      <c r="GU10" s="113">
        <v>649.97044211000002</v>
      </c>
      <c r="GV10" s="113">
        <v>608.64126734000001</v>
      </c>
      <c r="GW10" s="113">
        <v>564.96460380999997</v>
      </c>
      <c r="GX10" s="112"/>
      <c r="GY10" s="112"/>
      <c r="GZ10" s="112"/>
      <c r="HA10" s="112"/>
      <c r="HB10" s="112"/>
      <c r="HC10" s="112"/>
      <c r="HD10" s="115">
        <v>462</v>
      </c>
      <c r="HE10" s="115">
        <v>6</v>
      </c>
      <c r="HF10" s="115">
        <v>2</v>
      </c>
      <c r="HG10" s="115">
        <v>3</v>
      </c>
      <c r="HH10" s="115">
        <v>3</v>
      </c>
      <c r="HI10" s="114">
        <v>16.986095452837279</v>
      </c>
      <c r="HJ10" s="114">
        <v>17.923571187013867</v>
      </c>
      <c r="HK10" s="113">
        <v>16.321003492267124</v>
      </c>
      <c r="HL10" s="112">
        <v>106</v>
      </c>
      <c r="HM10" s="112">
        <v>124</v>
      </c>
      <c r="HN10" s="112">
        <v>127</v>
      </c>
      <c r="HO10" s="112">
        <v>155</v>
      </c>
      <c r="HP10" s="112"/>
      <c r="HQ10" s="112">
        <v>168</v>
      </c>
      <c r="HR10" s="112">
        <v>218</v>
      </c>
      <c r="HS10" s="112">
        <v>227</v>
      </c>
      <c r="HT10" s="112">
        <v>250</v>
      </c>
      <c r="HU10" s="117"/>
      <c r="HV10" s="119"/>
      <c r="HW10" s="119"/>
      <c r="HX10" s="119"/>
      <c r="HY10" s="119"/>
      <c r="HZ10" s="119"/>
      <c r="IA10" s="119"/>
      <c r="IB10" s="119"/>
      <c r="IC10" s="119"/>
      <c r="ID10" s="119"/>
      <c r="IE10" s="119"/>
      <c r="IF10" s="119"/>
      <c r="IG10" s="119"/>
      <c r="IH10" s="119"/>
      <c r="II10" s="119"/>
      <c r="IJ10" s="119"/>
      <c r="IK10" s="119"/>
      <c r="IL10" s="119"/>
      <c r="IM10" s="119"/>
      <c r="IN10" s="119"/>
      <c r="IO10" s="119"/>
      <c r="IP10" s="119"/>
      <c r="IQ10" s="119"/>
      <c r="IR10" s="119"/>
    </row>
    <row r="11" spans="1:252" x14ac:dyDescent="0.2">
      <c r="A11" s="93">
        <v>8</v>
      </c>
      <c r="B11" s="98" t="s">
        <v>76</v>
      </c>
      <c r="C11" s="99">
        <v>26361</v>
      </c>
      <c r="D11" s="99">
        <v>26013</v>
      </c>
      <c r="E11" s="99">
        <v>25862</v>
      </c>
      <c r="F11" s="99">
        <v>25603</v>
      </c>
      <c r="G11" s="99">
        <v>25893</v>
      </c>
      <c r="H11" s="99">
        <v>10828</v>
      </c>
      <c r="I11" s="99">
        <v>10863</v>
      </c>
      <c r="J11" s="99">
        <v>10898</v>
      </c>
      <c r="K11" s="99">
        <v>10890</v>
      </c>
      <c r="L11" s="99">
        <v>10782</v>
      </c>
      <c r="M11" s="100">
        <v>27.369709688702343</v>
      </c>
      <c r="N11" s="100">
        <v>28.032009484291642</v>
      </c>
      <c r="O11" s="101">
        <v>28.72187649593107</v>
      </c>
      <c r="P11" s="101">
        <v>28.754813863928113</v>
      </c>
      <c r="Q11" s="102">
        <v>29.996326230712711</v>
      </c>
      <c r="R11" s="100">
        <v>26.302903112976566</v>
      </c>
      <c r="S11" s="100">
        <v>26.164789567279197</v>
      </c>
      <c r="T11" s="100">
        <v>26.029200574437528</v>
      </c>
      <c r="U11" s="100">
        <v>27.752307598263954</v>
      </c>
      <c r="V11" s="100">
        <v>28.545187362233651</v>
      </c>
      <c r="W11" s="100">
        <v>53.672612801678909</v>
      </c>
      <c r="X11" s="100">
        <v>54.196799051570835</v>
      </c>
      <c r="Y11" s="100">
        <v>54.751077070368595</v>
      </c>
      <c r="Z11" s="100">
        <v>56.507121462192067</v>
      </c>
      <c r="AA11" s="100">
        <v>58.541513592946366</v>
      </c>
      <c r="AB11" s="100">
        <v>4.4000000000000004</v>
      </c>
      <c r="AC11" s="100">
        <v>4.9000000000000004</v>
      </c>
      <c r="AD11" s="100">
        <v>6.1</v>
      </c>
      <c r="AE11" s="100">
        <v>7.6</v>
      </c>
      <c r="AF11" s="100">
        <v>6.7</v>
      </c>
      <c r="AG11" s="99">
        <v>413.58333333333331</v>
      </c>
      <c r="AH11" s="99">
        <v>394.5</v>
      </c>
      <c r="AI11" s="104">
        <v>440.5</v>
      </c>
      <c r="AJ11" s="104">
        <v>551.5</v>
      </c>
      <c r="AK11" s="105">
        <v>690.25</v>
      </c>
      <c r="AL11" s="106">
        <v>25985</v>
      </c>
      <c r="AM11" s="106">
        <v>70</v>
      </c>
      <c r="AN11" s="106">
        <v>45</v>
      </c>
      <c r="AO11" s="106">
        <v>135</v>
      </c>
      <c r="AP11" s="106">
        <v>0</v>
      </c>
      <c r="AQ11" s="106">
        <v>776</v>
      </c>
      <c r="AR11" s="106">
        <v>25245</v>
      </c>
      <c r="AS11" s="106">
        <v>61</v>
      </c>
      <c r="AT11" s="106">
        <v>21</v>
      </c>
      <c r="AU11" s="106">
        <v>155</v>
      </c>
      <c r="AV11" s="106">
        <v>183</v>
      </c>
      <c r="AW11" s="106">
        <v>860</v>
      </c>
      <c r="AX11" s="107">
        <v>30964</v>
      </c>
      <c r="AY11" s="107">
        <v>31315</v>
      </c>
      <c r="AZ11" s="107">
        <v>32982</v>
      </c>
      <c r="BA11" s="107">
        <v>36576</v>
      </c>
      <c r="BB11" s="107">
        <v>36849</v>
      </c>
      <c r="BC11" s="107">
        <v>45625</v>
      </c>
      <c r="BD11" s="107">
        <v>47121</v>
      </c>
      <c r="BE11" s="107">
        <v>46497</v>
      </c>
      <c r="BF11" s="108">
        <v>48652</v>
      </c>
      <c r="BG11" s="108">
        <v>44952</v>
      </c>
      <c r="BH11" s="100">
        <v>6.7</v>
      </c>
      <c r="BI11" s="100">
        <v>7.3</v>
      </c>
      <c r="BJ11" s="100">
        <v>8.6999999999999993</v>
      </c>
      <c r="BK11" s="100">
        <v>9.4</v>
      </c>
      <c r="BL11" s="100">
        <v>11.4</v>
      </c>
      <c r="BM11" s="100">
        <v>8.6999999999999993</v>
      </c>
      <c r="BN11" s="109">
        <v>8.9</v>
      </c>
      <c r="BO11" s="109">
        <v>11.2</v>
      </c>
      <c r="BP11" s="109">
        <v>10.4</v>
      </c>
      <c r="BQ11" s="100">
        <v>13</v>
      </c>
      <c r="BR11" s="106">
        <v>3486</v>
      </c>
      <c r="BS11" s="118">
        <v>3420</v>
      </c>
      <c r="BT11" s="118">
        <v>3567</v>
      </c>
      <c r="BU11" s="110">
        <v>3540</v>
      </c>
      <c r="BV11" s="100">
        <v>27.94033275960987</v>
      </c>
      <c r="BW11" s="100">
        <v>30.380116959064331</v>
      </c>
      <c r="BX11" s="100">
        <v>33.024950939164569</v>
      </c>
      <c r="BY11" s="103">
        <v>35.084745762711862</v>
      </c>
      <c r="BZ11" s="100">
        <v>4.7045324153757884</v>
      </c>
      <c r="CA11" s="100">
        <v>3.0116959064327489</v>
      </c>
      <c r="CB11" s="100">
        <v>2.1306419960751333</v>
      </c>
      <c r="CC11" s="103">
        <v>2.3163841807909606</v>
      </c>
      <c r="CD11" s="100">
        <v>13.396442914515202</v>
      </c>
      <c r="CE11" s="100">
        <v>13.654970760233917</v>
      </c>
      <c r="CF11" s="100">
        <v>15.783571628819736</v>
      </c>
      <c r="CG11" s="103">
        <v>16.299435028248588</v>
      </c>
      <c r="CH11" s="100">
        <v>82.27146814404432</v>
      </c>
      <c r="CI11" s="105">
        <v>86.19</v>
      </c>
      <c r="CJ11" s="111">
        <v>81.77</v>
      </c>
      <c r="CK11" s="111">
        <v>79.256965944272451</v>
      </c>
      <c r="CL11" s="112">
        <v>1670</v>
      </c>
      <c r="CM11" s="112">
        <v>1446</v>
      </c>
      <c r="CN11" s="112">
        <v>1401</v>
      </c>
      <c r="CO11" s="112">
        <v>1487</v>
      </c>
      <c r="CP11" s="112"/>
      <c r="CQ11" s="113">
        <v>12.313091691981008</v>
      </c>
      <c r="CR11" s="113">
        <v>10.684597480326596</v>
      </c>
      <c r="CS11" s="113">
        <v>10.512651199087554</v>
      </c>
      <c r="CT11" s="113">
        <v>11.462091080072765</v>
      </c>
      <c r="CU11" s="112"/>
      <c r="CV11" s="114">
        <v>4.1511771995043372</v>
      </c>
      <c r="CW11" s="114">
        <v>3.4751773049645389</v>
      </c>
      <c r="CX11" s="114">
        <v>4.1267501842299188</v>
      </c>
      <c r="CY11" s="114">
        <v>3.6211699164345403</v>
      </c>
      <c r="CZ11" s="112"/>
      <c r="DA11" s="113">
        <v>6.5530799475753607</v>
      </c>
      <c r="DB11" s="113">
        <v>6.4492753623188408</v>
      </c>
      <c r="DC11" s="113">
        <v>8.7903831705484592</v>
      </c>
      <c r="DD11" s="113">
        <v>9.3140794223826706</v>
      </c>
      <c r="DE11" s="112"/>
      <c r="DF11" s="113">
        <v>84.79349186483104</v>
      </c>
      <c r="DG11" s="113">
        <v>85.82848837209302</v>
      </c>
      <c r="DH11" s="113">
        <v>87.733142037302727</v>
      </c>
      <c r="DI11" s="113">
        <v>89.109589041095887</v>
      </c>
      <c r="DJ11" s="112"/>
      <c r="DK11" s="114">
        <v>14.025500910746812</v>
      </c>
      <c r="DL11" s="114">
        <v>11.913104414856342</v>
      </c>
      <c r="DM11" s="114">
        <v>14.8493543758967</v>
      </c>
      <c r="DN11" s="114">
        <v>13.342318059299192</v>
      </c>
      <c r="DO11" s="112"/>
      <c r="DP11" s="113">
        <v>19.700598802395209</v>
      </c>
      <c r="DQ11" s="113">
        <v>22.214532871972317</v>
      </c>
      <c r="DR11" s="113">
        <v>25.910064239828692</v>
      </c>
      <c r="DS11" s="113">
        <v>32.952252858103563</v>
      </c>
      <c r="DT11" s="112"/>
      <c r="DU11" s="115">
        <v>13</v>
      </c>
      <c r="DV11" s="115">
        <v>7</v>
      </c>
      <c r="DW11" s="115">
        <v>6</v>
      </c>
      <c r="DX11" s="115">
        <v>6</v>
      </c>
      <c r="DY11" s="112"/>
      <c r="DZ11" s="116">
        <v>4.71</v>
      </c>
      <c r="EA11" s="116">
        <v>3.867403314917127</v>
      </c>
      <c r="EB11" s="116">
        <v>4.5599999999999996</v>
      </c>
      <c r="EC11" s="116">
        <v>4.643962848297214</v>
      </c>
      <c r="ED11" s="112"/>
      <c r="EE11" s="113">
        <v>93.75</v>
      </c>
      <c r="EF11" s="113">
        <v>0.390625</v>
      </c>
      <c r="EG11" s="113">
        <v>0</v>
      </c>
      <c r="EH11" s="113">
        <v>0.78125</v>
      </c>
      <c r="EI11" s="113">
        <v>8.984375</v>
      </c>
      <c r="EJ11" s="113">
        <v>21.217907914279653</v>
      </c>
      <c r="EK11" s="113"/>
      <c r="EL11" s="115">
        <v>1333</v>
      </c>
      <c r="EM11" s="115">
        <v>1398</v>
      </c>
      <c r="EN11" s="115">
        <v>1362</v>
      </c>
      <c r="EO11" s="115">
        <v>1414</v>
      </c>
      <c r="EP11" s="112"/>
      <c r="EQ11" s="114">
        <v>982.83540271920253</v>
      </c>
      <c r="ER11" s="114">
        <v>1032.9922045295009</v>
      </c>
      <c r="ES11" s="114">
        <v>1022.0007803823873</v>
      </c>
      <c r="ET11" s="114">
        <v>1089.9392593962939</v>
      </c>
      <c r="EU11" s="112"/>
      <c r="EV11" s="113">
        <v>714.76059965000002</v>
      </c>
      <c r="EW11" s="113">
        <v>721.09745167999995</v>
      </c>
      <c r="EX11" s="113">
        <v>670.18804266999996</v>
      </c>
      <c r="EY11" s="113">
        <v>659.26980318000005</v>
      </c>
      <c r="EZ11" s="112"/>
      <c r="FA11" s="115">
        <v>461</v>
      </c>
      <c r="FB11" s="115">
        <v>433</v>
      </c>
      <c r="FC11" s="115">
        <v>336</v>
      </c>
      <c r="FD11" s="115">
        <v>321</v>
      </c>
      <c r="FE11" s="112"/>
      <c r="FF11" s="115">
        <v>309</v>
      </c>
      <c r="FG11" s="115">
        <v>339</v>
      </c>
      <c r="FH11" s="115">
        <v>348</v>
      </c>
      <c r="FI11" s="115">
        <v>332</v>
      </c>
      <c r="FJ11" s="112"/>
      <c r="FK11" s="115">
        <v>119</v>
      </c>
      <c r="FL11" s="115">
        <v>102</v>
      </c>
      <c r="FM11" s="115">
        <v>88</v>
      </c>
      <c r="FN11" s="115">
        <v>94</v>
      </c>
      <c r="FO11" s="112"/>
      <c r="FP11" s="115">
        <v>48</v>
      </c>
      <c r="FQ11" s="115">
        <v>37</v>
      </c>
      <c r="FR11" s="115">
        <v>53</v>
      </c>
      <c r="FS11" s="115">
        <v>59</v>
      </c>
      <c r="FT11" s="112"/>
      <c r="FU11" s="113">
        <v>239.94827205000001</v>
      </c>
      <c r="FV11" s="113">
        <v>212.79549621999999</v>
      </c>
      <c r="FW11" s="113">
        <v>151.88381233999999</v>
      </c>
      <c r="FX11" s="113">
        <v>142.71961390999999</v>
      </c>
      <c r="FY11" s="112"/>
      <c r="FZ11" s="113">
        <v>172.47553945000001</v>
      </c>
      <c r="GA11" s="113">
        <v>185.72064</v>
      </c>
      <c r="GB11" s="113">
        <v>184.282391869999</v>
      </c>
      <c r="GC11" s="113">
        <v>168.83184534</v>
      </c>
      <c r="GD11" s="112"/>
      <c r="GE11" s="113">
        <v>59.264244239999996</v>
      </c>
      <c r="GF11" s="113">
        <v>48.812820440000003</v>
      </c>
      <c r="GG11" s="113">
        <v>39.470220949999998</v>
      </c>
      <c r="GH11" s="113">
        <v>37.741477410000002</v>
      </c>
      <c r="GI11" s="112"/>
      <c r="GJ11" s="113">
        <v>30.896640099999999</v>
      </c>
      <c r="GK11" s="113">
        <v>22.10596627</v>
      </c>
      <c r="GL11" s="113">
        <v>28.68391475</v>
      </c>
      <c r="GM11" s="113">
        <v>36.258913649999997</v>
      </c>
      <c r="GN11" s="112"/>
      <c r="GO11" s="113">
        <v>923.47069943999998</v>
      </c>
      <c r="GP11" s="113">
        <v>890.48504646000004</v>
      </c>
      <c r="GQ11" s="113">
        <v>799.97639494999999</v>
      </c>
      <c r="GR11" s="113">
        <v>812.28643354999997</v>
      </c>
      <c r="GS11" s="112"/>
      <c r="GT11" s="113">
        <v>577.81499690999999</v>
      </c>
      <c r="GU11" s="113">
        <v>594.35882923999998</v>
      </c>
      <c r="GV11" s="113">
        <v>571.03564838</v>
      </c>
      <c r="GW11" s="113">
        <v>528.76922685</v>
      </c>
      <c r="GX11" s="112"/>
      <c r="GY11" s="112"/>
      <c r="GZ11" s="112"/>
      <c r="HA11" s="112"/>
      <c r="HB11" s="112"/>
      <c r="HC11" s="112"/>
      <c r="HD11" s="115">
        <v>255</v>
      </c>
      <c r="HE11" s="115">
        <v>1</v>
      </c>
      <c r="HF11" s="115">
        <v>0</v>
      </c>
      <c r="HG11" s="115">
        <v>0</v>
      </c>
      <c r="HH11" s="115">
        <v>3</v>
      </c>
      <c r="HI11" s="114">
        <v>31.141868512110726</v>
      </c>
      <c r="HJ11" s="114">
        <v>22.615356556629582</v>
      </c>
      <c r="HK11" s="113">
        <v>19.9163179916318</v>
      </c>
      <c r="HL11" s="112">
        <v>67</v>
      </c>
      <c r="HM11" s="112">
        <v>49</v>
      </c>
      <c r="HN11" s="112">
        <v>56</v>
      </c>
      <c r="HO11" s="112">
        <v>52</v>
      </c>
      <c r="HP11" s="112"/>
      <c r="HQ11" s="112">
        <v>100</v>
      </c>
      <c r="HR11" s="112">
        <v>89</v>
      </c>
      <c r="HS11" s="112">
        <v>117</v>
      </c>
      <c r="HT11" s="112">
        <v>129</v>
      </c>
      <c r="HU11" s="117"/>
      <c r="HV11" s="119"/>
      <c r="HW11" s="119"/>
      <c r="HX11" s="119"/>
      <c r="HY11" s="119"/>
      <c r="HZ11" s="119"/>
      <c r="IA11" s="119"/>
      <c r="IB11" s="119"/>
      <c r="IC11" s="119"/>
      <c r="ID11" s="119"/>
      <c r="IE11" s="119"/>
      <c r="IF11" s="119"/>
      <c r="IG11" s="119"/>
      <c r="IH11" s="119"/>
      <c r="II11" s="119"/>
      <c r="IJ11" s="119"/>
      <c r="IK11" s="119"/>
      <c r="IL11" s="119"/>
      <c r="IM11" s="119"/>
      <c r="IN11" s="119"/>
      <c r="IO11" s="119"/>
      <c r="IP11" s="119"/>
      <c r="IQ11" s="119"/>
      <c r="IR11" s="119"/>
    </row>
    <row r="12" spans="1:252" x14ac:dyDescent="0.2">
      <c r="A12" s="93">
        <v>9</v>
      </c>
      <c r="B12" s="98" t="s">
        <v>77</v>
      </c>
      <c r="C12" s="99">
        <v>34116</v>
      </c>
      <c r="D12" s="99">
        <v>33893</v>
      </c>
      <c r="E12" s="99">
        <v>33933</v>
      </c>
      <c r="F12" s="99">
        <v>34327</v>
      </c>
      <c r="G12" s="99">
        <v>35386</v>
      </c>
      <c r="H12" s="99">
        <v>13377</v>
      </c>
      <c r="I12" s="99">
        <v>13435</v>
      </c>
      <c r="J12" s="99">
        <v>13503</v>
      </c>
      <c r="K12" s="99">
        <v>13610</v>
      </c>
      <c r="L12" s="99">
        <v>13538</v>
      </c>
      <c r="M12" s="100">
        <v>21.438462870001732</v>
      </c>
      <c r="N12" s="100">
        <v>21.921171467403219</v>
      </c>
      <c r="O12" s="101">
        <v>22.406950079379079</v>
      </c>
      <c r="P12" s="101">
        <v>23.462862764387605</v>
      </c>
      <c r="Q12" s="102">
        <v>22.95768566493955</v>
      </c>
      <c r="R12" s="100">
        <v>26.198719058334774</v>
      </c>
      <c r="S12" s="100">
        <v>26.673681441536235</v>
      </c>
      <c r="T12" s="100">
        <v>27.235844064208852</v>
      </c>
      <c r="U12" s="100">
        <v>30.036220542860974</v>
      </c>
      <c r="V12" s="100">
        <v>29.831606217616581</v>
      </c>
      <c r="W12" s="100">
        <v>47.63718192833651</v>
      </c>
      <c r="X12" s="100">
        <v>48.594852908939451</v>
      </c>
      <c r="Y12" s="100">
        <v>49.642794143587935</v>
      </c>
      <c r="Z12" s="100">
        <v>53.499083307248583</v>
      </c>
      <c r="AA12" s="100">
        <v>52.789291882556128</v>
      </c>
      <c r="AB12" s="100">
        <v>5.3</v>
      </c>
      <c r="AC12" s="100">
        <v>5.7</v>
      </c>
      <c r="AD12" s="100">
        <v>6.7</v>
      </c>
      <c r="AE12" s="100">
        <v>8.6999999999999993</v>
      </c>
      <c r="AF12" s="100">
        <v>8.4</v>
      </c>
      <c r="AG12" s="99">
        <v>798.5</v>
      </c>
      <c r="AH12" s="99">
        <v>821</v>
      </c>
      <c r="AI12" s="104">
        <v>893.41666666666663</v>
      </c>
      <c r="AJ12" s="104">
        <v>1089.3333333333333</v>
      </c>
      <c r="AK12" s="105">
        <v>1313.3333333333333</v>
      </c>
      <c r="AL12" s="106">
        <v>31193</v>
      </c>
      <c r="AM12" s="106">
        <v>390</v>
      </c>
      <c r="AN12" s="106">
        <v>1759</v>
      </c>
      <c r="AO12" s="106">
        <v>134</v>
      </c>
      <c r="AP12" s="106">
        <v>0</v>
      </c>
      <c r="AQ12" s="106">
        <v>344</v>
      </c>
      <c r="AR12" s="106">
        <v>31727</v>
      </c>
      <c r="AS12" s="106">
        <v>498</v>
      </c>
      <c r="AT12" s="106">
        <v>2086</v>
      </c>
      <c r="AU12" s="106">
        <v>164</v>
      </c>
      <c r="AV12" s="106">
        <v>855</v>
      </c>
      <c r="AW12" s="106">
        <v>484</v>
      </c>
      <c r="AX12" s="107">
        <v>26114</v>
      </c>
      <c r="AY12" s="107">
        <v>26541</v>
      </c>
      <c r="AZ12" s="107">
        <v>28139</v>
      </c>
      <c r="BA12" s="107">
        <v>30317</v>
      </c>
      <c r="BB12" s="107">
        <v>31201</v>
      </c>
      <c r="BC12" s="107">
        <v>45613</v>
      </c>
      <c r="BD12" s="107">
        <v>46851</v>
      </c>
      <c r="BE12" s="107">
        <v>49616</v>
      </c>
      <c r="BF12" s="108">
        <v>49278</v>
      </c>
      <c r="BG12" s="108">
        <v>51572</v>
      </c>
      <c r="BH12" s="100">
        <v>9.8000000000000007</v>
      </c>
      <c r="BI12" s="100">
        <v>10</v>
      </c>
      <c r="BJ12" s="100">
        <v>9.8000000000000007</v>
      </c>
      <c r="BK12" s="100">
        <v>10.9</v>
      </c>
      <c r="BL12" s="100">
        <v>10.5</v>
      </c>
      <c r="BM12" s="100">
        <v>11.2</v>
      </c>
      <c r="BN12" s="109">
        <v>11.8</v>
      </c>
      <c r="BO12" s="109">
        <v>13.1</v>
      </c>
      <c r="BP12" s="109">
        <v>12.3</v>
      </c>
      <c r="BQ12" s="100">
        <v>12.8</v>
      </c>
      <c r="BR12" s="106">
        <v>6232</v>
      </c>
      <c r="BS12" s="118">
        <v>6285</v>
      </c>
      <c r="BT12" s="118">
        <v>6250</v>
      </c>
      <c r="BU12" s="110">
        <v>6256</v>
      </c>
      <c r="BV12" s="100">
        <v>29.990372272143773</v>
      </c>
      <c r="BW12" s="100">
        <v>30.501193317422437</v>
      </c>
      <c r="BX12" s="100">
        <v>32.479999999999997</v>
      </c>
      <c r="BY12" s="103">
        <v>34.367007672634273</v>
      </c>
      <c r="BZ12" s="100">
        <v>1.6046213093709884E-2</v>
      </c>
      <c r="CA12" s="100">
        <v>0.14319809069212411</v>
      </c>
      <c r="CB12" s="100">
        <v>0.08</v>
      </c>
      <c r="CC12" s="103">
        <v>1.5984654731457801E-2</v>
      </c>
      <c r="CD12" s="100">
        <v>14.890885750962774</v>
      </c>
      <c r="CE12" s="100">
        <v>15.274463007159905</v>
      </c>
      <c r="CF12" s="100">
        <v>14.976000000000001</v>
      </c>
      <c r="CG12" s="103">
        <v>15.297314578005116</v>
      </c>
      <c r="CH12" s="100">
        <v>82.789855072463766</v>
      </c>
      <c r="CI12" s="105">
        <v>79.28</v>
      </c>
      <c r="CJ12" s="111">
        <v>83.71</v>
      </c>
      <c r="CK12" s="111">
        <v>80.819366852886404</v>
      </c>
      <c r="CL12" s="112">
        <v>1714</v>
      </c>
      <c r="CM12" s="112">
        <v>1779</v>
      </c>
      <c r="CN12" s="112">
        <v>1960</v>
      </c>
      <c r="CO12" s="112">
        <v>2054</v>
      </c>
      <c r="CP12" s="112"/>
      <c r="CQ12" s="113">
        <v>11.452396383875774</v>
      </c>
      <c r="CR12" s="113">
        <v>11.470389116348045</v>
      </c>
      <c r="CS12" s="113">
        <v>11.850347045877772</v>
      </c>
      <c r="CT12" s="113">
        <v>11.965861757595176</v>
      </c>
      <c r="CU12" s="112"/>
      <c r="CV12" s="114">
        <v>4.0191961607678461</v>
      </c>
      <c r="CW12" s="114">
        <v>4.1690793283149974</v>
      </c>
      <c r="CX12" s="114">
        <v>3.4736842105263159</v>
      </c>
      <c r="CY12" s="114">
        <v>4.5135406218655971</v>
      </c>
      <c r="CZ12" s="112"/>
      <c r="DA12" s="113">
        <v>6.7873303167420813</v>
      </c>
      <c r="DB12" s="113">
        <v>7.1084337349397586</v>
      </c>
      <c r="DC12" s="113">
        <v>7.5301204819277112</v>
      </c>
      <c r="DD12" s="113">
        <v>8.328479906814211</v>
      </c>
      <c r="DE12" s="112"/>
      <c r="DF12" s="113">
        <v>87.22649319929036</v>
      </c>
      <c r="DG12" s="113">
        <v>88.485536018150881</v>
      </c>
      <c r="DH12" s="113">
        <v>90.097485890200105</v>
      </c>
      <c r="DI12" s="113">
        <v>89.202575532441799</v>
      </c>
      <c r="DJ12" s="112"/>
      <c r="DK12" s="114">
        <v>24.937343358395989</v>
      </c>
      <c r="DL12" s="114">
        <v>21.832579185520363</v>
      </c>
      <c r="DM12" s="114">
        <v>20.501022494887525</v>
      </c>
      <c r="DN12" s="114">
        <v>20.650566781665844</v>
      </c>
      <c r="DO12" s="112"/>
      <c r="DP12" s="113">
        <v>28.079392877991829</v>
      </c>
      <c r="DQ12" s="113">
        <v>29.679595278246207</v>
      </c>
      <c r="DR12" s="113">
        <v>32.244897959183675</v>
      </c>
      <c r="DS12" s="113">
        <v>37.195715676728334</v>
      </c>
      <c r="DT12" s="112"/>
      <c r="DU12" s="115">
        <v>15</v>
      </c>
      <c r="DV12" s="115">
        <v>9</v>
      </c>
      <c r="DW12" s="115">
        <v>11</v>
      </c>
      <c r="DX12" s="115">
        <v>10</v>
      </c>
      <c r="DY12" s="112"/>
      <c r="DZ12" s="116">
        <v>4.71</v>
      </c>
      <c r="EA12" s="116">
        <v>7.0205479452054798</v>
      </c>
      <c r="EB12" s="116">
        <v>4.7300000000000004</v>
      </c>
      <c r="EC12" s="116">
        <v>4.8417132216014895</v>
      </c>
      <c r="ED12" s="112"/>
      <c r="EE12" s="113">
        <v>86.666666666666671</v>
      </c>
      <c r="EF12" s="113">
        <v>1.0666666666666667</v>
      </c>
      <c r="EG12" s="113">
        <v>10.4</v>
      </c>
      <c r="EH12" s="113">
        <v>1.0666666666666667</v>
      </c>
      <c r="EI12" s="113">
        <v>1.6</v>
      </c>
      <c r="EJ12" s="113">
        <v>33.440392971849612</v>
      </c>
      <c r="EK12" s="113"/>
      <c r="EL12" s="115">
        <v>1534</v>
      </c>
      <c r="EM12" s="115">
        <v>1507</v>
      </c>
      <c r="EN12" s="115">
        <v>1625</v>
      </c>
      <c r="EO12" s="115">
        <v>1768</v>
      </c>
      <c r="EP12" s="112"/>
      <c r="EQ12" s="114">
        <v>1024.9694313223708</v>
      </c>
      <c r="ER12" s="114">
        <v>971.66252941745381</v>
      </c>
      <c r="ES12" s="114">
        <v>982.49050763017249</v>
      </c>
      <c r="ET12" s="114">
        <v>1029.9729107803444</v>
      </c>
      <c r="EU12" s="112"/>
      <c r="EV12" s="113">
        <v>912.84628118000001</v>
      </c>
      <c r="EW12" s="113">
        <v>838.60087167999995</v>
      </c>
      <c r="EX12" s="113">
        <v>810.00329092000004</v>
      </c>
      <c r="EY12" s="113">
        <v>820.81839959000001</v>
      </c>
      <c r="EZ12" s="112"/>
      <c r="FA12" s="115">
        <v>483</v>
      </c>
      <c r="FB12" s="115">
        <v>429</v>
      </c>
      <c r="FC12" s="115">
        <v>391</v>
      </c>
      <c r="FD12" s="115">
        <v>402</v>
      </c>
      <c r="FE12" s="112"/>
      <c r="FF12" s="115">
        <v>345</v>
      </c>
      <c r="FG12" s="115">
        <v>315</v>
      </c>
      <c r="FH12" s="115">
        <v>389</v>
      </c>
      <c r="FI12" s="115">
        <v>432</v>
      </c>
      <c r="FJ12" s="112"/>
      <c r="FK12" s="115">
        <v>123</v>
      </c>
      <c r="FL12" s="115">
        <v>124</v>
      </c>
      <c r="FM12" s="115">
        <v>106</v>
      </c>
      <c r="FN12" s="115">
        <v>101</v>
      </c>
      <c r="FO12" s="112"/>
      <c r="FP12" s="115">
        <v>68</v>
      </c>
      <c r="FQ12" s="115">
        <v>76</v>
      </c>
      <c r="FR12" s="115">
        <v>75</v>
      </c>
      <c r="FS12" s="115">
        <v>89</v>
      </c>
      <c r="FT12" s="112"/>
      <c r="FU12" s="113">
        <v>282.62474329999998</v>
      </c>
      <c r="FV12" s="113">
        <v>235.05605957</v>
      </c>
      <c r="FW12" s="113">
        <v>190.73061423999999</v>
      </c>
      <c r="FX12" s="113">
        <v>180.59391923999999</v>
      </c>
      <c r="FY12" s="112"/>
      <c r="FZ12" s="113">
        <v>203.44643353999999</v>
      </c>
      <c r="GA12" s="113">
        <v>175.81896714999999</v>
      </c>
      <c r="GB12" s="113">
        <v>199.64553162000001</v>
      </c>
      <c r="GC12" s="113">
        <v>207.51414564999999</v>
      </c>
      <c r="GD12" s="112"/>
      <c r="GE12" s="113">
        <v>71.354930839999994</v>
      </c>
      <c r="GF12" s="113">
        <v>67.270822960000004</v>
      </c>
      <c r="GG12" s="113">
        <v>49.848020720000001</v>
      </c>
      <c r="GH12" s="113">
        <v>43.875849299999999</v>
      </c>
      <c r="GI12" s="112"/>
      <c r="GJ12" s="113">
        <v>43.730174550000001</v>
      </c>
      <c r="GK12" s="113">
        <v>46.81044842</v>
      </c>
      <c r="GL12" s="113">
        <v>40.848700960000002</v>
      </c>
      <c r="GM12" s="113">
        <v>46.639827480000001</v>
      </c>
      <c r="GN12" s="112"/>
      <c r="GO12" s="113">
        <v>1143.70263955</v>
      </c>
      <c r="GP12" s="113">
        <v>998.13059632</v>
      </c>
      <c r="GQ12" s="113">
        <v>1017.80346764</v>
      </c>
      <c r="GR12" s="113">
        <v>997.31006314000001</v>
      </c>
      <c r="GS12" s="112"/>
      <c r="GT12" s="113">
        <v>724.70479038999997</v>
      </c>
      <c r="GU12" s="113">
        <v>705.65374962999999</v>
      </c>
      <c r="GV12" s="113">
        <v>658.71744739999997</v>
      </c>
      <c r="GW12" s="113">
        <v>676.06532083000002</v>
      </c>
      <c r="GX12" s="112"/>
      <c r="GY12" s="112"/>
      <c r="GZ12" s="112"/>
      <c r="HA12" s="112"/>
      <c r="HB12" s="112"/>
      <c r="HC12" s="112"/>
      <c r="HD12" s="115">
        <v>357</v>
      </c>
      <c r="HE12" s="115">
        <v>0</v>
      </c>
      <c r="HF12" s="115">
        <v>16</v>
      </c>
      <c r="HG12" s="115">
        <v>0</v>
      </c>
      <c r="HH12" s="115">
        <v>0</v>
      </c>
      <c r="HI12" s="114">
        <v>38.182195476239883</v>
      </c>
      <c r="HJ12" s="114">
        <v>31.366294524189261</v>
      </c>
      <c r="HK12" s="113">
        <v>29.609690444145357</v>
      </c>
      <c r="HL12" s="112">
        <v>67</v>
      </c>
      <c r="HM12" s="112">
        <v>72</v>
      </c>
      <c r="HN12" s="112">
        <v>66</v>
      </c>
      <c r="HO12" s="112">
        <v>90</v>
      </c>
      <c r="HP12" s="112"/>
      <c r="HQ12" s="112">
        <v>105</v>
      </c>
      <c r="HR12" s="112">
        <v>118</v>
      </c>
      <c r="HS12" s="112">
        <v>125</v>
      </c>
      <c r="HT12" s="112">
        <v>143</v>
      </c>
      <c r="HU12" s="117"/>
    </row>
    <row r="13" spans="1:252" x14ac:dyDescent="0.2">
      <c r="A13" s="93">
        <v>10</v>
      </c>
      <c r="B13" s="98" t="s">
        <v>155</v>
      </c>
      <c r="C13" s="99">
        <v>87545</v>
      </c>
      <c r="D13" s="99">
        <v>88459</v>
      </c>
      <c r="E13" s="99">
        <v>90043</v>
      </c>
      <c r="F13" s="99">
        <v>92107</v>
      </c>
      <c r="G13" s="99">
        <v>91042</v>
      </c>
      <c r="H13" s="99">
        <v>30968</v>
      </c>
      <c r="I13" s="99">
        <v>31729</v>
      </c>
      <c r="J13" s="99">
        <v>32283</v>
      </c>
      <c r="K13" s="99">
        <v>32867</v>
      </c>
      <c r="L13" s="99">
        <v>32891</v>
      </c>
      <c r="M13" s="100">
        <v>10.829814848280735</v>
      </c>
      <c r="N13" s="100">
        <v>11.365363645375542</v>
      </c>
      <c r="O13" s="101">
        <v>11.707933217819377</v>
      </c>
      <c r="P13" s="101">
        <v>12.262665852796607</v>
      </c>
      <c r="Q13" s="102">
        <v>12.692687747035572</v>
      </c>
      <c r="R13" s="100">
        <v>32.995449243457259</v>
      </c>
      <c r="S13" s="100">
        <v>34.785051052440274</v>
      </c>
      <c r="T13" s="100">
        <v>34.103606302527808</v>
      </c>
      <c r="U13" s="100">
        <v>35.690879300928451</v>
      </c>
      <c r="V13" s="100">
        <v>37.244729907773383</v>
      </c>
      <c r="W13" s="100">
        <v>43.825264091737992</v>
      </c>
      <c r="X13" s="100">
        <v>46.150414697815819</v>
      </c>
      <c r="Y13" s="100">
        <v>45.811539520347189</v>
      </c>
      <c r="Z13" s="100">
        <v>47.953545153725059</v>
      </c>
      <c r="AA13" s="100">
        <v>49.937417654808961</v>
      </c>
      <c r="AB13" s="100">
        <v>3.3</v>
      </c>
      <c r="AC13" s="100">
        <v>4</v>
      </c>
      <c r="AD13" s="100">
        <v>4.9000000000000004</v>
      </c>
      <c r="AE13" s="100">
        <v>7.5</v>
      </c>
      <c r="AF13" s="100">
        <v>6.6</v>
      </c>
      <c r="AG13" s="99">
        <v>471.66666666666669</v>
      </c>
      <c r="AH13" s="99">
        <v>499.83333333333331</v>
      </c>
      <c r="AI13" s="104">
        <v>597.5</v>
      </c>
      <c r="AJ13" s="104">
        <v>855.33333333333337</v>
      </c>
      <c r="AK13" s="105">
        <v>1127.25</v>
      </c>
      <c r="AL13" s="106">
        <v>83440</v>
      </c>
      <c r="AM13" s="106">
        <v>1087</v>
      </c>
      <c r="AN13" s="106">
        <v>224</v>
      </c>
      <c r="AO13" s="106">
        <v>2077</v>
      </c>
      <c r="AP13" s="106">
        <v>0</v>
      </c>
      <c r="AQ13" s="106">
        <v>2936</v>
      </c>
      <c r="AR13" s="106">
        <v>84450</v>
      </c>
      <c r="AS13" s="106">
        <v>1124</v>
      </c>
      <c r="AT13" s="106">
        <v>208</v>
      </c>
      <c r="AU13" s="106">
        <v>2493</v>
      </c>
      <c r="AV13" s="106">
        <v>1436</v>
      </c>
      <c r="AW13" s="106">
        <v>3515</v>
      </c>
      <c r="AX13" s="107">
        <v>44137</v>
      </c>
      <c r="AY13" s="107">
        <v>47443</v>
      </c>
      <c r="AZ13" s="107">
        <v>49691</v>
      </c>
      <c r="BA13" s="107">
        <v>53219</v>
      </c>
      <c r="BB13" s="107">
        <v>51601</v>
      </c>
      <c r="BC13" s="107">
        <v>74493</v>
      </c>
      <c r="BD13" s="107">
        <v>77852</v>
      </c>
      <c r="BE13" s="107">
        <v>80038</v>
      </c>
      <c r="BF13" s="108">
        <v>84085</v>
      </c>
      <c r="BG13" s="108">
        <v>76554</v>
      </c>
      <c r="BH13" s="100">
        <v>3.5</v>
      </c>
      <c r="BI13" s="100">
        <v>4.3</v>
      </c>
      <c r="BJ13" s="100">
        <v>3.9</v>
      </c>
      <c r="BK13" s="100">
        <v>4.5999999999999996</v>
      </c>
      <c r="BL13" s="100">
        <v>5</v>
      </c>
      <c r="BM13" s="100">
        <v>4.2</v>
      </c>
      <c r="BN13" s="109">
        <v>4.5999999999999996</v>
      </c>
      <c r="BO13" s="109">
        <v>4.2</v>
      </c>
      <c r="BP13" s="109">
        <v>4.9000000000000004</v>
      </c>
      <c r="BQ13" s="100">
        <v>5.5</v>
      </c>
      <c r="BR13" s="106">
        <v>15113</v>
      </c>
      <c r="BS13" s="118">
        <v>15329</v>
      </c>
      <c r="BT13" s="118">
        <v>15522</v>
      </c>
      <c r="BU13" s="110">
        <v>15853</v>
      </c>
      <c r="BV13" s="100">
        <v>13.696817309601006</v>
      </c>
      <c r="BW13" s="100">
        <v>14.273599060604084</v>
      </c>
      <c r="BX13" s="100">
        <v>15.680968947300606</v>
      </c>
      <c r="BY13" s="103">
        <v>17.491957358228728</v>
      </c>
      <c r="BZ13" s="100">
        <v>4.4332693707404225</v>
      </c>
      <c r="CA13" s="100">
        <v>4.0250505577663249</v>
      </c>
      <c r="CB13" s="100">
        <v>3.6142249710088907</v>
      </c>
      <c r="CC13" s="103">
        <v>3.6586135116381757</v>
      </c>
      <c r="CD13" s="100">
        <v>12.763845695758619</v>
      </c>
      <c r="CE13" s="100">
        <v>12.818840106986757</v>
      </c>
      <c r="CF13" s="100">
        <v>12.665893570416184</v>
      </c>
      <c r="CG13" s="103">
        <v>13.000693874976346</v>
      </c>
      <c r="CH13" s="100">
        <v>75.882794891059348</v>
      </c>
      <c r="CI13" s="105">
        <v>76.62</v>
      </c>
      <c r="CJ13" s="111">
        <v>80.349999999999994</v>
      </c>
      <c r="CK13" s="111">
        <v>78.677042801556425</v>
      </c>
      <c r="CL13" s="112">
        <v>4719</v>
      </c>
      <c r="CM13" s="112">
        <v>5355</v>
      </c>
      <c r="CN13" s="112">
        <v>6020</v>
      </c>
      <c r="CO13" s="112">
        <v>6129</v>
      </c>
      <c r="CP13" s="112"/>
      <c r="CQ13" s="113">
        <v>17.346841250119468</v>
      </c>
      <c r="CR13" s="113">
        <v>16.400471647550649</v>
      </c>
      <c r="CS13" s="113">
        <v>15.250892379873889</v>
      </c>
      <c r="CT13" s="113">
        <v>13.644377955280101</v>
      </c>
      <c r="CU13" s="112"/>
      <c r="CV13" s="114">
        <v>3.5237469905887502</v>
      </c>
      <c r="CW13" s="114">
        <v>3.3898305084745761</v>
      </c>
      <c r="CX13" s="114">
        <v>3.5714285714285716</v>
      </c>
      <c r="CY13" s="114">
        <v>3.5294117647058822</v>
      </c>
      <c r="CZ13" s="112"/>
      <c r="DA13" s="113">
        <v>6.7257060794638583</v>
      </c>
      <c r="DB13" s="113">
        <v>7.3227024758707513</v>
      </c>
      <c r="DC13" s="113">
        <v>7.3342200266007982</v>
      </c>
      <c r="DD13" s="113">
        <v>6.6855524079320112</v>
      </c>
      <c r="DE13" s="112"/>
      <c r="DF13" s="113">
        <v>90.029128388976019</v>
      </c>
      <c r="DG13" s="113">
        <v>91.562009419152275</v>
      </c>
      <c r="DH13" s="113">
        <v>92.425021422450726</v>
      </c>
      <c r="DI13" s="113">
        <v>92.630705394190869</v>
      </c>
      <c r="DJ13" s="112"/>
      <c r="DK13" s="114">
        <v>8.9241223103057763</v>
      </c>
      <c r="DL13" s="114">
        <v>5.1190225405519278</v>
      </c>
      <c r="DM13" s="114">
        <v>4.6320573326341545</v>
      </c>
      <c r="DN13" s="114">
        <v>3.9582643259357404</v>
      </c>
      <c r="DO13" s="112"/>
      <c r="DP13" s="113">
        <v>10.451558193767225</v>
      </c>
      <c r="DQ13" s="113">
        <v>11.72735760971055</v>
      </c>
      <c r="DR13" s="113">
        <v>12.64539714190761</v>
      </c>
      <c r="DS13" s="113">
        <v>15.092184695708925</v>
      </c>
      <c r="DT13" s="112"/>
      <c r="DU13" s="115">
        <v>29</v>
      </c>
      <c r="DV13" s="115">
        <v>27</v>
      </c>
      <c r="DW13" s="115">
        <v>9</v>
      </c>
      <c r="DX13" s="115">
        <v>23</v>
      </c>
      <c r="DY13" s="112"/>
      <c r="DZ13" s="116">
        <v>3.23</v>
      </c>
      <c r="EA13" s="116">
        <v>3.1538461538461537</v>
      </c>
      <c r="EB13" s="116">
        <v>2.73</v>
      </c>
      <c r="EC13" s="116">
        <v>4.1245136186770424</v>
      </c>
      <c r="ED13" s="112"/>
      <c r="EE13" s="113">
        <v>89.095519864750628</v>
      </c>
      <c r="EF13" s="113">
        <v>1.4370245139475908</v>
      </c>
      <c r="EG13" s="113">
        <v>0.25359256128486896</v>
      </c>
      <c r="EH13" s="113">
        <v>4.6491969568892646</v>
      </c>
      <c r="EI13" s="113">
        <v>6.2552831783601013</v>
      </c>
      <c r="EJ13" s="113">
        <v>10.437471812383222</v>
      </c>
      <c r="EK13" s="113"/>
      <c r="EL13" s="115">
        <v>1345</v>
      </c>
      <c r="EM13" s="115">
        <v>1550</v>
      </c>
      <c r="EN13" s="115">
        <v>1566</v>
      </c>
      <c r="EO13" s="115">
        <v>1996</v>
      </c>
      <c r="EP13" s="112"/>
      <c r="EQ13" s="114">
        <v>494.4162212632059</v>
      </c>
      <c r="ER13" s="114">
        <v>474.71019708129796</v>
      </c>
      <c r="ES13" s="114">
        <v>396.72587154289886</v>
      </c>
      <c r="ET13" s="114">
        <v>444.34945992395302</v>
      </c>
      <c r="EU13" s="112"/>
      <c r="EV13" s="113">
        <v>680.87494289999995</v>
      </c>
      <c r="EW13" s="113">
        <v>668.29745620000006</v>
      </c>
      <c r="EX13" s="113">
        <v>588.97022357000003</v>
      </c>
      <c r="EY13" s="113">
        <v>611.83694441</v>
      </c>
      <c r="EZ13" s="112"/>
      <c r="FA13" s="115">
        <v>402</v>
      </c>
      <c r="FB13" s="115">
        <v>381</v>
      </c>
      <c r="FC13" s="115">
        <v>322</v>
      </c>
      <c r="FD13" s="115">
        <v>397</v>
      </c>
      <c r="FE13" s="112"/>
      <c r="FF13" s="115">
        <v>364</v>
      </c>
      <c r="FG13" s="115">
        <v>390</v>
      </c>
      <c r="FH13" s="115">
        <v>389</v>
      </c>
      <c r="FI13" s="115">
        <v>503</v>
      </c>
      <c r="FJ13" s="112"/>
      <c r="FK13" s="115">
        <v>86</v>
      </c>
      <c r="FL13" s="115">
        <v>100</v>
      </c>
      <c r="FM13" s="115">
        <v>106</v>
      </c>
      <c r="FN13" s="115">
        <v>96</v>
      </c>
      <c r="FO13" s="112"/>
      <c r="FP13" s="115">
        <v>78</v>
      </c>
      <c r="FQ13" s="115">
        <v>93</v>
      </c>
      <c r="FR13" s="115">
        <v>99</v>
      </c>
      <c r="FS13" s="115">
        <v>136</v>
      </c>
      <c r="FT13" s="112"/>
      <c r="FU13" s="113">
        <v>210.07931545</v>
      </c>
      <c r="FV13" s="113">
        <v>168.34081204</v>
      </c>
      <c r="FW13" s="113">
        <v>122.98615751</v>
      </c>
      <c r="FX13" s="113">
        <v>124.40058307</v>
      </c>
      <c r="FY13" s="112"/>
      <c r="FZ13" s="113">
        <v>186.77134100000001</v>
      </c>
      <c r="GA13" s="113">
        <v>170.45758079999999</v>
      </c>
      <c r="GB13" s="113">
        <v>149.38006962</v>
      </c>
      <c r="GC13" s="113">
        <v>152.99044671999999</v>
      </c>
      <c r="GD13" s="112"/>
      <c r="GE13" s="113">
        <v>45.638679830000001</v>
      </c>
      <c r="GF13" s="113">
        <v>44.330781600000002</v>
      </c>
      <c r="GG13" s="113">
        <v>40.996192299999898</v>
      </c>
      <c r="GH13" s="113">
        <v>30.909142209999999</v>
      </c>
      <c r="GI13" s="112"/>
      <c r="GJ13" s="113">
        <v>30.715435960000001</v>
      </c>
      <c r="GK13" s="113">
        <v>31.313325769999999</v>
      </c>
      <c r="GL13" s="113">
        <v>30.32162963</v>
      </c>
      <c r="GM13" s="113">
        <v>37.514495859999997</v>
      </c>
      <c r="GN13" s="112"/>
      <c r="GO13" s="113">
        <v>864.75034215000005</v>
      </c>
      <c r="GP13" s="113">
        <v>855.62993702000006</v>
      </c>
      <c r="GQ13" s="113">
        <v>717.09340486999997</v>
      </c>
      <c r="GR13" s="113">
        <v>721.66337404000001</v>
      </c>
      <c r="GS13" s="112"/>
      <c r="GT13" s="113">
        <v>557.20716071000004</v>
      </c>
      <c r="GU13" s="113">
        <v>530.79609098000003</v>
      </c>
      <c r="GV13" s="113">
        <v>489.98671925000002</v>
      </c>
      <c r="GW13" s="113">
        <v>532.69206727000005</v>
      </c>
      <c r="GX13" s="112"/>
      <c r="GY13" s="112"/>
      <c r="GZ13" s="112"/>
      <c r="HA13" s="112"/>
      <c r="HB13" s="112"/>
      <c r="HC13" s="112"/>
      <c r="HD13" s="115">
        <v>400</v>
      </c>
      <c r="HE13" s="115">
        <v>4</v>
      </c>
      <c r="HF13" s="115">
        <v>0</v>
      </c>
      <c r="HG13" s="115">
        <v>0</v>
      </c>
      <c r="HH13" s="115">
        <v>1</v>
      </c>
      <c r="HI13" s="114">
        <v>22.392527840977127</v>
      </c>
      <c r="HJ13" s="114">
        <v>19.137490078490167</v>
      </c>
      <c r="HK13" s="113">
        <v>13.849431818181818</v>
      </c>
      <c r="HL13" s="112">
        <v>161</v>
      </c>
      <c r="HM13" s="112">
        <v>174</v>
      </c>
      <c r="HN13" s="112">
        <v>204</v>
      </c>
      <c r="HO13" s="112">
        <v>207</v>
      </c>
      <c r="HP13" s="112"/>
      <c r="HQ13" s="112">
        <v>281</v>
      </c>
      <c r="HR13" s="112">
        <v>349</v>
      </c>
      <c r="HS13" s="112">
        <v>386</v>
      </c>
      <c r="HT13" s="112">
        <v>354</v>
      </c>
      <c r="HU13" s="117"/>
    </row>
    <row r="14" spans="1:252" x14ac:dyDescent="0.2">
      <c r="A14" s="93">
        <v>11</v>
      </c>
      <c r="B14" s="98" t="s">
        <v>78</v>
      </c>
      <c r="C14" s="99">
        <v>29036</v>
      </c>
      <c r="D14" s="99">
        <v>28723</v>
      </c>
      <c r="E14" s="99">
        <v>28732</v>
      </c>
      <c r="F14" s="99">
        <v>28534</v>
      </c>
      <c r="G14" s="99">
        <v>28567</v>
      </c>
      <c r="H14" s="99">
        <v>11985</v>
      </c>
      <c r="I14" s="99">
        <v>11990</v>
      </c>
      <c r="J14" s="99">
        <v>12112</v>
      </c>
      <c r="K14" s="99">
        <v>12078</v>
      </c>
      <c r="L14" s="99">
        <v>11948</v>
      </c>
      <c r="M14" s="100">
        <v>28.322219258468923</v>
      </c>
      <c r="N14" s="100">
        <v>29.5116888791785</v>
      </c>
      <c r="O14" s="101">
        <v>30.557239706773963</v>
      </c>
      <c r="P14" s="101">
        <v>32.079085225032387</v>
      </c>
      <c r="Q14" s="102">
        <v>34.597727533570527</v>
      </c>
      <c r="R14" s="100">
        <v>26.577754067751403</v>
      </c>
      <c r="S14" s="100">
        <v>27.376010487218704</v>
      </c>
      <c r="T14" s="100">
        <v>27.80686766245935</v>
      </c>
      <c r="U14" s="100">
        <v>28.648679096490735</v>
      </c>
      <c r="V14" s="100">
        <v>29.335475725926777</v>
      </c>
      <c r="W14" s="100">
        <v>54.899973326220334</v>
      </c>
      <c r="X14" s="100">
        <v>56.887699366397207</v>
      </c>
      <c r="Y14" s="100">
        <v>58.364107369233309</v>
      </c>
      <c r="Z14" s="100">
        <v>60.727764321523125</v>
      </c>
      <c r="AA14" s="100">
        <v>63.933203259497304</v>
      </c>
      <c r="AB14" s="100">
        <v>6.4</v>
      </c>
      <c r="AC14" s="100">
        <v>7.1</v>
      </c>
      <c r="AD14" s="100">
        <v>8.6</v>
      </c>
      <c r="AE14" s="100">
        <v>10.8</v>
      </c>
      <c r="AF14" s="100">
        <v>10.7</v>
      </c>
      <c r="AG14" s="99">
        <v>1055.6666666666667</v>
      </c>
      <c r="AH14" s="99">
        <v>1143.25</v>
      </c>
      <c r="AI14" s="104">
        <v>1299.5833333333333</v>
      </c>
      <c r="AJ14" s="104">
        <v>1424.4166666666667</v>
      </c>
      <c r="AK14" s="105">
        <v>1631</v>
      </c>
      <c r="AL14" s="106">
        <v>25246</v>
      </c>
      <c r="AM14" s="106">
        <v>88</v>
      </c>
      <c r="AN14" s="106">
        <v>3136</v>
      </c>
      <c r="AO14" s="106">
        <v>95</v>
      </c>
      <c r="AP14" s="106">
        <v>0</v>
      </c>
      <c r="AQ14" s="106">
        <v>318</v>
      </c>
      <c r="AR14" s="106">
        <v>24534</v>
      </c>
      <c r="AS14" s="106">
        <v>61</v>
      </c>
      <c r="AT14" s="106">
        <v>3196</v>
      </c>
      <c r="AU14" s="106">
        <v>91</v>
      </c>
      <c r="AV14" s="106">
        <v>627</v>
      </c>
      <c r="AW14" s="106">
        <v>340</v>
      </c>
      <c r="AX14" s="107">
        <v>29178</v>
      </c>
      <c r="AY14" s="107">
        <v>29507</v>
      </c>
      <c r="AZ14" s="107">
        <v>30456</v>
      </c>
      <c r="BA14" s="107">
        <v>33664</v>
      </c>
      <c r="BB14" s="107">
        <v>34643</v>
      </c>
      <c r="BC14" s="107">
        <v>40320</v>
      </c>
      <c r="BD14" s="107">
        <v>40243</v>
      </c>
      <c r="BE14" s="107">
        <v>38707</v>
      </c>
      <c r="BF14" s="108">
        <v>41740</v>
      </c>
      <c r="BG14" s="108">
        <v>41288</v>
      </c>
      <c r="BH14" s="100">
        <v>14.5</v>
      </c>
      <c r="BI14" s="100">
        <v>12.8</v>
      </c>
      <c r="BJ14" s="100">
        <v>13.4</v>
      </c>
      <c r="BK14" s="100">
        <v>14.5</v>
      </c>
      <c r="BL14" s="100">
        <v>14</v>
      </c>
      <c r="BM14" s="100">
        <v>23.2</v>
      </c>
      <c r="BN14" s="109">
        <v>22.1</v>
      </c>
      <c r="BO14" s="109">
        <v>22.2</v>
      </c>
      <c r="BP14" s="109">
        <v>22.9</v>
      </c>
      <c r="BQ14" s="100">
        <v>24</v>
      </c>
      <c r="BR14" s="106">
        <v>4343</v>
      </c>
      <c r="BS14" s="118">
        <v>4132</v>
      </c>
      <c r="BT14" s="118">
        <v>4122</v>
      </c>
      <c r="BU14" s="110">
        <v>4170</v>
      </c>
      <c r="BV14" s="100">
        <v>58.692148284595902</v>
      </c>
      <c r="BW14" s="100">
        <v>60.333978702807357</v>
      </c>
      <c r="BX14" s="100">
        <v>63.051916545366325</v>
      </c>
      <c r="BY14" s="103">
        <v>62.733812949640289</v>
      </c>
      <c r="BZ14" s="100">
        <v>0.13815335021874281</v>
      </c>
      <c r="CA14" s="100">
        <v>0.16940948693126814</v>
      </c>
      <c r="CB14" s="100">
        <v>0.1698204754973314</v>
      </c>
      <c r="CC14" s="103">
        <v>0.14388489208633093</v>
      </c>
      <c r="CD14" s="100">
        <v>20.976283674879113</v>
      </c>
      <c r="CE14" s="100">
        <v>21.781219748305904</v>
      </c>
      <c r="CF14" s="100">
        <v>22.076661814653082</v>
      </c>
      <c r="CG14" s="103">
        <v>22.086330935251798</v>
      </c>
      <c r="CH14" s="100">
        <v>69.882352941176464</v>
      </c>
      <c r="CI14" s="105">
        <v>64.44</v>
      </c>
      <c r="CJ14" s="111">
        <v>63.35</v>
      </c>
      <c r="CK14" s="111">
        <v>62.849872773536894</v>
      </c>
      <c r="CL14" s="112">
        <v>1412</v>
      </c>
      <c r="CM14" s="112">
        <v>1436</v>
      </c>
      <c r="CN14" s="112">
        <v>1718</v>
      </c>
      <c r="CO14" s="112">
        <v>1738</v>
      </c>
      <c r="CP14" s="112"/>
      <c r="CQ14" s="113">
        <v>12.043568376250629</v>
      </c>
      <c r="CR14" s="113">
        <v>10.900920049798074</v>
      </c>
      <c r="CS14" s="113">
        <v>12.18197804691267</v>
      </c>
      <c r="CT14" s="113">
        <v>12.103738369825617</v>
      </c>
      <c r="CU14" s="112"/>
      <c r="CV14" s="114">
        <v>4.7930283224400876</v>
      </c>
      <c r="CW14" s="114">
        <v>4.3821839080459766</v>
      </c>
      <c r="CX14" s="114">
        <v>5.1112447384245341</v>
      </c>
      <c r="CY14" s="114">
        <v>5.5489260143198091</v>
      </c>
      <c r="CZ14" s="112"/>
      <c r="DA14" s="113">
        <v>8.0707148347425051</v>
      </c>
      <c r="DB14" s="113">
        <v>8.0604534005037785</v>
      </c>
      <c r="DC14" s="113">
        <v>8.5207907293796872</v>
      </c>
      <c r="DD14" s="113">
        <v>11.036339165545087</v>
      </c>
      <c r="DE14" s="112"/>
      <c r="DF14" s="113">
        <v>69.812680115273778</v>
      </c>
      <c r="DG14" s="113">
        <v>76.757532281205158</v>
      </c>
      <c r="DH14" s="113">
        <v>76.705882352941174</v>
      </c>
      <c r="DI14" s="113">
        <v>71.112405358182883</v>
      </c>
      <c r="DJ14" s="112"/>
      <c r="DK14" s="114">
        <v>31.71449595290655</v>
      </c>
      <c r="DL14" s="114">
        <v>31.029517638588914</v>
      </c>
      <c r="DM14" s="114">
        <v>30.593071051086319</v>
      </c>
      <c r="DN14" s="114">
        <v>33.855072463768117</v>
      </c>
      <c r="DO14" s="112"/>
      <c r="DP14" s="113">
        <v>38.81019830028329</v>
      </c>
      <c r="DQ14" s="113">
        <v>47.144846796657383</v>
      </c>
      <c r="DR14" s="113">
        <v>48.631333721607454</v>
      </c>
      <c r="DS14" s="113">
        <v>54.058721934369601</v>
      </c>
      <c r="DT14" s="112"/>
      <c r="DU14" s="115">
        <v>10</v>
      </c>
      <c r="DV14" s="115">
        <v>14</v>
      </c>
      <c r="DW14" s="115">
        <v>10</v>
      </c>
      <c r="DX14" s="115">
        <v>12</v>
      </c>
      <c r="DY14" s="112"/>
      <c r="DZ14" s="116">
        <v>8.7100000000000009</v>
      </c>
      <c r="EA14" s="116">
        <v>8.6666666666666661</v>
      </c>
      <c r="EB14" s="116">
        <v>9.0500000000000007</v>
      </c>
      <c r="EC14" s="116">
        <v>7.888040712468193</v>
      </c>
      <c r="ED14" s="112"/>
      <c r="EE14" s="113">
        <v>67.741935483870961</v>
      </c>
      <c r="EF14" s="113">
        <v>0</v>
      </c>
      <c r="EG14" s="113">
        <v>32.258064516129032</v>
      </c>
      <c r="EH14" s="113">
        <v>0</v>
      </c>
      <c r="EI14" s="113">
        <v>1.6181229773462784</v>
      </c>
      <c r="EJ14" s="113">
        <v>50.346833743566791</v>
      </c>
      <c r="EK14" s="113"/>
      <c r="EL14" s="115">
        <v>1436</v>
      </c>
      <c r="EM14" s="115">
        <v>1471</v>
      </c>
      <c r="EN14" s="115">
        <v>1483</v>
      </c>
      <c r="EO14" s="115">
        <v>1427</v>
      </c>
      <c r="EP14" s="112"/>
      <c r="EQ14" s="114">
        <v>1224.8274920889451</v>
      </c>
      <c r="ER14" s="114">
        <v>1116.6610998087026</v>
      </c>
      <c r="ES14" s="114">
        <v>1051.5642283801799</v>
      </c>
      <c r="ET14" s="114">
        <v>993.78795476071093</v>
      </c>
      <c r="EU14" s="112"/>
      <c r="EV14" s="113">
        <v>927.34871648000001</v>
      </c>
      <c r="EW14" s="113">
        <v>858.16159660999995</v>
      </c>
      <c r="EX14" s="113">
        <v>813.39757847999999</v>
      </c>
      <c r="EY14" s="113">
        <v>741.12234203000003</v>
      </c>
      <c r="EZ14" s="112"/>
      <c r="FA14" s="115">
        <v>417</v>
      </c>
      <c r="FB14" s="115">
        <v>373</v>
      </c>
      <c r="FC14" s="115">
        <v>319</v>
      </c>
      <c r="FD14" s="115">
        <v>272</v>
      </c>
      <c r="FE14" s="112"/>
      <c r="FF14" s="115">
        <v>336</v>
      </c>
      <c r="FG14" s="115">
        <v>329</v>
      </c>
      <c r="FH14" s="115">
        <v>380</v>
      </c>
      <c r="FI14" s="115">
        <v>388</v>
      </c>
      <c r="FJ14" s="112"/>
      <c r="FK14" s="115">
        <v>107</v>
      </c>
      <c r="FL14" s="115">
        <v>109</v>
      </c>
      <c r="FM14" s="115">
        <v>93</v>
      </c>
      <c r="FN14" s="115">
        <v>84</v>
      </c>
      <c r="FO14" s="112"/>
      <c r="FP14" s="115">
        <v>78</v>
      </c>
      <c r="FQ14" s="115">
        <v>68</v>
      </c>
      <c r="FR14" s="115">
        <v>92</v>
      </c>
      <c r="FS14" s="115">
        <v>97</v>
      </c>
      <c r="FT14" s="112"/>
      <c r="FU14" s="113">
        <v>263.64461060000002</v>
      </c>
      <c r="FV14" s="113">
        <v>212.70818535999999</v>
      </c>
      <c r="FW14" s="113">
        <v>170.44760613</v>
      </c>
      <c r="FX14" s="113">
        <v>138.49093804</v>
      </c>
      <c r="FY14" s="112"/>
      <c r="FZ14" s="113">
        <v>206.77557852999999</v>
      </c>
      <c r="GA14" s="113">
        <v>184.50539827</v>
      </c>
      <c r="GB14" s="113">
        <v>199.20154987000001</v>
      </c>
      <c r="GC14" s="113">
        <v>189.69784464</v>
      </c>
      <c r="GD14" s="112"/>
      <c r="GE14" s="113">
        <v>67.785032970000003</v>
      </c>
      <c r="GF14" s="113">
        <v>62.025326399999997</v>
      </c>
      <c r="GG14" s="113">
        <v>48.563617989999997</v>
      </c>
      <c r="GH14" s="113">
        <v>42.506683459999998</v>
      </c>
      <c r="GI14" s="112"/>
      <c r="GJ14" s="113">
        <v>64.291404400000005</v>
      </c>
      <c r="GK14" s="113">
        <v>50.415250589999999</v>
      </c>
      <c r="GL14" s="113">
        <v>62.378987270000003</v>
      </c>
      <c r="GM14" s="113">
        <v>63.066996920000001</v>
      </c>
      <c r="GN14" s="112"/>
      <c r="GO14" s="113">
        <v>1184.2642609500001</v>
      </c>
      <c r="GP14" s="113">
        <v>1077.7651391100001</v>
      </c>
      <c r="GQ14" s="113">
        <v>1013.1880771800001</v>
      </c>
      <c r="GR14" s="113">
        <v>849.59186526999997</v>
      </c>
      <c r="GS14" s="112"/>
      <c r="GT14" s="113">
        <v>695.61693585</v>
      </c>
      <c r="GU14" s="113">
        <v>655.10273018999999</v>
      </c>
      <c r="GV14" s="113">
        <v>630.13705302999995</v>
      </c>
      <c r="GW14" s="113">
        <v>634.75777511000001</v>
      </c>
      <c r="GX14" s="112"/>
      <c r="GY14" s="112"/>
      <c r="GZ14" s="112"/>
      <c r="HA14" s="112"/>
      <c r="HB14" s="112"/>
      <c r="HC14" s="112"/>
      <c r="HD14" s="115">
        <v>241</v>
      </c>
      <c r="HE14" s="115">
        <v>0</v>
      </c>
      <c r="HF14" s="115">
        <v>28</v>
      </c>
      <c r="HG14" s="115">
        <v>0</v>
      </c>
      <c r="HH14" s="115">
        <v>0</v>
      </c>
      <c r="HI14" s="114">
        <v>56.118021405843216</v>
      </c>
      <c r="HJ14" s="114">
        <v>52.370203160270883</v>
      </c>
      <c r="HK14" s="113">
        <v>49.608355091383814</v>
      </c>
      <c r="HL14" s="112">
        <v>66</v>
      </c>
      <c r="HM14" s="112">
        <v>61</v>
      </c>
      <c r="HN14" s="112">
        <v>85</v>
      </c>
      <c r="HO14" s="112">
        <v>93</v>
      </c>
      <c r="HP14" s="112"/>
      <c r="HQ14" s="112">
        <v>105</v>
      </c>
      <c r="HR14" s="112">
        <v>96</v>
      </c>
      <c r="HS14" s="112">
        <v>125</v>
      </c>
      <c r="HT14" s="112">
        <v>164</v>
      </c>
      <c r="HU14" s="117"/>
    </row>
    <row r="15" spans="1:252" ht="21" customHeight="1" x14ac:dyDescent="0.2">
      <c r="A15" s="93">
        <v>12</v>
      </c>
      <c r="B15" s="98" t="s">
        <v>79</v>
      </c>
      <c r="C15" s="99">
        <v>12721</v>
      </c>
      <c r="D15" s="99">
        <v>12465</v>
      </c>
      <c r="E15" s="99">
        <v>12414</v>
      </c>
      <c r="F15" s="99">
        <v>12321</v>
      </c>
      <c r="G15" s="99">
        <v>12441</v>
      </c>
      <c r="H15" s="99">
        <v>5402</v>
      </c>
      <c r="I15" s="99">
        <v>5383</v>
      </c>
      <c r="J15" s="99">
        <v>5365</v>
      </c>
      <c r="K15" s="99">
        <v>5344</v>
      </c>
      <c r="L15" s="99">
        <v>5241</v>
      </c>
      <c r="M15" s="100">
        <v>30.210420841683366</v>
      </c>
      <c r="N15" s="100">
        <v>30.526852914912617</v>
      </c>
      <c r="O15" s="101">
        <v>30.724823604874917</v>
      </c>
      <c r="P15" s="101">
        <v>30.793525463876826</v>
      </c>
      <c r="Q15" s="102">
        <v>31.327502936953401</v>
      </c>
      <c r="R15" s="100">
        <v>29.120741482965933</v>
      </c>
      <c r="S15" s="100">
        <v>28.485776246970278</v>
      </c>
      <c r="T15" s="100">
        <v>28.531109685695959</v>
      </c>
      <c r="U15" s="100">
        <v>31.346229767074615</v>
      </c>
      <c r="V15" s="100">
        <v>31.066440412478787</v>
      </c>
      <c r="W15" s="100">
        <v>59.331162324649299</v>
      </c>
      <c r="X15" s="100">
        <v>59.012629161882892</v>
      </c>
      <c r="Y15" s="100">
        <v>59.25593329057088</v>
      </c>
      <c r="Z15" s="100">
        <v>62.139755230951444</v>
      </c>
      <c r="AA15" s="100">
        <v>62.393943349432192</v>
      </c>
      <c r="AB15" s="100">
        <v>3.8</v>
      </c>
      <c r="AC15" s="100">
        <v>4.4000000000000004</v>
      </c>
      <c r="AD15" s="100">
        <v>5.0999999999999996</v>
      </c>
      <c r="AE15" s="100">
        <v>8</v>
      </c>
      <c r="AF15" s="100">
        <v>6.9</v>
      </c>
      <c r="AG15" s="99">
        <v>205.41666666666666</v>
      </c>
      <c r="AH15" s="99">
        <v>218.25</v>
      </c>
      <c r="AI15" s="104">
        <v>234.66666666666666</v>
      </c>
      <c r="AJ15" s="104">
        <v>303.41666666666669</v>
      </c>
      <c r="AK15" s="105">
        <v>369.33333333333331</v>
      </c>
      <c r="AL15" s="106">
        <v>12371</v>
      </c>
      <c r="AM15" s="106">
        <v>38</v>
      </c>
      <c r="AN15" s="106">
        <v>146</v>
      </c>
      <c r="AO15" s="106">
        <v>45</v>
      </c>
      <c r="AP15" s="106">
        <v>0</v>
      </c>
      <c r="AQ15" s="106">
        <v>471</v>
      </c>
      <c r="AR15" s="106">
        <v>11632</v>
      </c>
      <c r="AS15" s="106">
        <v>65</v>
      </c>
      <c r="AT15" s="106">
        <v>119</v>
      </c>
      <c r="AU15" s="106">
        <v>154</v>
      </c>
      <c r="AV15" s="106">
        <v>154</v>
      </c>
      <c r="AW15" s="106">
        <v>611</v>
      </c>
      <c r="AX15" s="107">
        <v>30443</v>
      </c>
      <c r="AY15" s="107">
        <v>30168</v>
      </c>
      <c r="AZ15" s="107">
        <v>32590</v>
      </c>
      <c r="BA15" s="107">
        <v>40418</v>
      </c>
      <c r="BB15" s="107">
        <v>39563</v>
      </c>
      <c r="BC15" s="107">
        <v>39154</v>
      </c>
      <c r="BD15" s="107">
        <v>41163</v>
      </c>
      <c r="BE15" s="107">
        <v>42751</v>
      </c>
      <c r="BF15" s="108">
        <v>44473</v>
      </c>
      <c r="BG15" s="108">
        <v>45384</v>
      </c>
      <c r="BH15" s="100">
        <v>8.4</v>
      </c>
      <c r="BI15" s="100">
        <v>9.6</v>
      </c>
      <c r="BJ15" s="100">
        <v>10.3</v>
      </c>
      <c r="BK15" s="100">
        <v>9.5</v>
      </c>
      <c r="BL15" s="100">
        <v>9.9</v>
      </c>
      <c r="BM15" s="100">
        <v>11.8</v>
      </c>
      <c r="BN15" s="109">
        <v>13.2</v>
      </c>
      <c r="BO15" s="109">
        <v>13.8</v>
      </c>
      <c r="BP15" s="109">
        <v>12.5</v>
      </c>
      <c r="BQ15" s="100">
        <v>13.4</v>
      </c>
      <c r="BR15" s="106">
        <v>2249</v>
      </c>
      <c r="BS15" s="118">
        <v>2221</v>
      </c>
      <c r="BT15" s="118">
        <v>2263</v>
      </c>
      <c r="BU15" s="110">
        <v>2122</v>
      </c>
      <c r="BV15" s="100">
        <v>35.126722987994661</v>
      </c>
      <c r="BW15" s="100">
        <v>35.929761368752814</v>
      </c>
      <c r="BX15" s="100">
        <v>36.367653557224919</v>
      </c>
      <c r="BY15" s="103">
        <v>40.433553251649386</v>
      </c>
      <c r="BZ15" s="100">
        <v>2.4899955535793685</v>
      </c>
      <c r="CA15" s="100">
        <v>2.70148581719946</v>
      </c>
      <c r="CB15" s="100">
        <v>2.5187803800265134</v>
      </c>
      <c r="CC15" s="103">
        <v>3.3459000942507067</v>
      </c>
      <c r="CD15" s="100">
        <v>17.696754112939082</v>
      </c>
      <c r="CE15" s="100">
        <v>17.604682575416479</v>
      </c>
      <c r="CF15" s="100">
        <v>17.764030048608042</v>
      </c>
      <c r="CG15" s="103">
        <v>19.085768143261074</v>
      </c>
      <c r="CH15" s="100">
        <v>70.731707317073173</v>
      </c>
      <c r="CI15" s="105">
        <v>68.349999999999994</v>
      </c>
      <c r="CJ15" s="111">
        <v>74.41</v>
      </c>
      <c r="CK15" s="111">
        <v>81.516587677725113</v>
      </c>
      <c r="CL15" s="112">
        <v>764</v>
      </c>
      <c r="CM15" s="112">
        <v>718</v>
      </c>
      <c r="CN15" s="112">
        <v>700</v>
      </c>
      <c r="CO15" s="112">
        <v>815</v>
      </c>
      <c r="CP15" s="112"/>
      <c r="CQ15" s="113">
        <v>11.634813066321481</v>
      </c>
      <c r="CR15" s="113">
        <v>10.99203919167177</v>
      </c>
      <c r="CS15" s="113">
        <v>10.908354241012296</v>
      </c>
      <c r="CT15" s="113">
        <v>13.068856034123344</v>
      </c>
      <c r="CU15" s="112"/>
      <c r="CV15" s="114">
        <v>3.2171581769436997</v>
      </c>
      <c r="CW15" s="114">
        <v>2.4355300859598854</v>
      </c>
      <c r="CX15" s="114">
        <v>4.8316251830161052</v>
      </c>
      <c r="CY15" s="114">
        <v>3.9390088945362134</v>
      </c>
      <c r="CZ15" s="112"/>
      <c r="DA15" s="113">
        <v>6.3202247191011232</v>
      </c>
      <c r="DB15" s="113">
        <v>6.3421828908554572</v>
      </c>
      <c r="DC15" s="113">
        <v>7.5684380032206118</v>
      </c>
      <c r="DD15" s="113">
        <v>7.741935483870968</v>
      </c>
      <c r="DE15" s="112"/>
      <c r="DF15" s="113">
        <v>85.486018641810915</v>
      </c>
      <c r="DG15" s="113">
        <v>83.567415730337075</v>
      </c>
      <c r="DH15" s="113">
        <v>84.716157205240179</v>
      </c>
      <c r="DI15" s="113">
        <v>87.236842105263165</v>
      </c>
      <c r="DJ15" s="112"/>
      <c r="DK15" s="114">
        <v>15.595075239398085</v>
      </c>
      <c r="DL15" s="114">
        <v>15.007012622720898</v>
      </c>
      <c r="DM15" s="114">
        <v>20.378457059679768</v>
      </c>
      <c r="DN15" s="114">
        <v>16.978776529338326</v>
      </c>
      <c r="DO15" s="112"/>
      <c r="DP15" s="113">
        <v>18.848167539267017</v>
      </c>
      <c r="DQ15" s="113">
        <v>27.336122733612275</v>
      </c>
      <c r="DR15" s="113">
        <v>35.336194563662374</v>
      </c>
      <c r="DS15" s="113">
        <v>41.840490797546011</v>
      </c>
      <c r="DT15" s="112"/>
      <c r="DU15" s="115">
        <v>8</v>
      </c>
      <c r="DV15" s="115">
        <v>5</v>
      </c>
      <c r="DW15" s="115">
        <v>2</v>
      </c>
      <c r="DX15" s="115">
        <v>2</v>
      </c>
      <c r="DY15" s="112"/>
      <c r="DZ15" s="116">
        <v>2.0299999999999998</v>
      </c>
      <c r="EA15" s="116">
        <v>3.3755274261603376</v>
      </c>
      <c r="EB15" s="116">
        <v>1.01</v>
      </c>
      <c r="EC15" s="116">
        <v>1.4218009478672986</v>
      </c>
      <c r="ED15" s="112"/>
      <c r="EE15" s="113">
        <v>89.473684210526315</v>
      </c>
      <c r="EF15" s="113">
        <v>0</v>
      </c>
      <c r="EG15" s="113">
        <v>0.65789473684210531</v>
      </c>
      <c r="EH15" s="113">
        <v>3.9473684210526314</v>
      </c>
      <c r="EI15" s="113">
        <v>15.686274509803921</v>
      </c>
      <c r="EJ15" s="113">
        <v>45.208845208845212</v>
      </c>
      <c r="EK15" s="113"/>
      <c r="EL15" s="115">
        <v>798</v>
      </c>
      <c r="EM15" s="115">
        <v>787</v>
      </c>
      <c r="EN15" s="115">
        <v>783</v>
      </c>
      <c r="EO15" s="115">
        <v>687</v>
      </c>
      <c r="EP15" s="112"/>
      <c r="EQ15" s="114">
        <v>1215.2592705398615</v>
      </c>
      <c r="ER15" s="114">
        <v>1204.8377219840784</v>
      </c>
      <c r="ES15" s="114">
        <v>1220.1773386732325</v>
      </c>
      <c r="ET15" s="114">
        <v>1101.6324043488021</v>
      </c>
      <c r="EU15" s="112"/>
      <c r="EV15" s="113">
        <v>759.83098239000003</v>
      </c>
      <c r="EW15" s="113">
        <v>719.12264742000002</v>
      </c>
      <c r="EX15" s="113">
        <v>683.34816363000004</v>
      </c>
      <c r="EY15" s="113">
        <v>619.52796605000003</v>
      </c>
      <c r="EZ15" s="112"/>
      <c r="FA15" s="115">
        <v>238</v>
      </c>
      <c r="FB15" s="115">
        <v>200</v>
      </c>
      <c r="FC15" s="115">
        <v>164</v>
      </c>
      <c r="FD15" s="115">
        <v>165</v>
      </c>
      <c r="FE15" s="112"/>
      <c r="FF15" s="115">
        <v>165</v>
      </c>
      <c r="FG15" s="115">
        <v>174</v>
      </c>
      <c r="FH15" s="115">
        <v>181</v>
      </c>
      <c r="FI15" s="115">
        <v>131</v>
      </c>
      <c r="FJ15" s="112"/>
      <c r="FK15" s="115">
        <v>77</v>
      </c>
      <c r="FL15" s="115">
        <v>74</v>
      </c>
      <c r="FM15" s="115">
        <v>60</v>
      </c>
      <c r="FN15" s="115">
        <v>45</v>
      </c>
      <c r="FO15" s="112"/>
      <c r="FP15" s="115">
        <v>32</v>
      </c>
      <c r="FQ15" s="115">
        <v>37</v>
      </c>
      <c r="FR15" s="115">
        <v>36</v>
      </c>
      <c r="FS15" s="115">
        <v>36</v>
      </c>
      <c r="FT15" s="112"/>
      <c r="FU15" s="113">
        <v>215.98159971000001</v>
      </c>
      <c r="FV15" s="113">
        <v>168.61317188000001</v>
      </c>
      <c r="FW15" s="113">
        <v>138.95255032</v>
      </c>
      <c r="FX15" s="113">
        <v>138.93878624000001</v>
      </c>
      <c r="FY15" s="112"/>
      <c r="FZ15" s="113">
        <v>164.4231436</v>
      </c>
      <c r="GA15" s="113">
        <v>174.50548488999999</v>
      </c>
      <c r="GB15" s="113">
        <v>173.40010049</v>
      </c>
      <c r="GC15" s="113">
        <v>132.25197532999999</v>
      </c>
      <c r="GD15" s="112"/>
      <c r="GE15" s="113">
        <v>71.748264129999995</v>
      </c>
      <c r="GF15" s="113">
        <v>59.1946078</v>
      </c>
      <c r="GG15" s="113">
        <v>44.856763360000002</v>
      </c>
      <c r="GH15" s="113">
        <v>35.815794949999997</v>
      </c>
      <c r="GI15" s="112"/>
      <c r="GJ15" s="113">
        <v>41.867302629999998</v>
      </c>
      <c r="GK15" s="113">
        <v>46.4466273399999</v>
      </c>
      <c r="GL15" s="113">
        <v>40.53926191</v>
      </c>
      <c r="GM15" s="113">
        <v>43.934849190000001</v>
      </c>
      <c r="GN15" s="112"/>
      <c r="GO15" s="113">
        <v>1013.39729971</v>
      </c>
      <c r="GP15" s="113">
        <v>922.52844597000001</v>
      </c>
      <c r="GQ15" s="113">
        <v>888.79271105999999</v>
      </c>
      <c r="GR15" s="113">
        <v>732.09866926999996</v>
      </c>
      <c r="GS15" s="112"/>
      <c r="GT15" s="113">
        <v>559.95209091000004</v>
      </c>
      <c r="GU15" s="113">
        <v>553.77455534000001</v>
      </c>
      <c r="GV15" s="113">
        <v>538.34244001000002</v>
      </c>
      <c r="GW15" s="113">
        <v>545.74987930999998</v>
      </c>
      <c r="GX15" s="112"/>
      <c r="GY15" s="112"/>
      <c r="GZ15" s="112"/>
      <c r="HA15" s="112"/>
      <c r="HB15" s="112"/>
      <c r="HC15" s="112"/>
      <c r="HD15" s="115">
        <v>138</v>
      </c>
      <c r="HE15" s="115">
        <v>0</v>
      </c>
      <c r="HF15" s="115">
        <v>0</v>
      </c>
      <c r="HG15" s="115">
        <v>1</v>
      </c>
      <c r="HH15" s="115">
        <v>1</v>
      </c>
      <c r="HI15" s="114">
        <v>25.974025974025974</v>
      </c>
      <c r="HJ15" s="114">
        <v>30.661410424879545</v>
      </c>
      <c r="HK15" s="113">
        <v>29.285099052540914</v>
      </c>
      <c r="HL15" s="112">
        <v>24</v>
      </c>
      <c r="HM15" s="112">
        <v>17</v>
      </c>
      <c r="HN15" s="112">
        <v>33</v>
      </c>
      <c r="HO15" s="112">
        <v>31</v>
      </c>
      <c r="HP15" s="112"/>
      <c r="HQ15" s="112">
        <v>45</v>
      </c>
      <c r="HR15" s="112">
        <v>43</v>
      </c>
      <c r="HS15" s="112">
        <v>47</v>
      </c>
      <c r="HT15" s="112">
        <v>48</v>
      </c>
      <c r="HU15" s="117"/>
    </row>
    <row r="16" spans="1:252" x14ac:dyDescent="0.2">
      <c r="A16" s="93">
        <v>13</v>
      </c>
      <c r="B16" s="98" t="s">
        <v>80</v>
      </c>
      <c r="C16" s="99">
        <v>50344</v>
      </c>
      <c r="D16" s="99">
        <v>50128</v>
      </c>
      <c r="E16" s="99">
        <v>50257</v>
      </c>
      <c r="F16" s="99">
        <v>50625</v>
      </c>
      <c r="G16" s="99">
        <v>53887</v>
      </c>
      <c r="H16" s="99">
        <v>17748</v>
      </c>
      <c r="I16" s="99">
        <v>17856</v>
      </c>
      <c r="J16" s="99">
        <v>18057</v>
      </c>
      <c r="K16" s="99">
        <v>18220</v>
      </c>
      <c r="L16" s="99">
        <v>19470</v>
      </c>
      <c r="M16" s="100">
        <v>13.682615903504258</v>
      </c>
      <c r="N16" s="100">
        <v>14.511919772454036</v>
      </c>
      <c r="O16" s="101">
        <v>15.067492549523752</v>
      </c>
      <c r="P16" s="101">
        <v>16.534571479268941</v>
      </c>
      <c r="Q16" s="102">
        <v>17.188531807175874</v>
      </c>
      <c r="R16" s="100">
        <v>30.214943120105186</v>
      </c>
      <c r="S16" s="100">
        <v>32.478081107233969</v>
      </c>
      <c r="T16" s="100">
        <v>31.771168117805175</v>
      </c>
      <c r="U16" s="100">
        <v>33.18152244632401</v>
      </c>
      <c r="V16" s="100">
        <v>31.080783623156506</v>
      </c>
      <c r="W16" s="100">
        <v>43.897559023609446</v>
      </c>
      <c r="X16" s="100">
        <v>46.990000879688004</v>
      </c>
      <c r="Y16" s="100">
        <v>46.838660667328931</v>
      </c>
      <c r="Z16" s="100">
        <v>49.716093925592951</v>
      </c>
      <c r="AA16" s="100">
        <v>48.269315430332377</v>
      </c>
      <c r="AB16" s="100">
        <v>4.9000000000000004</v>
      </c>
      <c r="AC16" s="100">
        <v>5.8</v>
      </c>
      <c r="AD16" s="100">
        <v>6.8</v>
      </c>
      <c r="AE16" s="100">
        <v>10.1</v>
      </c>
      <c r="AF16" s="100">
        <v>9</v>
      </c>
      <c r="AG16" s="99">
        <v>643</v>
      </c>
      <c r="AH16" s="99">
        <v>688.58333333333337</v>
      </c>
      <c r="AI16" s="104">
        <v>795.41666666666663</v>
      </c>
      <c r="AJ16" s="104">
        <v>1010.5833333333334</v>
      </c>
      <c r="AK16" s="105">
        <v>1198.3333333333333</v>
      </c>
      <c r="AL16" s="106">
        <v>48342</v>
      </c>
      <c r="AM16" s="106">
        <v>549</v>
      </c>
      <c r="AN16" s="106">
        <v>349</v>
      </c>
      <c r="AO16" s="106">
        <v>721</v>
      </c>
      <c r="AP16" s="106">
        <v>0</v>
      </c>
      <c r="AQ16" s="106">
        <v>881</v>
      </c>
      <c r="AR16" s="106">
        <v>51621</v>
      </c>
      <c r="AS16" s="106">
        <v>645</v>
      </c>
      <c r="AT16" s="106">
        <v>324</v>
      </c>
      <c r="AU16" s="106">
        <v>488</v>
      </c>
      <c r="AV16" s="106">
        <v>670</v>
      </c>
      <c r="AW16" s="106">
        <v>835</v>
      </c>
      <c r="AX16" s="107">
        <v>30047</v>
      </c>
      <c r="AY16" s="107">
        <v>32177</v>
      </c>
      <c r="AZ16" s="107">
        <v>33148</v>
      </c>
      <c r="BA16" s="107">
        <v>34764</v>
      </c>
      <c r="BB16" s="107">
        <v>33692</v>
      </c>
      <c r="BC16" s="107">
        <v>60379</v>
      </c>
      <c r="BD16" s="107">
        <v>58570</v>
      </c>
      <c r="BE16" s="107">
        <v>66090</v>
      </c>
      <c r="BF16" s="108">
        <v>66703</v>
      </c>
      <c r="BG16" s="108">
        <v>61862</v>
      </c>
      <c r="BH16" s="100">
        <v>5.6</v>
      </c>
      <c r="BI16" s="100">
        <v>6.4</v>
      </c>
      <c r="BJ16" s="100">
        <v>5.9</v>
      </c>
      <c r="BK16" s="100">
        <v>6.6</v>
      </c>
      <c r="BL16" s="100">
        <v>7.8</v>
      </c>
      <c r="BM16" s="100">
        <v>6.9</v>
      </c>
      <c r="BN16" s="109">
        <v>7.6</v>
      </c>
      <c r="BO16" s="109">
        <v>7.4</v>
      </c>
      <c r="BP16" s="109">
        <v>8.3000000000000007</v>
      </c>
      <c r="BQ16" s="100">
        <v>9.1999999999999993</v>
      </c>
      <c r="BR16" s="106">
        <v>8466</v>
      </c>
      <c r="BS16" s="118">
        <v>8345</v>
      </c>
      <c r="BT16" s="118">
        <v>8140</v>
      </c>
      <c r="BU16" s="110">
        <v>7928</v>
      </c>
      <c r="BV16" s="100">
        <v>20.694542877391918</v>
      </c>
      <c r="BW16" s="100">
        <v>22.959856201318154</v>
      </c>
      <c r="BX16" s="100">
        <v>26.412776412776413</v>
      </c>
      <c r="BY16" s="103">
        <v>26.210898082744702</v>
      </c>
      <c r="BZ16" s="100">
        <v>1.1457595086227261</v>
      </c>
      <c r="CA16" s="100">
        <v>1.1264230077890953</v>
      </c>
      <c r="CB16" s="100">
        <v>0.84766584766584763</v>
      </c>
      <c r="CC16" s="103">
        <v>0.81987891019172554</v>
      </c>
      <c r="CD16" s="100">
        <v>10.642570281124499</v>
      </c>
      <c r="CE16" s="100">
        <v>10.60515278609946</v>
      </c>
      <c r="CF16" s="100">
        <v>10.601965601965603</v>
      </c>
      <c r="CG16" s="103">
        <v>10.746720484359233</v>
      </c>
      <c r="CH16" s="100">
        <v>79.894179894179899</v>
      </c>
      <c r="CI16" s="105">
        <v>77.03</v>
      </c>
      <c r="CJ16" s="111">
        <v>79.180000000000007</v>
      </c>
      <c r="CK16" s="111">
        <v>79.870129870129873</v>
      </c>
      <c r="CL16" s="112">
        <v>2491</v>
      </c>
      <c r="CM16" s="112">
        <v>3028</v>
      </c>
      <c r="CN16" s="112">
        <v>3521</v>
      </c>
      <c r="CO16" s="112">
        <v>3217</v>
      </c>
      <c r="CP16" s="112"/>
      <c r="CQ16" s="113">
        <v>14.624724061810154</v>
      </c>
      <c r="CR16" s="113">
        <v>15.003691463058116</v>
      </c>
      <c r="CS16" s="113">
        <v>15.194931858002262</v>
      </c>
      <c r="CT16" s="113">
        <v>12.603774471969629</v>
      </c>
      <c r="CU16" s="112"/>
      <c r="CV16" s="114">
        <v>3.4596375617792421</v>
      </c>
      <c r="CW16" s="114">
        <v>4.0591675266597864</v>
      </c>
      <c r="CX16" s="114">
        <v>4.3171806167400879</v>
      </c>
      <c r="CY16" s="114">
        <v>4.2573935651608714</v>
      </c>
      <c r="CZ16" s="112"/>
      <c r="DA16" s="113">
        <v>6.4883822884699693</v>
      </c>
      <c r="DB16" s="113">
        <v>7.276995305164319</v>
      </c>
      <c r="DC16" s="113">
        <v>7.7182339063026628</v>
      </c>
      <c r="DD16" s="113">
        <v>7.3568448995070153</v>
      </c>
      <c r="DE16" s="112"/>
      <c r="DF16" s="113">
        <v>86.352459016393439</v>
      </c>
      <c r="DG16" s="113">
        <v>87.927496580027366</v>
      </c>
      <c r="DH16" s="113">
        <v>90.10891963497204</v>
      </c>
      <c r="DI16" s="113">
        <v>90.635874723188863</v>
      </c>
      <c r="DJ16" s="112"/>
      <c r="DK16" s="114">
        <v>16.77044416770444</v>
      </c>
      <c r="DL16" s="114">
        <v>15.200273878808627</v>
      </c>
      <c r="DM16" s="114">
        <v>13.537117903930131</v>
      </c>
      <c r="DN16" s="114">
        <v>13.85240775484678</v>
      </c>
      <c r="DO16" s="112"/>
      <c r="DP16" s="113">
        <v>20.008035355564484</v>
      </c>
      <c r="DQ16" s="113">
        <v>21.532364597093792</v>
      </c>
      <c r="DR16" s="113">
        <v>20.78475973841342</v>
      </c>
      <c r="DS16" s="113">
        <v>26.648009950248756</v>
      </c>
      <c r="DT16" s="112"/>
      <c r="DU16" s="115">
        <v>17</v>
      </c>
      <c r="DV16" s="115">
        <v>13</v>
      </c>
      <c r="DW16" s="115">
        <v>10</v>
      </c>
      <c r="DX16" s="115">
        <v>20</v>
      </c>
      <c r="DY16" s="112"/>
      <c r="DZ16" s="116">
        <v>3.17</v>
      </c>
      <c r="EA16" s="116">
        <v>3.7184594953519254</v>
      </c>
      <c r="EB16" s="116">
        <v>3.8</v>
      </c>
      <c r="EC16" s="116">
        <v>4.1558441558441555</v>
      </c>
      <c r="ED16" s="112"/>
      <c r="EE16" s="113">
        <v>96.570397111913351</v>
      </c>
      <c r="EF16" s="113">
        <v>0.36101083032490977</v>
      </c>
      <c r="EG16" s="113">
        <v>0</v>
      </c>
      <c r="EH16" s="113">
        <v>1.8050541516245486</v>
      </c>
      <c r="EI16" s="113">
        <v>2.78372591006424</v>
      </c>
      <c r="EJ16" s="113">
        <v>20.18018018018018</v>
      </c>
      <c r="EK16" s="113"/>
      <c r="EL16" s="115">
        <v>1307</v>
      </c>
      <c r="EM16" s="115">
        <v>1411</v>
      </c>
      <c r="EN16" s="115">
        <v>1582</v>
      </c>
      <c r="EO16" s="115">
        <v>1650</v>
      </c>
      <c r="EP16" s="112"/>
      <c r="EQ16" s="114">
        <v>767.34300878305385</v>
      </c>
      <c r="ER16" s="114">
        <v>699.1482382554492</v>
      </c>
      <c r="ES16" s="114">
        <v>682.71463218857082</v>
      </c>
      <c r="ET16" s="114">
        <v>646.44786691793252</v>
      </c>
      <c r="EU16" s="112"/>
      <c r="EV16" s="113">
        <v>802.50094408999996</v>
      </c>
      <c r="EW16" s="113">
        <v>774.41061529000001</v>
      </c>
      <c r="EX16" s="113">
        <v>829.24283510999999</v>
      </c>
      <c r="EY16" s="113">
        <v>731.69243644000005</v>
      </c>
      <c r="EZ16" s="112"/>
      <c r="FA16" s="115">
        <v>310</v>
      </c>
      <c r="FB16" s="115">
        <v>308</v>
      </c>
      <c r="FC16" s="115">
        <v>321</v>
      </c>
      <c r="FD16" s="115">
        <v>318</v>
      </c>
      <c r="FE16" s="112"/>
      <c r="FF16" s="115">
        <v>342</v>
      </c>
      <c r="FG16" s="115">
        <v>361</v>
      </c>
      <c r="FH16" s="115">
        <v>389</v>
      </c>
      <c r="FI16" s="115">
        <v>402</v>
      </c>
      <c r="FJ16" s="112"/>
      <c r="FK16" s="115">
        <v>118</v>
      </c>
      <c r="FL16" s="115">
        <v>98</v>
      </c>
      <c r="FM16" s="115">
        <v>103</v>
      </c>
      <c r="FN16" s="115">
        <v>77</v>
      </c>
      <c r="FO16" s="112"/>
      <c r="FP16" s="115">
        <v>52</v>
      </c>
      <c r="FQ16" s="115">
        <v>76</v>
      </c>
      <c r="FR16" s="115">
        <v>92</v>
      </c>
      <c r="FS16" s="115">
        <v>110</v>
      </c>
      <c r="FT16" s="112"/>
      <c r="FU16" s="113">
        <v>191.66341732000001</v>
      </c>
      <c r="FV16" s="113">
        <v>168.87016302000001</v>
      </c>
      <c r="FW16" s="113">
        <v>170.97480736</v>
      </c>
      <c r="FX16" s="113">
        <v>142.20543888</v>
      </c>
      <c r="FY16" s="112"/>
      <c r="FZ16" s="113">
        <v>214.22482891000001</v>
      </c>
      <c r="GA16" s="113">
        <v>202.2359155</v>
      </c>
      <c r="GB16" s="113">
        <v>206.9451928</v>
      </c>
      <c r="GC16" s="113">
        <v>176.688570859999</v>
      </c>
      <c r="GD16" s="112"/>
      <c r="GE16" s="113">
        <v>71.631938360000007</v>
      </c>
      <c r="GF16" s="113">
        <v>53.897901840000003</v>
      </c>
      <c r="GG16" s="113">
        <v>54.179186010000002</v>
      </c>
      <c r="GH16" s="113">
        <v>35.595574839999998</v>
      </c>
      <c r="GI16" s="112"/>
      <c r="GJ16" s="113">
        <v>31.197148290000001</v>
      </c>
      <c r="GK16" s="113">
        <v>40.136981480000003</v>
      </c>
      <c r="GL16" s="113">
        <v>41.958625740000002</v>
      </c>
      <c r="GM16" s="113">
        <v>47.383690340000001</v>
      </c>
      <c r="GN16" s="112"/>
      <c r="GO16" s="113">
        <v>986.83939586999998</v>
      </c>
      <c r="GP16" s="113">
        <v>937.02596406999999</v>
      </c>
      <c r="GQ16" s="113">
        <v>954.39074023000001</v>
      </c>
      <c r="GR16" s="113">
        <v>808.97813030999998</v>
      </c>
      <c r="GS16" s="112"/>
      <c r="GT16" s="113">
        <v>664.45684672000004</v>
      </c>
      <c r="GU16" s="113">
        <v>651.02372838999997</v>
      </c>
      <c r="GV16" s="113">
        <v>713.96451692999995</v>
      </c>
      <c r="GW16" s="113">
        <v>653.62661692999995</v>
      </c>
      <c r="GX16" s="112"/>
      <c r="GY16" s="112"/>
      <c r="GZ16" s="112"/>
      <c r="HA16" s="112"/>
      <c r="HB16" s="112"/>
      <c r="HC16" s="112"/>
      <c r="HD16" s="115">
        <v>359</v>
      </c>
      <c r="HE16" s="115">
        <v>3</v>
      </c>
      <c r="HF16" s="115">
        <v>0</v>
      </c>
      <c r="HG16" s="115">
        <v>2</v>
      </c>
      <c r="HH16" s="115">
        <v>2</v>
      </c>
      <c r="HI16" s="114">
        <v>34.398463418892966</v>
      </c>
      <c r="HJ16" s="114">
        <v>30.235309583278561</v>
      </c>
      <c r="HK16" s="113">
        <v>24.237972824091077</v>
      </c>
      <c r="HL16" s="112">
        <v>84</v>
      </c>
      <c r="HM16" s="112">
        <v>118</v>
      </c>
      <c r="HN16" s="112">
        <v>147</v>
      </c>
      <c r="HO16" s="112">
        <v>131</v>
      </c>
      <c r="HP16" s="112"/>
      <c r="HQ16" s="112">
        <v>148</v>
      </c>
      <c r="HR16" s="112">
        <v>186</v>
      </c>
      <c r="HS16" s="112">
        <v>229</v>
      </c>
      <c r="HT16" s="112">
        <v>194</v>
      </c>
      <c r="HU16" s="117"/>
    </row>
    <row r="17" spans="1:229" x14ac:dyDescent="0.2">
      <c r="A17" s="93">
        <v>14</v>
      </c>
      <c r="B17" s="98" t="s">
        <v>81</v>
      </c>
      <c r="C17" s="99">
        <v>54476</v>
      </c>
      <c r="D17" s="99">
        <v>54835</v>
      </c>
      <c r="E17" s="99">
        <v>55767</v>
      </c>
      <c r="F17" s="99">
        <v>56763</v>
      </c>
      <c r="G17" s="99">
        <v>58999</v>
      </c>
      <c r="H17" s="99">
        <v>20820</v>
      </c>
      <c r="I17" s="99">
        <v>21234</v>
      </c>
      <c r="J17" s="99">
        <v>21599</v>
      </c>
      <c r="K17" s="99">
        <v>22038</v>
      </c>
      <c r="L17" s="99">
        <v>22279</v>
      </c>
      <c r="M17" s="100">
        <v>17.776608341007762</v>
      </c>
      <c r="N17" s="100">
        <v>17.994635531713474</v>
      </c>
      <c r="O17" s="101">
        <v>18.118232215947362</v>
      </c>
      <c r="P17" s="101">
        <v>18.050319304454874</v>
      </c>
      <c r="Q17" s="102">
        <v>17.516766896824809</v>
      </c>
      <c r="R17" s="100">
        <v>25.562425996579396</v>
      </c>
      <c r="S17" s="100">
        <v>26.201746081834436</v>
      </c>
      <c r="T17" s="100">
        <v>26.348375731827367</v>
      </c>
      <c r="U17" s="100">
        <v>27.529429868431176</v>
      </c>
      <c r="V17" s="100">
        <v>28.495062736654539</v>
      </c>
      <c r="W17" s="100">
        <v>43.339034337587165</v>
      </c>
      <c r="X17" s="100">
        <v>44.196381613547914</v>
      </c>
      <c r="Y17" s="100">
        <v>44.466607947774726</v>
      </c>
      <c r="Z17" s="100">
        <v>45.579749172886054</v>
      </c>
      <c r="AA17" s="100">
        <v>46.011829633479344</v>
      </c>
      <c r="AB17" s="100">
        <v>3.2</v>
      </c>
      <c r="AC17" s="100">
        <v>3.4</v>
      </c>
      <c r="AD17" s="100">
        <v>3.6</v>
      </c>
      <c r="AE17" s="100">
        <v>4.9000000000000004</v>
      </c>
      <c r="AF17" s="100">
        <v>4.5</v>
      </c>
      <c r="AG17" s="99">
        <v>1489.6666666666667</v>
      </c>
      <c r="AH17" s="99">
        <v>1494</v>
      </c>
      <c r="AI17" s="104">
        <v>1608.5</v>
      </c>
      <c r="AJ17" s="104">
        <v>2023.3333333333333</v>
      </c>
      <c r="AK17" s="105">
        <v>2339.5833333333335</v>
      </c>
      <c r="AL17" s="106">
        <v>51787</v>
      </c>
      <c r="AM17" s="106">
        <v>382</v>
      </c>
      <c r="AN17" s="106">
        <v>855</v>
      </c>
      <c r="AO17" s="106">
        <v>678</v>
      </c>
      <c r="AP17" s="106">
        <v>0</v>
      </c>
      <c r="AQ17" s="106">
        <v>1756</v>
      </c>
      <c r="AR17" s="106">
        <v>54684</v>
      </c>
      <c r="AS17" s="106">
        <v>842</v>
      </c>
      <c r="AT17" s="106">
        <v>803</v>
      </c>
      <c r="AU17" s="106">
        <v>867</v>
      </c>
      <c r="AV17" s="106">
        <v>1275</v>
      </c>
      <c r="AW17" s="106">
        <v>2056</v>
      </c>
      <c r="AX17" s="107">
        <v>27368</v>
      </c>
      <c r="AY17" s="107">
        <v>28312</v>
      </c>
      <c r="AZ17" s="107">
        <v>30390</v>
      </c>
      <c r="BA17" s="107">
        <v>33988</v>
      </c>
      <c r="BB17" s="107">
        <v>34304</v>
      </c>
      <c r="BC17" s="107">
        <v>44099</v>
      </c>
      <c r="BD17" s="107">
        <v>45068</v>
      </c>
      <c r="BE17" s="107">
        <v>50506</v>
      </c>
      <c r="BF17" s="108">
        <v>48988</v>
      </c>
      <c r="BG17" s="108">
        <v>46989</v>
      </c>
      <c r="BH17" s="100">
        <v>12.9</v>
      </c>
      <c r="BI17" s="100">
        <v>11.8</v>
      </c>
      <c r="BJ17" s="100">
        <v>13</v>
      </c>
      <c r="BK17" s="100">
        <v>13</v>
      </c>
      <c r="BL17" s="100">
        <v>13</v>
      </c>
      <c r="BM17" s="100">
        <v>13.5</v>
      </c>
      <c r="BN17" s="109">
        <v>13.1</v>
      </c>
      <c r="BO17" s="109">
        <v>13.9</v>
      </c>
      <c r="BP17" s="109">
        <v>13.3</v>
      </c>
      <c r="BQ17" s="100">
        <v>14.2</v>
      </c>
      <c r="BR17" s="106">
        <v>8738</v>
      </c>
      <c r="BS17" s="118">
        <v>8820</v>
      </c>
      <c r="BT17" s="118">
        <v>8911</v>
      </c>
      <c r="BU17" s="110">
        <v>8942</v>
      </c>
      <c r="BV17" s="100">
        <v>27.786678873884185</v>
      </c>
      <c r="BW17" s="100">
        <v>28.140589569160994</v>
      </c>
      <c r="BX17" s="100">
        <v>29.74974750308607</v>
      </c>
      <c r="BY17" s="103">
        <v>32.285842093491389</v>
      </c>
      <c r="BZ17" s="100">
        <v>5.0011444266422522</v>
      </c>
      <c r="CA17" s="100">
        <v>5.0226757369614505</v>
      </c>
      <c r="CB17" s="100">
        <v>5.0948266187857705</v>
      </c>
      <c r="CC17" s="103">
        <v>5.1442630284052786</v>
      </c>
      <c r="CD17" s="100">
        <v>14.888990615701534</v>
      </c>
      <c r="CE17" s="100">
        <v>14.727891156462587</v>
      </c>
      <c r="CF17" s="100">
        <v>14.678487262933453</v>
      </c>
      <c r="CG17" s="103">
        <v>15.287407738760903</v>
      </c>
      <c r="CH17" s="100">
        <v>74.491017964071858</v>
      </c>
      <c r="CI17" s="105">
        <v>73.2</v>
      </c>
      <c r="CJ17" s="111">
        <v>78.02</v>
      </c>
      <c r="CK17" s="111">
        <v>75</v>
      </c>
      <c r="CL17" s="112">
        <v>3344</v>
      </c>
      <c r="CM17" s="112">
        <v>3068</v>
      </c>
      <c r="CN17" s="112">
        <v>3080</v>
      </c>
      <c r="CO17" s="112">
        <v>3907</v>
      </c>
      <c r="CP17" s="112"/>
      <c r="CQ17" s="113">
        <v>13.025458851391356</v>
      </c>
      <c r="CR17" s="113">
        <v>11.88184765054665</v>
      </c>
      <c r="CS17" s="113">
        <v>11.73986293328861</v>
      </c>
      <c r="CT17" s="113">
        <v>13.911835920809002</v>
      </c>
      <c r="CU17" s="112"/>
      <c r="CV17" s="114">
        <v>3.9718912312862815</v>
      </c>
      <c r="CW17" s="114">
        <v>4.3243243243243246</v>
      </c>
      <c r="CX17" s="114">
        <v>5.417227456258412</v>
      </c>
      <c r="CY17" s="114">
        <v>5.1384451544195953</v>
      </c>
      <c r="CZ17" s="112"/>
      <c r="DA17" s="113">
        <v>8.0827067669172941</v>
      </c>
      <c r="DB17" s="113">
        <v>8.9329162321863045</v>
      </c>
      <c r="DC17" s="113">
        <v>9.4717668488160296</v>
      </c>
      <c r="DD17" s="113">
        <v>8.35144365104005</v>
      </c>
      <c r="DE17" s="112"/>
      <c r="DF17" s="113">
        <v>75.173036412879924</v>
      </c>
      <c r="DG17" s="113">
        <v>81.33986928104575</v>
      </c>
      <c r="DH17" s="113">
        <v>87.48778103616813</v>
      </c>
      <c r="DI17" s="113">
        <v>83.488914819136525</v>
      </c>
      <c r="DJ17" s="112"/>
      <c r="DK17" s="114">
        <v>19.23076923076923</v>
      </c>
      <c r="DL17" s="114">
        <v>17.466536075742734</v>
      </c>
      <c r="DM17" s="114">
        <v>14.643670680117149</v>
      </c>
      <c r="DN17" s="114">
        <v>12.1875</v>
      </c>
      <c r="DO17" s="112"/>
      <c r="DP17" s="113">
        <v>26.89201316183069</v>
      </c>
      <c r="DQ17" s="113">
        <v>27.73794002607562</v>
      </c>
      <c r="DR17" s="113">
        <v>26.445743989603638</v>
      </c>
      <c r="DS17" s="113">
        <v>27.510245901639344</v>
      </c>
      <c r="DT17" s="112"/>
      <c r="DU17" s="115">
        <v>23</v>
      </c>
      <c r="DV17" s="115">
        <v>21</v>
      </c>
      <c r="DW17" s="115">
        <v>17</v>
      </c>
      <c r="DX17" s="115">
        <v>35</v>
      </c>
      <c r="DY17" s="112"/>
      <c r="DZ17" s="116">
        <v>6.95</v>
      </c>
      <c r="EA17" s="116">
        <v>6.3535911602209945</v>
      </c>
      <c r="EB17" s="116">
        <v>4.5599999999999996</v>
      </c>
      <c r="EC17" s="116">
        <v>5.4404145077720205</v>
      </c>
      <c r="ED17" s="112"/>
      <c r="EE17" s="113">
        <v>87.220843672456581</v>
      </c>
      <c r="EF17" s="113">
        <v>2.2332506203473947</v>
      </c>
      <c r="EG17" s="113">
        <v>4.838709677419355</v>
      </c>
      <c r="EH17" s="113">
        <v>1.1166253101736974</v>
      </c>
      <c r="EI17" s="113">
        <v>6.3197026022304836</v>
      </c>
      <c r="EJ17" s="113">
        <v>15.764546684709066</v>
      </c>
      <c r="EK17" s="113"/>
      <c r="EL17" s="115">
        <v>1872</v>
      </c>
      <c r="EM17" s="115">
        <v>1893</v>
      </c>
      <c r="EN17" s="115">
        <v>1933</v>
      </c>
      <c r="EO17" s="115">
        <v>1970</v>
      </c>
      <c r="EP17" s="112"/>
      <c r="EQ17" s="114">
        <v>729.17640459942038</v>
      </c>
      <c r="ER17" s="114">
        <v>733.12704049820104</v>
      </c>
      <c r="ES17" s="114">
        <v>736.79074837814551</v>
      </c>
      <c r="ET17" s="114">
        <v>701.46702748896166</v>
      </c>
      <c r="EU17" s="112"/>
      <c r="EV17" s="113">
        <v>754.87618049000002</v>
      </c>
      <c r="EW17" s="113">
        <v>715.65461078999999</v>
      </c>
      <c r="EX17" s="113">
        <v>670.56704812999999</v>
      </c>
      <c r="EY17" s="113">
        <v>631.46958453000002</v>
      </c>
      <c r="EZ17" s="112"/>
      <c r="FA17" s="115">
        <v>576</v>
      </c>
      <c r="FB17" s="115">
        <v>519</v>
      </c>
      <c r="FC17" s="115">
        <v>495</v>
      </c>
      <c r="FD17" s="115">
        <v>436</v>
      </c>
      <c r="FE17" s="112"/>
      <c r="FF17" s="115">
        <v>402</v>
      </c>
      <c r="FG17" s="115">
        <v>452</v>
      </c>
      <c r="FH17" s="115">
        <v>459</v>
      </c>
      <c r="FI17" s="115">
        <v>417</v>
      </c>
      <c r="FJ17" s="112"/>
      <c r="FK17" s="115">
        <v>134</v>
      </c>
      <c r="FL17" s="115">
        <v>177</v>
      </c>
      <c r="FM17" s="115">
        <v>126</v>
      </c>
      <c r="FN17" s="115">
        <v>110</v>
      </c>
      <c r="FO17" s="112"/>
      <c r="FP17" s="115">
        <v>91</v>
      </c>
      <c r="FQ17" s="115">
        <v>80</v>
      </c>
      <c r="FR17" s="115">
        <v>90</v>
      </c>
      <c r="FS17" s="115">
        <v>108</v>
      </c>
      <c r="FT17" s="112"/>
      <c r="FU17" s="113">
        <v>231.06644872000001</v>
      </c>
      <c r="FV17" s="113">
        <v>193.17957781000001</v>
      </c>
      <c r="FW17" s="113">
        <v>165.78086568000001</v>
      </c>
      <c r="FX17" s="113">
        <v>133.68932488999999</v>
      </c>
      <c r="FY17" s="112"/>
      <c r="FZ17" s="113">
        <v>169.19800357</v>
      </c>
      <c r="GA17" s="113">
        <v>178.94319067000001</v>
      </c>
      <c r="GB17" s="113">
        <v>171.36883931</v>
      </c>
      <c r="GC17" s="113">
        <v>144.04178155</v>
      </c>
      <c r="GD17" s="112"/>
      <c r="GE17" s="113">
        <v>51.93801843</v>
      </c>
      <c r="GF17" s="113">
        <v>63.520420440000002</v>
      </c>
      <c r="GG17" s="113">
        <v>40.755784890000001</v>
      </c>
      <c r="GH17" s="113">
        <v>33.437974760000003</v>
      </c>
      <c r="GI17" s="112"/>
      <c r="GJ17" s="113">
        <v>34.456750700000001</v>
      </c>
      <c r="GK17" s="113">
        <v>29.644699419999998</v>
      </c>
      <c r="GL17" s="113">
        <v>32.705258200000003</v>
      </c>
      <c r="GM17" s="113">
        <v>38.19528322</v>
      </c>
      <c r="GN17" s="112"/>
      <c r="GO17" s="113">
        <v>957.54133587000001</v>
      </c>
      <c r="GP17" s="113">
        <v>904.30498336999995</v>
      </c>
      <c r="GQ17" s="113">
        <v>815.88115348999997</v>
      </c>
      <c r="GR17" s="113">
        <v>739.10146681000003</v>
      </c>
      <c r="GS17" s="112"/>
      <c r="GT17" s="113">
        <v>605.18934486000001</v>
      </c>
      <c r="GU17" s="113">
        <v>579.36721388000001</v>
      </c>
      <c r="GV17" s="113">
        <v>559.83974467999997</v>
      </c>
      <c r="GW17" s="113">
        <v>546.05899061000002</v>
      </c>
      <c r="GX17" s="112"/>
      <c r="GY17" s="112"/>
      <c r="GZ17" s="112"/>
      <c r="HA17" s="112"/>
      <c r="HB17" s="112"/>
      <c r="HC17" s="112"/>
      <c r="HD17" s="115">
        <v>372</v>
      </c>
      <c r="HE17" s="115">
        <v>3</v>
      </c>
      <c r="HF17" s="115">
        <v>5</v>
      </c>
      <c r="HG17" s="115">
        <v>0</v>
      </c>
      <c r="HH17" s="115">
        <v>3</v>
      </c>
      <c r="HI17" s="114">
        <v>23.653180823271907</v>
      </c>
      <c r="HJ17" s="114">
        <v>20.787527483509894</v>
      </c>
      <c r="HK17" s="113">
        <v>13.77448605246764</v>
      </c>
      <c r="HL17" s="112">
        <v>130</v>
      </c>
      <c r="HM17" s="112">
        <v>128</v>
      </c>
      <c r="HN17" s="112">
        <v>161</v>
      </c>
      <c r="HO17" s="112">
        <v>193</v>
      </c>
      <c r="HP17" s="112"/>
      <c r="HQ17" s="112">
        <v>258</v>
      </c>
      <c r="HR17" s="112">
        <v>257</v>
      </c>
      <c r="HS17" s="112">
        <v>260</v>
      </c>
      <c r="HT17" s="112">
        <v>269</v>
      </c>
      <c r="HU17" s="117"/>
    </row>
    <row r="18" spans="1:229" x14ac:dyDescent="0.2">
      <c r="A18" s="93">
        <v>15</v>
      </c>
      <c r="B18" s="98" t="s">
        <v>82</v>
      </c>
      <c r="C18" s="99">
        <v>8440</v>
      </c>
      <c r="D18" s="99">
        <v>8245</v>
      </c>
      <c r="E18" s="99">
        <v>8249</v>
      </c>
      <c r="F18" s="99">
        <v>8242</v>
      </c>
      <c r="G18" s="99">
        <v>8695</v>
      </c>
      <c r="H18" s="99">
        <v>3441</v>
      </c>
      <c r="I18" s="99">
        <v>3419</v>
      </c>
      <c r="J18" s="99">
        <v>3412</v>
      </c>
      <c r="K18" s="99">
        <v>3415</v>
      </c>
      <c r="L18" s="99">
        <v>3527</v>
      </c>
      <c r="M18" s="100">
        <v>27.961019490254873</v>
      </c>
      <c r="N18" s="100">
        <v>29.204392217299173</v>
      </c>
      <c r="O18" s="101">
        <v>30.223517978620016</v>
      </c>
      <c r="P18" s="101">
        <v>32.020891924467655</v>
      </c>
      <c r="Q18" s="102">
        <v>30.735684489950703</v>
      </c>
      <c r="R18" s="100">
        <v>30.209895052473762</v>
      </c>
      <c r="S18" s="100">
        <v>29.628202658447311</v>
      </c>
      <c r="T18" s="100">
        <v>30.106899902818267</v>
      </c>
      <c r="U18" s="100">
        <v>33.547609481719569</v>
      </c>
      <c r="V18" s="100">
        <v>34.129692832764505</v>
      </c>
      <c r="W18" s="100">
        <v>58.170914542728639</v>
      </c>
      <c r="X18" s="100">
        <v>58.83259487574648</v>
      </c>
      <c r="Y18" s="100">
        <v>60.330417881438294</v>
      </c>
      <c r="Z18" s="100">
        <v>65.568501406187224</v>
      </c>
      <c r="AA18" s="100">
        <v>64.865377322715204</v>
      </c>
      <c r="AB18" s="100">
        <v>9.8000000000000007</v>
      </c>
      <c r="AC18" s="100">
        <v>10.4</v>
      </c>
      <c r="AD18" s="100">
        <v>11.6</v>
      </c>
      <c r="AE18" s="100">
        <v>15.1</v>
      </c>
      <c r="AF18" s="100">
        <v>13.6</v>
      </c>
      <c r="AG18" s="99">
        <v>341.5</v>
      </c>
      <c r="AH18" s="99">
        <v>359.25</v>
      </c>
      <c r="AI18" s="104">
        <v>363.66666666666669</v>
      </c>
      <c r="AJ18" s="104">
        <v>437.08333333333331</v>
      </c>
      <c r="AK18" s="105">
        <v>472.58333333333331</v>
      </c>
      <c r="AL18" s="106">
        <v>7547</v>
      </c>
      <c r="AM18" s="106">
        <v>27</v>
      </c>
      <c r="AN18" s="106">
        <v>719</v>
      </c>
      <c r="AO18" s="106">
        <v>28</v>
      </c>
      <c r="AP18" s="106">
        <v>0</v>
      </c>
      <c r="AQ18" s="106">
        <v>93</v>
      </c>
      <c r="AR18" s="106">
        <v>7579</v>
      </c>
      <c r="AS18" s="106">
        <v>30</v>
      </c>
      <c r="AT18" s="106">
        <v>782</v>
      </c>
      <c r="AU18" s="106">
        <v>22</v>
      </c>
      <c r="AV18" s="106">
        <v>265</v>
      </c>
      <c r="AW18" s="106">
        <v>120</v>
      </c>
      <c r="AX18" s="107">
        <v>22486</v>
      </c>
      <c r="AY18" s="107">
        <v>23559</v>
      </c>
      <c r="AZ18" s="107">
        <v>24859</v>
      </c>
      <c r="BA18" s="107">
        <v>27228</v>
      </c>
      <c r="BB18" s="107">
        <v>28738</v>
      </c>
      <c r="BC18" s="107">
        <v>35777</v>
      </c>
      <c r="BD18" s="107">
        <v>35446</v>
      </c>
      <c r="BE18" s="107">
        <v>34503</v>
      </c>
      <c r="BF18" s="108">
        <v>38099</v>
      </c>
      <c r="BG18" s="108">
        <v>37993</v>
      </c>
      <c r="BH18" s="100">
        <v>15.8</v>
      </c>
      <c r="BI18" s="100">
        <v>16.7</v>
      </c>
      <c r="BJ18" s="100">
        <v>16.399999999999999</v>
      </c>
      <c r="BK18" s="100">
        <v>14.3</v>
      </c>
      <c r="BL18" s="100">
        <v>16.600000000000001</v>
      </c>
      <c r="BM18" s="100">
        <v>22.2</v>
      </c>
      <c r="BN18" s="109">
        <v>23.9</v>
      </c>
      <c r="BO18" s="109">
        <v>24.4</v>
      </c>
      <c r="BP18" s="109">
        <v>23</v>
      </c>
      <c r="BQ18" s="100">
        <v>25.5</v>
      </c>
      <c r="BR18" s="106">
        <v>1513</v>
      </c>
      <c r="BS18" s="118">
        <v>1471</v>
      </c>
      <c r="BT18" s="118">
        <v>1481</v>
      </c>
      <c r="BU18" s="110">
        <v>1500</v>
      </c>
      <c r="BV18" s="100">
        <v>50.495703899537347</v>
      </c>
      <c r="BW18" s="100">
        <v>48.810333106730113</v>
      </c>
      <c r="BX18" s="100">
        <v>48.00810263335584</v>
      </c>
      <c r="BY18" s="103">
        <v>52.333333333333336</v>
      </c>
      <c r="BZ18" s="100">
        <v>0.13218770654329146</v>
      </c>
      <c r="CA18" s="100">
        <v>0.13596193065941536</v>
      </c>
      <c r="CB18" s="100">
        <v>0</v>
      </c>
      <c r="CC18" s="103">
        <v>0</v>
      </c>
      <c r="CD18" s="100">
        <v>16.39127561136814</v>
      </c>
      <c r="CE18" s="100">
        <v>17.743031951053705</v>
      </c>
      <c r="CF18" s="100">
        <v>17.555705604321403</v>
      </c>
      <c r="CG18" s="103">
        <v>17.933333333333334</v>
      </c>
      <c r="CH18" s="100">
        <v>90.090090090090087</v>
      </c>
      <c r="CI18" s="105">
        <v>80.77</v>
      </c>
      <c r="CJ18" s="111">
        <v>79.59</v>
      </c>
      <c r="CK18" s="111">
        <v>82.03125</v>
      </c>
      <c r="CL18" s="112">
        <v>506</v>
      </c>
      <c r="CM18" s="112">
        <v>462</v>
      </c>
      <c r="CN18" s="112">
        <v>583</v>
      </c>
      <c r="CO18" s="112">
        <v>584</v>
      </c>
      <c r="CP18" s="112"/>
      <c r="CQ18" s="113">
        <v>12.24558940974323</v>
      </c>
      <c r="CR18" s="113">
        <v>11.184003485923164</v>
      </c>
      <c r="CS18" s="113">
        <v>13.845678865746788</v>
      </c>
      <c r="CT18" s="113">
        <v>13.947600964868286</v>
      </c>
      <c r="CU18" s="112"/>
      <c r="CV18" s="114">
        <v>4</v>
      </c>
      <c r="CW18" s="114">
        <v>6.0674157303370784</v>
      </c>
      <c r="CX18" s="114">
        <v>3.866432337434095</v>
      </c>
      <c r="CY18" s="114">
        <v>3.9285714285714284</v>
      </c>
      <c r="CZ18" s="112"/>
      <c r="DA18" s="113">
        <v>6.783369803063457</v>
      </c>
      <c r="DB18" s="113">
        <v>8.4468664850136239</v>
      </c>
      <c r="DC18" s="113">
        <v>8</v>
      </c>
      <c r="DD18" s="113">
        <v>7.249466950959488</v>
      </c>
      <c r="DE18" s="112"/>
      <c r="DF18" s="113">
        <v>70.901639344262293</v>
      </c>
      <c r="DG18" s="113">
        <v>74.672489082969435</v>
      </c>
      <c r="DH18" s="113">
        <v>75.826086956521735</v>
      </c>
      <c r="DI18" s="113">
        <v>70.331588132635247</v>
      </c>
      <c r="DJ18" s="112"/>
      <c r="DK18" s="114">
        <v>19.472616632860042</v>
      </c>
      <c r="DL18" s="114">
        <v>19.282511210762333</v>
      </c>
      <c r="DM18" s="114">
        <v>21.490467937608319</v>
      </c>
      <c r="DN18" s="114">
        <v>21.551724137931036</v>
      </c>
      <c r="DO18" s="112"/>
      <c r="DP18" s="113">
        <v>30.830039525691699</v>
      </c>
      <c r="DQ18" s="113">
        <v>35.357917570498913</v>
      </c>
      <c r="DR18" s="113">
        <v>38.250428816466552</v>
      </c>
      <c r="DS18" s="113">
        <v>40.410958904109592</v>
      </c>
      <c r="DT18" s="112"/>
      <c r="DU18" s="115">
        <v>7</v>
      </c>
      <c r="DV18" s="115">
        <v>3</v>
      </c>
      <c r="DW18" s="115">
        <v>5</v>
      </c>
      <c r="DX18" s="115">
        <v>3</v>
      </c>
      <c r="DY18" s="112"/>
      <c r="DZ18" s="116">
        <v>4.5</v>
      </c>
      <c r="EA18" s="116">
        <v>4.615384615384615</v>
      </c>
      <c r="EB18" s="116">
        <v>8.16</v>
      </c>
      <c r="EC18" s="116">
        <v>3.90625</v>
      </c>
      <c r="ED18" s="112"/>
      <c r="EE18" s="113">
        <v>83.486238532110093</v>
      </c>
      <c r="EF18" s="113">
        <v>0</v>
      </c>
      <c r="EG18" s="113">
        <v>14.678899082568808</v>
      </c>
      <c r="EH18" s="113">
        <v>0.91743119266055051</v>
      </c>
      <c r="EI18" s="113">
        <v>1.834862385321101</v>
      </c>
      <c r="EJ18" s="113">
        <v>46.616541353383461</v>
      </c>
      <c r="EK18" s="113"/>
      <c r="EL18" s="115">
        <v>525</v>
      </c>
      <c r="EM18" s="115">
        <v>556</v>
      </c>
      <c r="EN18" s="115">
        <v>518</v>
      </c>
      <c r="EO18" s="115">
        <v>430</v>
      </c>
      <c r="EP18" s="112"/>
      <c r="EQ18" s="114">
        <v>1270.5404031848213</v>
      </c>
      <c r="ER18" s="114">
        <v>1345.9536662712726</v>
      </c>
      <c r="ES18" s="114">
        <v>1230.1992542807609</v>
      </c>
      <c r="ET18" s="114">
        <v>1026.963769673521</v>
      </c>
      <c r="EU18" s="112"/>
      <c r="EV18" s="113">
        <v>853.70629194000003</v>
      </c>
      <c r="EW18" s="113">
        <v>912.13753070999996</v>
      </c>
      <c r="EX18" s="113">
        <v>852.31222538999998</v>
      </c>
      <c r="EY18" s="113">
        <v>690.88581243999897</v>
      </c>
      <c r="EZ18" s="112"/>
      <c r="FA18" s="115">
        <v>150</v>
      </c>
      <c r="FB18" s="115">
        <v>168</v>
      </c>
      <c r="FC18" s="115">
        <v>152</v>
      </c>
      <c r="FD18" s="115">
        <v>108</v>
      </c>
      <c r="FE18" s="112"/>
      <c r="FF18" s="115">
        <v>120</v>
      </c>
      <c r="FG18" s="115">
        <v>116</v>
      </c>
      <c r="FH18" s="115">
        <v>108</v>
      </c>
      <c r="FI18" s="115">
        <v>104</v>
      </c>
      <c r="FJ18" s="112"/>
      <c r="FK18" s="115">
        <v>53</v>
      </c>
      <c r="FL18" s="115">
        <v>47</v>
      </c>
      <c r="FM18" s="115">
        <v>26</v>
      </c>
      <c r="FN18" s="115">
        <v>30</v>
      </c>
      <c r="FO18" s="112"/>
      <c r="FP18" s="115">
        <v>25</v>
      </c>
      <c r="FQ18" s="115">
        <v>35</v>
      </c>
      <c r="FR18" s="115">
        <v>28</v>
      </c>
      <c r="FS18" s="115">
        <v>17</v>
      </c>
      <c r="FT18" s="112"/>
      <c r="FU18" s="113">
        <v>240.16067781000001</v>
      </c>
      <c r="FV18" s="113">
        <v>256.31778414000001</v>
      </c>
      <c r="FW18" s="113">
        <v>239.22149780999999</v>
      </c>
      <c r="FX18" s="113">
        <v>166.20643698000001</v>
      </c>
      <c r="FY18" s="112"/>
      <c r="FZ18" s="113">
        <v>206.79431642</v>
      </c>
      <c r="GA18" s="113">
        <v>201.68426883999999</v>
      </c>
      <c r="GB18" s="113">
        <v>187.20854843000001</v>
      </c>
      <c r="GC18" s="113">
        <v>177.59614764</v>
      </c>
      <c r="GD18" s="112"/>
      <c r="GE18" s="113">
        <v>70.912999189999994</v>
      </c>
      <c r="GF18" s="113">
        <v>68.805223359999999</v>
      </c>
      <c r="GG18" s="113">
        <v>42.236460450000003</v>
      </c>
      <c r="GH18" s="113">
        <v>45.603785199999997</v>
      </c>
      <c r="GI18" s="112"/>
      <c r="GJ18" s="113">
        <v>59.785839250000002</v>
      </c>
      <c r="GK18" s="113">
        <v>77.599726239999995</v>
      </c>
      <c r="GL18" s="113">
        <v>60.438133530000002</v>
      </c>
      <c r="GM18" s="113" t="s">
        <v>46</v>
      </c>
      <c r="GN18" s="112"/>
      <c r="GO18" s="113">
        <v>1054.1919727100001</v>
      </c>
      <c r="GP18" s="113">
        <v>1070.2675808199999</v>
      </c>
      <c r="GQ18" s="113">
        <v>1110.940423</v>
      </c>
      <c r="GR18" s="113">
        <v>768.34273710000002</v>
      </c>
      <c r="GS18" s="112"/>
      <c r="GT18" s="113">
        <v>665.21949193</v>
      </c>
      <c r="GU18" s="113">
        <v>763.42258178999998</v>
      </c>
      <c r="GV18" s="113">
        <v>634.20946952999998</v>
      </c>
      <c r="GW18" s="113">
        <v>623.10091284999999</v>
      </c>
      <c r="GX18" s="112"/>
      <c r="GY18" s="112"/>
      <c r="GZ18" s="112"/>
      <c r="HA18" s="112"/>
      <c r="HB18" s="112"/>
      <c r="HC18" s="112"/>
      <c r="HD18" s="115">
        <v>86</v>
      </c>
      <c r="HE18" s="115">
        <v>0</v>
      </c>
      <c r="HF18" s="115">
        <v>8</v>
      </c>
      <c r="HG18" s="115">
        <v>0</v>
      </c>
      <c r="HH18" s="115">
        <v>0</v>
      </c>
      <c r="HI18" s="114">
        <v>60.04447739065975</v>
      </c>
      <c r="HJ18" s="114">
        <v>36.316472114137483</v>
      </c>
      <c r="HK18" s="113">
        <v>39.215686274509807</v>
      </c>
      <c r="HL18" s="112">
        <v>20</v>
      </c>
      <c r="HM18" s="112">
        <v>27</v>
      </c>
      <c r="HN18" s="112">
        <v>22</v>
      </c>
      <c r="HO18" s="112">
        <v>22</v>
      </c>
      <c r="HP18" s="112"/>
      <c r="HQ18" s="112">
        <v>31</v>
      </c>
      <c r="HR18" s="112">
        <v>31</v>
      </c>
      <c r="HS18" s="112">
        <v>40</v>
      </c>
      <c r="HT18" s="112">
        <v>34</v>
      </c>
      <c r="HU18" s="117"/>
    </row>
    <row r="19" spans="1:229" x14ac:dyDescent="0.2">
      <c r="A19" s="93">
        <v>16</v>
      </c>
      <c r="B19" s="98" t="s">
        <v>83</v>
      </c>
      <c r="C19" s="99">
        <v>5329</v>
      </c>
      <c r="D19" s="99">
        <v>5398</v>
      </c>
      <c r="E19" s="99">
        <v>5437</v>
      </c>
      <c r="F19" s="99">
        <v>5472</v>
      </c>
      <c r="G19" s="99">
        <v>5176</v>
      </c>
      <c r="H19" s="99">
        <v>2515</v>
      </c>
      <c r="I19" s="99">
        <v>2528</v>
      </c>
      <c r="J19" s="99">
        <v>2578</v>
      </c>
      <c r="K19" s="99">
        <v>2583</v>
      </c>
      <c r="L19" s="99">
        <v>2494</v>
      </c>
      <c r="M19" s="100">
        <v>25.289523296525719</v>
      </c>
      <c r="N19" s="100">
        <v>25.160771704180064</v>
      </c>
      <c r="O19" s="101">
        <v>25.320855614973265</v>
      </c>
      <c r="P19" s="101">
        <v>29.476281875514122</v>
      </c>
      <c r="Q19" s="102">
        <v>30.605707629586487</v>
      </c>
      <c r="R19" s="100">
        <v>18.233234581201184</v>
      </c>
      <c r="S19" s="100">
        <v>19.480171489817792</v>
      </c>
      <c r="T19" s="100">
        <v>20.053475935828878</v>
      </c>
      <c r="U19" s="100">
        <v>20.564847820126133</v>
      </c>
      <c r="V19" s="100">
        <v>20.122306348281889</v>
      </c>
      <c r="W19" s="100">
        <v>43.522757877726903</v>
      </c>
      <c r="X19" s="100">
        <v>44.640943193997856</v>
      </c>
      <c r="Y19" s="100">
        <v>45.37433155080214</v>
      </c>
      <c r="Z19" s="100">
        <v>50.041129695640251</v>
      </c>
      <c r="AA19" s="100">
        <v>50.728013977868372</v>
      </c>
      <c r="AB19" s="100">
        <v>4.4000000000000004</v>
      </c>
      <c r="AC19" s="100">
        <v>4.9000000000000004</v>
      </c>
      <c r="AD19" s="100">
        <v>5.5</v>
      </c>
      <c r="AE19" s="100">
        <v>7.1</v>
      </c>
      <c r="AF19" s="100">
        <v>6.8</v>
      </c>
      <c r="AG19" s="99">
        <v>64.916666666666671</v>
      </c>
      <c r="AH19" s="99">
        <v>72.5</v>
      </c>
      <c r="AI19" s="104">
        <v>83.583333333333329</v>
      </c>
      <c r="AJ19" s="104">
        <v>116.83333333333333</v>
      </c>
      <c r="AK19" s="105">
        <v>138.16666666666666</v>
      </c>
      <c r="AL19" s="106">
        <v>4772</v>
      </c>
      <c r="AM19" s="106">
        <v>19</v>
      </c>
      <c r="AN19" s="106">
        <v>422</v>
      </c>
      <c r="AO19" s="106">
        <v>22</v>
      </c>
      <c r="AP19" s="106">
        <v>0</v>
      </c>
      <c r="AQ19" s="106">
        <v>93</v>
      </c>
      <c r="AR19" s="106">
        <v>4559</v>
      </c>
      <c r="AS19" s="106">
        <v>17</v>
      </c>
      <c r="AT19" s="106">
        <v>446</v>
      </c>
      <c r="AU19" s="106">
        <v>30</v>
      </c>
      <c r="AV19" s="106">
        <v>111</v>
      </c>
      <c r="AW19" s="106">
        <v>58</v>
      </c>
      <c r="AX19" s="107">
        <v>32312</v>
      </c>
      <c r="AY19" s="107">
        <v>32732</v>
      </c>
      <c r="AZ19" s="107">
        <v>32471</v>
      </c>
      <c r="BA19" s="107">
        <v>34813</v>
      </c>
      <c r="BB19" s="107">
        <v>35726</v>
      </c>
      <c r="BC19" s="107">
        <v>39934</v>
      </c>
      <c r="BD19" s="107">
        <v>42768</v>
      </c>
      <c r="BE19" s="107">
        <v>44159</v>
      </c>
      <c r="BF19" s="108">
        <v>46406</v>
      </c>
      <c r="BG19" s="108">
        <v>44927</v>
      </c>
      <c r="BH19" s="100">
        <v>9.3000000000000007</v>
      </c>
      <c r="BI19" s="100">
        <v>9.6</v>
      </c>
      <c r="BJ19" s="100">
        <v>8.4</v>
      </c>
      <c r="BK19" s="100">
        <v>9.1</v>
      </c>
      <c r="BL19" s="100">
        <v>10.1</v>
      </c>
      <c r="BM19" s="100">
        <v>12.3</v>
      </c>
      <c r="BN19" s="109">
        <v>12.1</v>
      </c>
      <c r="BO19" s="109">
        <v>12.1</v>
      </c>
      <c r="BP19" s="109">
        <v>12.9</v>
      </c>
      <c r="BQ19" s="100">
        <v>15.2</v>
      </c>
      <c r="BR19" s="106">
        <v>671</v>
      </c>
      <c r="BS19" s="118">
        <v>642</v>
      </c>
      <c r="BT19" s="118">
        <v>632</v>
      </c>
      <c r="BU19" s="110">
        <v>611</v>
      </c>
      <c r="BV19" s="100">
        <v>33.97913561847988</v>
      </c>
      <c r="BW19" s="100">
        <v>37.383177570093459</v>
      </c>
      <c r="BX19" s="100">
        <v>35.601265822784811</v>
      </c>
      <c r="BY19" s="103">
        <v>39.279869067103107</v>
      </c>
      <c r="BZ19" s="100">
        <v>0.5961251862891207</v>
      </c>
      <c r="CA19" s="100">
        <v>0.46728971962616817</v>
      </c>
      <c r="CB19" s="100">
        <v>0</v>
      </c>
      <c r="CC19" s="103">
        <v>0</v>
      </c>
      <c r="CD19" s="100">
        <v>13.710879284649776</v>
      </c>
      <c r="CE19" s="100">
        <v>15.887850467289718</v>
      </c>
      <c r="CF19" s="100">
        <v>15.031645569620252</v>
      </c>
      <c r="CG19" s="103">
        <v>16.366612111292962</v>
      </c>
      <c r="CH19" s="100">
        <v>93.333333333333329</v>
      </c>
      <c r="CI19" s="105">
        <v>83.33</v>
      </c>
      <c r="CJ19" s="111">
        <v>90.77</v>
      </c>
      <c r="CK19" s="111">
        <v>77.192982456140356</v>
      </c>
      <c r="CL19" s="112">
        <v>258</v>
      </c>
      <c r="CM19" s="112">
        <v>225</v>
      </c>
      <c r="CN19" s="112">
        <v>210</v>
      </c>
      <c r="CO19" s="112">
        <v>234</v>
      </c>
      <c r="CP19" s="112"/>
      <c r="CQ19" s="113">
        <v>12.12519973681737</v>
      </c>
      <c r="CR19" s="113">
        <v>9.3129139072847682</v>
      </c>
      <c r="CS19" s="113">
        <v>7.9793297363021507</v>
      </c>
      <c r="CT19" s="113">
        <v>8.7274354766522446</v>
      </c>
      <c r="CU19" s="112"/>
      <c r="CV19" s="114">
        <v>3.9682539682539684</v>
      </c>
      <c r="CW19" s="114">
        <v>3.6866359447004609</v>
      </c>
      <c r="CX19" s="114">
        <v>3.4482758620689653</v>
      </c>
      <c r="CY19" s="114">
        <v>2.7027027027027026</v>
      </c>
      <c r="CZ19" s="112"/>
      <c r="DA19" s="113">
        <v>8.1447963800904972</v>
      </c>
      <c r="DB19" s="113">
        <v>8.0952380952380949</v>
      </c>
      <c r="DC19" s="113">
        <v>7.5757575757575761</v>
      </c>
      <c r="DD19" s="113">
        <v>7.6923076923076925</v>
      </c>
      <c r="DE19" s="112"/>
      <c r="DF19" s="113">
        <v>80.321285140562253</v>
      </c>
      <c r="DG19" s="113">
        <v>76.018099547511312</v>
      </c>
      <c r="DH19" s="113">
        <v>79.904306220095691</v>
      </c>
      <c r="DI19" s="113">
        <v>80.275229357798167</v>
      </c>
      <c r="DJ19" s="112"/>
      <c r="DK19" s="114">
        <v>19.087136929460581</v>
      </c>
      <c r="DL19" s="114">
        <v>22.624434389140273</v>
      </c>
      <c r="DM19" s="114">
        <v>18.095238095238095</v>
      </c>
      <c r="DN19" s="114">
        <v>19.911504424778762</v>
      </c>
      <c r="DO19" s="112"/>
      <c r="DP19" s="113">
        <v>30.620155038759691</v>
      </c>
      <c r="DQ19" s="113">
        <v>32</v>
      </c>
      <c r="DR19" s="113">
        <v>29.047619047619047</v>
      </c>
      <c r="DS19" s="113">
        <v>35.042735042735046</v>
      </c>
      <c r="DT19" s="112"/>
      <c r="DU19" s="115">
        <v>1</v>
      </c>
      <c r="DV19" s="115">
        <v>2</v>
      </c>
      <c r="DW19" s="115">
        <v>2</v>
      </c>
      <c r="DX19" s="115">
        <v>2</v>
      </c>
      <c r="DY19" s="112"/>
      <c r="DZ19" s="116" t="s">
        <v>217</v>
      </c>
      <c r="EA19" s="116">
        <v>3.7037037037037037</v>
      </c>
      <c r="EB19" s="116">
        <v>1.54</v>
      </c>
      <c r="EC19" s="116">
        <v>8.7719298245614041</v>
      </c>
      <c r="ED19" s="112"/>
      <c r="EE19" s="113">
        <v>74.285714285714292</v>
      </c>
      <c r="EF19" s="113">
        <v>5.7142857142857144</v>
      </c>
      <c r="EG19" s="113">
        <v>17.142857142857142</v>
      </c>
      <c r="EH19" s="113">
        <v>0</v>
      </c>
      <c r="EI19" s="113">
        <v>2.8571428571428572</v>
      </c>
      <c r="EJ19" s="113" t="s">
        <v>46</v>
      </c>
      <c r="EK19" s="113"/>
      <c r="EL19" s="115">
        <v>190</v>
      </c>
      <c r="EM19" s="115">
        <v>209</v>
      </c>
      <c r="EN19" s="115">
        <v>210</v>
      </c>
      <c r="EO19" s="115">
        <v>245</v>
      </c>
      <c r="EP19" s="112"/>
      <c r="EQ19" s="114">
        <v>892.94106588965133</v>
      </c>
      <c r="ER19" s="114">
        <v>865.06622516556297</v>
      </c>
      <c r="ES19" s="114">
        <v>797.93297363021509</v>
      </c>
      <c r="ET19" s="114">
        <v>913.76995375205126</v>
      </c>
      <c r="EU19" s="112"/>
      <c r="EV19" s="113">
        <v>780.48883934000003</v>
      </c>
      <c r="EW19" s="113">
        <v>711.61736119</v>
      </c>
      <c r="EX19" s="113">
        <v>562.11737342000004</v>
      </c>
      <c r="EY19" s="113">
        <v>629.89677358999995</v>
      </c>
      <c r="EZ19" s="112"/>
      <c r="FA19" s="115">
        <v>50</v>
      </c>
      <c r="FB19" s="115">
        <v>44</v>
      </c>
      <c r="FC19" s="115">
        <v>47</v>
      </c>
      <c r="FD19" s="115">
        <v>60</v>
      </c>
      <c r="FE19" s="112"/>
      <c r="FF19" s="115">
        <v>48</v>
      </c>
      <c r="FG19" s="115">
        <v>45</v>
      </c>
      <c r="FH19" s="115">
        <v>55</v>
      </c>
      <c r="FI19" s="115">
        <v>70</v>
      </c>
      <c r="FJ19" s="112"/>
      <c r="FK19" s="115">
        <v>14</v>
      </c>
      <c r="FL19" s="115">
        <v>19</v>
      </c>
      <c r="FM19" s="115">
        <v>10</v>
      </c>
      <c r="FN19" s="115">
        <v>15</v>
      </c>
      <c r="FO19" s="112"/>
      <c r="FP19" s="115">
        <v>11</v>
      </c>
      <c r="FQ19" s="115">
        <v>14</v>
      </c>
      <c r="FR19" s="115">
        <v>12</v>
      </c>
      <c r="FS19" s="115">
        <v>11</v>
      </c>
      <c r="FT19" s="112"/>
      <c r="FU19" s="113">
        <v>198.23856284999999</v>
      </c>
      <c r="FV19" s="113">
        <v>147.20660986999999</v>
      </c>
      <c r="FW19" s="113">
        <v>126.52204952</v>
      </c>
      <c r="FX19" s="113">
        <v>152.11720163999999</v>
      </c>
      <c r="FY19" s="112"/>
      <c r="FZ19" s="113">
        <v>196.47276063999999</v>
      </c>
      <c r="GA19" s="113">
        <v>147.42327549999999</v>
      </c>
      <c r="GB19" s="113">
        <v>147.62433293999999</v>
      </c>
      <c r="GC19" s="113">
        <v>178.72127655</v>
      </c>
      <c r="GD19" s="112"/>
      <c r="GE19" s="113" t="s">
        <v>46</v>
      </c>
      <c r="GF19" s="113" t="s">
        <v>46</v>
      </c>
      <c r="GG19" s="113" t="s">
        <v>46</v>
      </c>
      <c r="GH19" s="113" t="s">
        <v>46</v>
      </c>
      <c r="GI19" s="112"/>
      <c r="GJ19" s="113" t="s">
        <v>46</v>
      </c>
      <c r="GK19" s="113" t="s">
        <v>46</v>
      </c>
      <c r="GL19" s="113" t="s">
        <v>46</v>
      </c>
      <c r="GM19" s="113" t="s">
        <v>46</v>
      </c>
      <c r="GN19" s="112"/>
      <c r="GO19" s="113">
        <v>804.20651685999997</v>
      </c>
      <c r="GP19" s="113">
        <v>841.78921485000001</v>
      </c>
      <c r="GQ19" s="113">
        <v>741.16101424999999</v>
      </c>
      <c r="GR19" s="113">
        <v>759.96155683999996</v>
      </c>
      <c r="GS19" s="112"/>
      <c r="GT19" s="113">
        <v>749.63563996000005</v>
      </c>
      <c r="GU19" s="113">
        <v>578.87145003000001</v>
      </c>
      <c r="GV19" s="113">
        <v>403.04194326999999</v>
      </c>
      <c r="GW19" s="113">
        <v>521.03191624999999</v>
      </c>
      <c r="GX19" s="112"/>
      <c r="GY19" s="112"/>
      <c r="GZ19" s="112"/>
      <c r="HA19" s="112"/>
      <c r="HB19" s="112"/>
      <c r="HC19" s="112"/>
      <c r="HD19" s="115">
        <v>35</v>
      </c>
      <c r="HE19" s="115">
        <v>1</v>
      </c>
      <c r="HF19" s="115">
        <v>3</v>
      </c>
      <c r="HG19" s="115">
        <v>0</v>
      </c>
      <c r="HH19" s="115">
        <v>0</v>
      </c>
      <c r="HI19" s="114" t="s">
        <v>46</v>
      </c>
      <c r="HJ19" s="114" t="s">
        <v>46</v>
      </c>
      <c r="HK19" s="113" t="s">
        <v>46</v>
      </c>
      <c r="HL19" s="112">
        <v>10</v>
      </c>
      <c r="HM19" s="112">
        <v>8</v>
      </c>
      <c r="HN19" s="112">
        <v>7</v>
      </c>
      <c r="HO19" s="112">
        <v>6</v>
      </c>
      <c r="HP19" s="112"/>
      <c r="HQ19" s="112">
        <v>18</v>
      </c>
      <c r="HR19" s="112">
        <v>17</v>
      </c>
      <c r="HS19" s="112">
        <v>15</v>
      </c>
      <c r="HT19" s="112">
        <v>16</v>
      </c>
      <c r="HU19" s="117"/>
    </row>
    <row r="20" spans="1:229" ht="21" customHeight="1" x14ac:dyDescent="0.2">
      <c r="A20" s="93">
        <v>17</v>
      </c>
      <c r="B20" s="98" t="s">
        <v>84</v>
      </c>
      <c r="C20" s="99">
        <v>11659</v>
      </c>
      <c r="D20" s="99">
        <v>11349</v>
      </c>
      <c r="E20" s="99">
        <v>11283</v>
      </c>
      <c r="F20" s="99">
        <v>11116</v>
      </c>
      <c r="G20" s="99">
        <v>11687</v>
      </c>
      <c r="H20" s="99">
        <v>4886</v>
      </c>
      <c r="I20" s="99">
        <v>4869</v>
      </c>
      <c r="J20" s="99">
        <v>4784</v>
      </c>
      <c r="K20" s="99">
        <v>4757</v>
      </c>
      <c r="L20" s="99">
        <v>4857</v>
      </c>
      <c r="M20" s="100">
        <v>34.292224437482197</v>
      </c>
      <c r="N20" s="100">
        <v>33.973240255962764</v>
      </c>
      <c r="O20" s="101">
        <v>33.216834134265326</v>
      </c>
      <c r="P20" s="101">
        <v>31.994645247657296</v>
      </c>
      <c r="Q20" s="102">
        <v>35.810128408599049</v>
      </c>
      <c r="R20" s="100">
        <v>31.743093135858729</v>
      </c>
      <c r="S20" s="100">
        <v>31.079115764979637</v>
      </c>
      <c r="T20" s="100">
        <v>31.090723751274208</v>
      </c>
      <c r="U20" s="100">
        <v>33.3482076453964</v>
      </c>
      <c r="V20" s="100">
        <v>32.809118453325638</v>
      </c>
      <c r="W20" s="100">
        <v>66.035317573340919</v>
      </c>
      <c r="X20" s="100">
        <v>65.052356020942398</v>
      </c>
      <c r="Y20" s="100">
        <v>64.307557885539538</v>
      </c>
      <c r="Z20" s="100">
        <v>65.342852893053703</v>
      </c>
      <c r="AA20" s="100">
        <v>68.61924686192468</v>
      </c>
      <c r="AB20" s="100">
        <v>4.5</v>
      </c>
      <c r="AC20" s="100">
        <v>4.0999999999999996</v>
      </c>
      <c r="AD20" s="100">
        <v>5.3</v>
      </c>
      <c r="AE20" s="100">
        <v>6.5</v>
      </c>
      <c r="AF20" s="100">
        <v>5.9</v>
      </c>
      <c r="AG20" s="99">
        <v>264.33333333333331</v>
      </c>
      <c r="AH20" s="99">
        <v>268.41666666666669</v>
      </c>
      <c r="AI20" s="104">
        <v>277.41666666666669</v>
      </c>
      <c r="AJ20" s="104">
        <v>322.58333333333331</v>
      </c>
      <c r="AK20" s="105">
        <v>393.5</v>
      </c>
      <c r="AL20" s="106">
        <v>11133</v>
      </c>
      <c r="AM20" s="106">
        <v>112</v>
      </c>
      <c r="AN20" s="106">
        <v>43</v>
      </c>
      <c r="AO20" s="106">
        <v>292</v>
      </c>
      <c r="AP20" s="106">
        <v>0</v>
      </c>
      <c r="AQ20" s="106">
        <v>451</v>
      </c>
      <c r="AR20" s="106">
        <v>10773</v>
      </c>
      <c r="AS20" s="106">
        <v>87</v>
      </c>
      <c r="AT20" s="106">
        <v>27</v>
      </c>
      <c r="AU20" s="106">
        <v>334</v>
      </c>
      <c r="AV20" s="106">
        <v>148</v>
      </c>
      <c r="AW20" s="106">
        <v>720</v>
      </c>
      <c r="AX20" s="107">
        <v>30937</v>
      </c>
      <c r="AY20" s="107">
        <v>31629</v>
      </c>
      <c r="AZ20" s="107">
        <v>34450</v>
      </c>
      <c r="BA20" s="107">
        <v>37415</v>
      </c>
      <c r="BB20" s="107">
        <v>38048</v>
      </c>
      <c r="BC20" s="107">
        <v>40180</v>
      </c>
      <c r="BD20" s="107">
        <v>36638</v>
      </c>
      <c r="BE20" s="107">
        <v>40476</v>
      </c>
      <c r="BF20" s="108">
        <v>40366</v>
      </c>
      <c r="BG20" s="108">
        <v>40708</v>
      </c>
      <c r="BH20" s="100">
        <v>10.4</v>
      </c>
      <c r="BI20" s="100">
        <v>12.4</v>
      </c>
      <c r="BJ20" s="100">
        <v>10.7</v>
      </c>
      <c r="BK20" s="100">
        <v>11.9</v>
      </c>
      <c r="BL20" s="100">
        <v>10.199999999999999</v>
      </c>
      <c r="BM20" s="100">
        <v>15.1</v>
      </c>
      <c r="BN20" s="109">
        <v>15.7</v>
      </c>
      <c r="BO20" s="109">
        <v>16</v>
      </c>
      <c r="BP20" s="109">
        <v>15.8</v>
      </c>
      <c r="BQ20" s="100">
        <v>15</v>
      </c>
      <c r="BR20" s="106">
        <v>2506</v>
      </c>
      <c r="BS20" s="118">
        <v>2424</v>
      </c>
      <c r="BT20" s="118">
        <v>2385</v>
      </c>
      <c r="BU20" s="110">
        <v>2362</v>
      </c>
      <c r="BV20" s="100">
        <v>42.97685554668795</v>
      </c>
      <c r="BW20" s="100">
        <v>42.863036303630366</v>
      </c>
      <c r="BX20" s="100">
        <v>45.283018867924532</v>
      </c>
      <c r="BY20" s="103">
        <v>46.020321761219307</v>
      </c>
      <c r="BZ20" s="100">
        <v>8.4996009577015172</v>
      </c>
      <c r="CA20" s="100">
        <v>9.2409240924092408</v>
      </c>
      <c r="CB20" s="100">
        <v>9.433962264150944</v>
      </c>
      <c r="CC20" s="103">
        <v>9.864521591871295</v>
      </c>
      <c r="CD20" s="100">
        <v>16.799680766161213</v>
      </c>
      <c r="CE20" s="100">
        <v>17.120462046204622</v>
      </c>
      <c r="CF20" s="100">
        <v>17.442348008385743</v>
      </c>
      <c r="CG20" s="103">
        <v>18.120237087214225</v>
      </c>
      <c r="CH20" s="100">
        <v>81.481481481481481</v>
      </c>
      <c r="CI20" s="105">
        <v>81.41</v>
      </c>
      <c r="CJ20" s="111">
        <v>80.39</v>
      </c>
      <c r="CK20" s="111">
        <v>82.741116751269033</v>
      </c>
      <c r="CL20" s="112">
        <v>712</v>
      </c>
      <c r="CM20" s="112">
        <v>683</v>
      </c>
      <c r="CN20" s="112">
        <v>699</v>
      </c>
      <c r="CO20" s="112">
        <v>687</v>
      </c>
      <c r="CP20" s="112"/>
      <c r="CQ20" s="113">
        <v>11.418124669243229</v>
      </c>
      <c r="CR20" s="113">
        <v>11.252430063593529</v>
      </c>
      <c r="CS20" s="113">
        <v>11.663412924863593</v>
      </c>
      <c r="CT20" s="113">
        <v>12.032788033768872</v>
      </c>
      <c r="CU20" s="112"/>
      <c r="CV20" s="114">
        <v>3.4285714285714284</v>
      </c>
      <c r="CW20" s="114">
        <v>4.4072948328267474</v>
      </c>
      <c r="CX20" s="114">
        <v>5.3019145802650955</v>
      </c>
      <c r="CY20" s="114">
        <v>4.8411497730711046</v>
      </c>
      <c r="CZ20" s="112"/>
      <c r="DA20" s="113">
        <v>8.8280060882800608</v>
      </c>
      <c r="DB20" s="113">
        <v>7.0202808112324497</v>
      </c>
      <c r="DC20" s="113">
        <v>9.5238095238095237</v>
      </c>
      <c r="DD20" s="113">
        <v>8.598726114649681</v>
      </c>
      <c r="DE20" s="112"/>
      <c r="DF20" s="113">
        <v>77.056277056277054</v>
      </c>
      <c r="DG20" s="113">
        <v>84.066767830045521</v>
      </c>
      <c r="DH20" s="113">
        <v>89.420289855072468</v>
      </c>
      <c r="DI20" s="113">
        <v>85.97014925373135</v>
      </c>
      <c r="DJ20" s="112"/>
      <c r="DK20" s="114">
        <v>13.294797687861271</v>
      </c>
      <c r="DL20" s="114">
        <v>12.965722801788376</v>
      </c>
      <c r="DM20" s="114">
        <v>13.936781609195402</v>
      </c>
      <c r="DN20" s="114">
        <v>13.39155749636099</v>
      </c>
      <c r="DO20" s="112"/>
      <c r="DP20" s="113">
        <v>20.084269662921347</v>
      </c>
      <c r="DQ20" s="113">
        <v>25.036603221083457</v>
      </c>
      <c r="DR20" s="113">
        <v>27.038626609442058</v>
      </c>
      <c r="DS20" s="113">
        <v>35.807860262008731</v>
      </c>
      <c r="DT20" s="112"/>
      <c r="DU20" s="115">
        <v>8</v>
      </c>
      <c r="DV20" s="115">
        <v>4</v>
      </c>
      <c r="DW20" s="115">
        <v>2</v>
      </c>
      <c r="DX20" s="115">
        <v>4</v>
      </c>
      <c r="DY20" s="112"/>
      <c r="DZ20" s="116">
        <v>3.7</v>
      </c>
      <c r="EA20" s="116">
        <v>1.5075376884422111</v>
      </c>
      <c r="EB20" s="116">
        <v>4.41</v>
      </c>
      <c r="EC20" s="116">
        <v>5.0761421319796955</v>
      </c>
      <c r="ED20" s="112"/>
      <c r="EE20" s="113">
        <v>79.577464788732399</v>
      </c>
      <c r="EF20" s="113">
        <v>1.408450704225352</v>
      </c>
      <c r="EG20" s="113">
        <v>0.70422535211267601</v>
      </c>
      <c r="EH20" s="113">
        <v>4.225352112676056</v>
      </c>
      <c r="EI20" s="113">
        <v>17.6056338028169</v>
      </c>
      <c r="EJ20" s="113">
        <v>33.519553072625698</v>
      </c>
      <c r="EK20" s="113"/>
      <c r="EL20" s="115">
        <v>782</v>
      </c>
      <c r="EM20" s="115">
        <v>823</v>
      </c>
      <c r="EN20" s="115">
        <v>761</v>
      </c>
      <c r="EO20" s="115">
        <v>785</v>
      </c>
      <c r="EP20" s="112"/>
      <c r="EQ20" s="114">
        <v>1254.0693105826131</v>
      </c>
      <c r="ER20" s="114">
        <v>1355.8931101518995</v>
      </c>
      <c r="ES20" s="114">
        <v>1269.7935959686974</v>
      </c>
      <c r="ET20" s="114">
        <v>1374.9255613549585</v>
      </c>
      <c r="EU20" s="112"/>
      <c r="EV20" s="113">
        <v>717.1721268</v>
      </c>
      <c r="EW20" s="113">
        <v>740.83454124000002</v>
      </c>
      <c r="EX20" s="113">
        <v>665.58343982999997</v>
      </c>
      <c r="EY20" s="113">
        <v>721.85189724999998</v>
      </c>
      <c r="EZ20" s="112"/>
      <c r="FA20" s="115">
        <v>302</v>
      </c>
      <c r="FB20" s="115">
        <v>277</v>
      </c>
      <c r="FC20" s="115">
        <v>224</v>
      </c>
      <c r="FD20" s="115">
        <v>221</v>
      </c>
      <c r="FE20" s="112"/>
      <c r="FF20" s="115">
        <v>157</v>
      </c>
      <c r="FG20" s="115">
        <v>184</v>
      </c>
      <c r="FH20" s="115">
        <v>155</v>
      </c>
      <c r="FI20" s="115">
        <v>175</v>
      </c>
      <c r="FJ20" s="112"/>
      <c r="FK20" s="115">
        <v>69</v>
      </c>
      <c r="FL20" s="115">
        <v>74</v>
      </c>
      <c r="FM20" s="115">
        <v>54</v>
      </c>
      <c r="FN20" s="115">
        <v>46</v>
      </c>
      <c r="FO20" s="112"/>
      <c r="FP20" s="115">
        <v>25</v>
      </c>
      <c r="FQ20" s="115">
        <v>36</v>
      </c>
      <c r="FR20" s="115">
        <v>31</v>
      </c>
      <c r="FS20" s="115">
        <v>23</v>
      </c>
      <c r="FT20" s="112"/>
      <c r="FU20" s="113">
        <v>249.75201562999999</v>
      </c>
      <c r="FV20" s="113">
        <v>224.86455676</v>
      </c>
      <c r="FW20" s="113">
        <v>175.67654254999999</v>
      </c>
      <c r="FX20" s="113">
        <v>178.24541607</v>
      </c>
      <c r="FY20" s="112"/>
      <c r="FZ20" s="113">
        <v>163.47924168</v>
      </c>
      <c r="GA20" s="113">
        <v>184.13995527</v>
      </c>
      <c r="GB20" s="113">
        <v>161.41604877</v>
      </c>
      <c r="GC20" s="113">
        <v>187.83904969</v>
      </c>
      <c r="GD20" s="112"/>
      <c r="GE20" s="113">
        <v>55.12238859</v>
      </c>
      <c r="GF20" s="113">
        <v>56.867514030000002</v>
      </c>
      <c r="GG20" s="113">
        <v>42.387690460000002</v>
      </c>
      <c r="GH20" s="113">
        <v>36.527438889999999</v>
      </c>
      <c r="GI20" s="112"/>
      <c r="GJ20" s="113">
        <v>39.913751189999999</v>
      </c>
      <c r="GK20" s="113">
        <v>46.089417249999997</v>
      </c>
      <c r="GL20" s="113">
        <v>41.038715789999998</v>
      </c>
      <c r="GM20" s="113">
        <v>28.014389959999999</v>
      </c>
      <c r="GN20" s="112"/>
      <c r="GO20" s="113">
        <v>904.91102980000005</v>
      </c>
      <c r="GP20" s="113">
        <v>950.23135728</v>
      </c>
      <c r="GQ20" s="113">
        <v>766.79771301000005</v>
      </c>
      <c r="GR20" s="113">
        <v>882.44568179999999</v>
      </c>
      <c r="GS20" s="112"/>
      <c r="GT20" s="113">
        <v>573.29505343999995</v>
      </c>
      <c r="GU20" s="113">
        <v>588.90003116000003</v>
      </c>
      <c r="GV20" s="113">
        <v>578.91815781000003</v>
      </c>
      <c r="GW20" s="113">
        <v>593.48030071000005</v>
      </c>
      <c r="GX20" s="112"/>
      <c r="GY20" s="112"/>
      <c r="GZ20" s="112"/>
      <c r="HA20" s="112"/>
      <c r="HB20" s="112"/>
      <c r="HC20" s="112"/>
      <c r="HD20" s="115">
        <v>145</v>
      </c>
      <c r="HE20" s="115">
        <v>0</v>
      </c>
      <c r="HF20" s="115">
        <v>0</v>
      </c>
      <c r="HG20" s="115">
        <v>0</v>
      </c>
      <c r="HH20" s="115">
        <v>1</v>
      </c>
      <c r="HI20" s="114">
        <v>37.772397094430993</v>
      </c>
      <c r="HJ20" s="114">
        <v>31.123139377537214</v>
      </c>
      <c r="HK20" s="113">
        <v>26.082906380996739</v>
      </c>
      <c r="HL20" s="112">
        <v>24</v>
      </c>
      <c r="HM20" s="112">
        <v>29</v>
      </c>
      <c r="HN20" s="112">
        <v>36</v>
      </c>
      <c r="HO20" s="112">
        <v>32</v>
      </c>
      <c r="HP20" s="112"/>
      <c r="HQ20" s="112">
        <v>58</v>
      </c>
      <c r="HR20" s="112">
        <v>45</v>
      </c>
      <c r="HS20" s="112">
        <v>62</v>
      </c>
      <c r="HT20" s="112">
        <v>54</v>
      </c>
      <c r="HU20" s="117"/>
    </row>
    <row r="21" spans="1:229" x14ac:dyDescent="0.2">
      <c r="A21" s="93">
        <v>18</v>
      </c>
      <c r="B21" s="98" t="s">
        <v>85</v>
      </c>
      <c r="C21" s="99">
        <v>61009</v>
      </c>
      <c r="D21" s="99">
        <v>61648</v>
      </c>
      <c r="E21" s="99">
        <v>62172</v>
      </c>
      <c r="F21" s="99">
        <v>62723</v>
      </c>
      <c r="G21" s="99">
        <v>62500</v>
      </c>
      <c r="H21" s="99">
        <v>25271</v>
      </c>
      <c r="I21" s="99">
        <v>25563</v>
      </c>
      <c r="J21" s="99">
        <v>26053</v>
      </c>
      <c r="K21" s="99">
        <v>26423</v>
      </c>
      <c r="L21" s="99">
        <v>26033</v>
      </c>
      <c r="M21" s="100">
        <v>26.653839337704753</v>
      </c>
      <c r="N21" s="100">
        <v>27.458204177041516</v>
      </c>
      <c r="O21" s="101">
        <v>28.345079348983422</v>
      </c>
      <c r="P21" s="101">
        <v>29.874005305039788</v>
      </c>
      <c r="Q21" s="102">
        <v>29.663451672481017</v>
      </c>
      <c r="R21" s="100">
        <v>27.803235524949997</v>
      </c>
      <c r="S21" s="100">
        <v>29.175771126581633</v>
      </c>
      <c r="T21" s="100">
        <v>29.267859859047814</v>
      </c>
      <c r="U21" s="100">
        <v>30.100999795960007</v>
      </c>
      <c r="V21" s="100">
        <v>30.658731787399958</v>
      </c>
      <c r="W21" s="100">
        <v>54.45707486265475</v>
      </c>
      <c r="X21" s="100">
        <v>56.633975303623153</v>
      </c>
      <c r="Y21" s="100">
        <v>57.612939208031236</v>
      </c>
      <c r="Z21" s="100">
        <v>59.975005100999795</v>
      </c>
      <c r="AA21" s="100">
        <v>60.322183459880975</v>
      </c>
      <c r="AB21" s="100">
        <v>5</v>
      </c>
      <c r="AC21" s="100">
        <v>5.7</v>
      </c>
      <c r="AD21" s="100">
        <v>7</v>
      </c>
      <c r="AE21" s="100">
        <v>9.9</v>
      </c>
      <c r="AF21" s="100">
        <v>8.9</v>
      </c>
      <c r="AG21" s="99">
        <v>1315.9166666666667</v>
      </c>
      <c r="AH21" s="99">
        <v>1422.6666666666667</v>
      </c>
      <c r="AI21" s="104">
        <v>1634</v>
      </c>
      <c r="AJ21" s="104">
        <v>2144.4166666666665</v>
      </c>
      <c r="AK21" s="105">
        <v>2512.3333333333335</v>
      </c>
      <c r="AL21" s="106">
        <v>59528</v>
      </c>
      <c r="AM21" s="106">
        <v>313</v>
      </c>
      <c r="AN21" s="106">
        <v>441</v>
      </c>
      <c r="AO21" s="106">
        <v>286</v>
      </c>
      <c r="AP21" s="106">
        <v>0</v>
      </c>
      <c r="AQ21" s="106">
        <v>496</v>
      </c>
      <c r="AR21" s="106">
        <v>60368</v>
      </c>
      <c r="AS21" s="106">
        <v>313</v>
      </c>
      <c r="AT21" s="106">
        <v>526</v>
      </c>
      <c r="AU21" s="106">
        <v>248</v>
      </c>
      <c r="AV21" s="106">
        <v>908</v>
      </c>
      <c r="AW21" s="106">
        <v>652</v>
      </c>
      <c r="AX21" s="107">
        <v>27107</v>
      </c>
      <c r="AY21" s="107">
        <v>28262</v>
      </c>
      <c r="AZ21" s="107">
        <v>29358</v>
      </c>
      <c r="BA21" s="107">
        <v>30595</v>
      </c>
      <c r="BB21" s="107">
        <v>31349</v>
      </c>
      <c r="BC21" s="107">
        <v>42050</v>
      </c>
      <c r="BD21" s="107">
        <v>43393</v>
      </c>
      <c r="BE21" s="107">
        <v>42015</v>
      </c>
      <c r="BF21" s="108">
        <v>46227</v>
      </c>
      <c r="BG21" s="108">
        <v>41673</v>
      </c>
      <c r="BH21" s="100">
        <v>9.1</v>
      </c>
      <c r="BI21" s="100">
        <v>9.6</v>
      </c>
      <c r="BJ21" s="100">
        <v>9.3000000000000007</v>
      </c>
      <c r="BK21" s="100">
        <v>11.4</v>
      </c>
      <c r="BL21" s="100">
        <v>14.3</v>
      </c>
      <c r="BM21" s="100">
        <v>12.5</v>
      </c>
      <c r="BN21" s="109">
        <v>13.6</v>
      </c>
      <c r="BO21" s="109">
        <v>12.8</v>
      </c>
      <c r="BP21" s="109">
        <v>14.8</v>
      </c>
      <c r="BQ21" s="100">
        <v>18.399999999999999</v>
      </c>
      <c r="BR21" s="106">
        <v>10120</v>
      </c>
      <c r="BS21" s="118">
        <v>9753</v>
      </c>
      <c r="BT21" s="118">
        <v>9730</v>
      </c>
      <c r="BU21" s="110">
        <v>9652</v>
      </c>
      <c r="BV21" s="100">
        <v>36.808300395256914</v>
      </c>
      <c r="BW21" s="100">
        <v>39.403260535219928</v>
      </c>
      <c r="BX21" s="100">
        <v>42.415210688591984</v>
      </c>
      <c r="BY21" s="103">
        <v>43.193120596767507</v>
      </c>
      <c r="BZ21" s="100">
        <v>3.9525691699604744E-2</v>
      </c>
      <c r="CA21" s="100">
        <v>3.0759766225776686E-2</v>
      </c>
      <c r="CB21" s="100">
        <v>0</v>
      </c>
      <c r="CC21" s="103">
        <v>3.1081641110650642E-2</v>
      </c>
      <c r="CD21" s="100">
        <v>16.818181818181817</v>
      </c>
      <c r="CE21" s="100">
        <v>17.399774428381008</v>
      </c>
      <c r="CF21" s="100">
        <v>17.153134635149023</v>
      </c>
      <c r="CG21" s="103">
        <v>17.146705346042271</v>
      </c>
      <c r="CH21" s="100">
        <v>82.064650677789359</v>
      </c>
      <c r="CI21" s="105">
        <v>81.239999999999995</v>
      </c>
      <c r="CJ21" s="111">
        <v>70.84</v>
      </c>
      <c r="CK21" s="111">
        <v>82.938978829389782</v>
      </c>
      <c r="CL21" s="112">
        <v>3059</v>
      </c>
      <c r="CM21" s="112">
        <v>3163</v>
      </c>
      <c r="CN21" s="112">
        <v>3695</v>
      </c>
      <c r="CO21" s="112">
        <v>3933</v>
      </c>
      <c r="CP21" s="112"/>
      <c r="CQ21" s="113">
        <v>12.83972381372117</v>
      </c>
      <c r="CR21" s="113">
        <v>12.112879939646225</v>
      </c>
      <c r="CS21" s="113">
        <v>12.710785763919944</v>
      </c>
      <c r="CT21" s="113">
        <v>12.684968972946473</v>
      </c>
      <c r="CU21" s="112"/>
      <c r="CV21" s="114">
        <v>4.2094796155120981</v>
      </c>
      <c r="CW21" s="114">
        <v>4.3421905379131562</v>
      </c>
      <c r="CX21" s="114">
        <v>5.2749092938878039</v>
      </c>
      <c r="CY21" s="114">
        <v>4.8825065274151438</v>
      </c>
      <c r="CZ21" s="112"/>
      <c r="DA21" s="113">
        <v>7.0402802101576185</v>
      </c>
      <c r="DB21" s="113">
        <v>7.2715361939076315</v>
      </c>
      <c r="DC21" s="113">
        <v>8.6030664395229977</v>
      </c>
      <c r="DD21" s="113">
        <v>7.8636607622114871</v>
      </c>
      <c r="DE21" s="112"/>
      <c r="DF21" s="113">
        <v>79.14314181335105</v>
      </c>
      <c r="DG21" s="113">
        <v>87.743376954995213</v>
      </c>
      <c r="DH21" s="113">
        <v>86.67030865883639</v>
      </c>
      <c r="DI21" s="113">
        <v>84.276891405043742</v>
      </c>
      <c r="DJ21" s="112"/>
      <c r="DK21" s="114">
        <v>29.517055048969944</v>
      </c>
      <c r="DL21" s="114">
        <v>25.215448451962974</v>
      </c>
      <c r="DM21" s="114">
        <v>22.286026797921792</v>
      </c>
      <c r="DN21" s="114">
        <v>21.139045664443305</v>
      </c>
      <c r="DO21" s="112"/>
      <c r="DP21" s="113">
        <v>28.048381824125531</v>
      </c>
      <c r="DQ21" s="113">
        <v>29.84508378122036</v>
      </c>
      <c r="DR21" s="113">
        <v>32.782891174878181</v>
      </c>
      <c r="DS21" s="113">
        <v>37.19806763285024</v>
      </c>
      <c r="DT21" s="112"/>
      <c r="DU21" s="115">
        <v>31</v>
      </c>
      <c r="DV21" s="115">
        <v>15</v>
      </c>
      <c r="DW21" s="115">
        <v>20</v>
      </c>
      <c r="DX21" s="115">
        <v>16</v>
      </c>
      <c r="DY21" s="112"/>
      <c r="DZ21" s="116">
        <v>5.1100000000000003</v>
      </c>
      <c r="EA21" s="116">
        <v>5.3444180522565317</v>
      </c>
      <c r="EB21" s="116">
        <v>4.38</v>
      </c>
      <c r="EC21" s="116">
        <v>2.8642590286425902</v>
      </c>
      <c r="ED21" s="112"/>
      <c r="EE21" s="113">
        <v>95.538057742782158</v>
      </c>
      <c r="EF21" s="113">
        <v>1.4435695538057742</v>
      </c>
      <c r="EG21" s="113">
        <v>1.837270341207349</v>
      </c>
      <c r="EH21" s="113">
        <v>0.65616797900262469</v>
      </c>
      <c r="EI21" s="113">
        <v>1.1811023622047243</v>
      </c>
      <c r="EJ21" s="113">
        <v>35.045506852181191</v>
      </c>
      <c r="EK21" s="113"/>
      <c r="EL21" s="115">
        <v>2441</v>
      </c>
      <c r="EM21" s="115">
        <v>2468</v>
      </c>
      <c r="EN21" s="115">
        <v>2637</v>
      </c>
      <c r="EO21" s="115">
        <v>2831</v>
      </c>
      <c r="EP21" s="112"/>
      <c r="EQ21" s="114">
        <v>1024.5755419840921</v>
      </c>
      <c r="ER21" s="114">
        <v>945.13397695374283</v>
      </c>
      <c r="ES21" s="114">
        <v>907.12698401777789</v>
      </c>
      <c r="ET21" s="114">
        <v>913.07264587875579</v>
      </c>
      <c r="EU21" s="112"/>
      <c r="EV21" s="113">
        <v>825.19566022000004</v>
      </c>
      <c r="EW21" s="113">
        <v>748.97893968999995</v>
      </c>
      <c r="EX21" s="113">
        <v>691.05308231000004</v>
      </c>
      <c r="EY21" s="113">
        <v>654.26019080000003</v>
      </c>
      <c r="EZ21" s="112"/>
      <c r="FA21" s="115">
        <v>786</v>
      </c>
      <c r="FB21" s="115">
        <v>723</v>
      </c>
      <c r="FC21" s="115">
        <v>614</v>
      </c>
      <c r="FD21" s="115">
        <v>589</v>
      </c>
      <c r="FE21" s="112"/>
      <c r="FF21" s="115">
        <v>594</v>
      </c>
      <c r="FG21" s="115">
        <v>613</v>
      </c>
      <c r="FH21" s="115">
        <v>662</v>
      </c>
      <c r="FI21" s="115">
        <v>767</v>
      </c>
      <c r="FJ21" s="112"/>
      <c r="FK21" s="115">
        <v>191</v>
      </c>
      <c r="FL21" s="115">
        <v>199</v>
      </c>
      <c r="FM21" s="115">
        <v>188</v>
      </c>
      <c r="FN21" s="115">
        <v>157</v>
      </c>
      <c r="FO21" s="112"/>
      <c r="FP21" s="115">
        <v>108</v>
      </c>
      <c r="FQ21" s="115">
        <v>123</v>
      </c>
      <c r="FR21" s="115">
        <v>164</v>
      </c>
      <c r="FS21" s="115">
        <v>145</v>
      </c>
      <c r="FT21" s="112"/>
      <c r="FU21" s="113">
        <v>261.32028491</v>
      </c>
      <c r="FV21" s="113">
        <v>215.31625984999999</v>
      </c>
      <c r="FW21" s="113">
        <v>156.57589469000001</v>
      </c>
      <c r="FX21" s="113">
        <v>131.89285038</v>
      </c>
      <c r="FY21" s="112"/>
      <c r="FZ21" s="113">
        <v>201.33485555999999</v>
      </c>
      <c r="GA21" s="113">
        <v>185.44372669000001</v>
      </c>
      <c r="GB21" s="113">
        <v>174.73885342</v>
      </c>
      <c r="GC21" s="113">
        <v>180.7271385</v>
      </c>
      <c r="GD21" s="112"/>
      <c r="GE21" s="113">
        <v>62.210906880000003</v>
      </c>
      <c r="GF21" s="113">
        <v>58.231510999999998</v>
      </c>
      <c r="GG21" s="113">
        <v>46.093963430000002</v>
      </c>
      <c r="GH21" s="113">
        <v>34.667312770000002</v>
      </c>
      <c r="GI21" s="112"/>
      <c r="GJ21" s="113">
        <v>41.537576770000001</v>
      </c>
      <c r="GK21" s="113">
        <v>43.634442909999898</v>
      </c>
      <c r="GL21" s="113">
        <v>48.780748639999999</v>
      </c>
      <c r="GM21" s="113">
        <v>37.636260540000002</v>
      </c>
      <c r="GN21" s="112"/>
      <c r="GO21" s="113">
        <v>1035.59368453</v>
      </c>
      <c r="GP21" s="113">
        <v>887.80786755999998</v>
      </c>
      <c r="GQ21" s="113">
        <v>834.80454306000001</v>
      </c>
      <c r="GR21" s="113">
        <v>771.04287653999995</v>
      </c>
      <c r="GS21" s="112"/>
      <c r="GT21" s="113">
        <v>657.80049479000002</v>
      </c>
      <c r="GU21" s="113">
        <v>638.47215079</v>
      </c>
      <c r="GV21" s="113">
        <v>577.03478318999998</v>
      </c>
      <c r="GW21" s="113">
        <v>553.05608420999897</v>
      </c>
      <c r="GX21" s="112"/>
      <c r="GY21" s="112"/>
      <c r="GZ21" s="112"/>
      <c r="HA21" s="112"/>
      <c r="HB21" s="112"/>
      <c r="HC21" s="112"/>
      <c r="HD21" s="115">
        <v>575</v>
      </c>
      <c r="HE21" s="115">
        <v>1</v>
      </c>
      <c r="HF21" s="115">
        <v>0</v>
      </c>
      <c r="HG21" s="115">
        <v>0</v>
      </c>
      <c r="HH21" s="115">
        <v>1</v>
      </c>
      <c r="HI21" s="114">
        <v>48.312883435582819</v>
      </c>
      <c r="HJ21" s="114">
        <v>38.115897118066314</v>
      </c>
      <c r="HK21" s="113">
        <v>34.74022607072488</v>
      </c>
      <c r="HL21" s="112">
        <v>127</v>
      </c>
      <c r="HM21" s="112">
        <v>134</v>
      </c>
      <c r="HN21" s="112">
        <v>189</v>
      </c>
      <c r="HO21" s="112">
        <v>187</v>
      </c>
      <c r="HP21" s="112"/>
      <c r="HQ21" s="112">
        <v>201</v>
      </c>
      <c r="HR21" s="112">
        <v>222</v>
      </c>
      <c r="HS21" s="112">
        <v>303</v>
      </c>
      <c r="HT21" s="112">
        <v>293</v>
      </c>
      <c r="HU21" s="117"/>
    </row>
    <row r="22" spans="1:229" x14ac:dyDescent="0.2">
      <c r="A22" s="93">
        <v>19</v>
      </c>
      <c r="B22" s="98" t="s">
        <v>86</v>
      </c>
      <c r="C22" s="99">
        <v>388001</v>
      </c>
      <c r="D22" s="99">
        <v>390478</v>
      </c>
      <c r="E22" s="99">
        <v>392755</v>
      </c>
      <c r="F22" s="99">
        <v>396500</v>
      </c>
      <c r="G22" s="99">
        <v>398552</v>
      </c>
      <c r="H22" s="99">
        <v>147824</v>
      </c>
      <c r="I22" s="99">
        <v>150295</v>
      </c>
      <c r="J22" s="99">
        <v>151450</v>
      </c>
      <c r="K22" s="99">
        <v>152997</v>
      </c>
      <c r="L22" s="99">
        <v>152060</v>
      </c>
      <c r="M22" s="100">
        <v>11.62982130398993</v>
      </c>
      <c r="N22" s="100">
        <v>11.951075961007909</v>
      </c>
      <c r="O22" s="101">
        <v>12.334924103456087</v>
      </c>
      <c r="P22" s="101">
        <v>12.859236740676401</v>
      </c>
      <c r="Q22" s="102">
        <v>14.631511254019292</v>
      </c>
      <c r="R22" s="100">
        <v>31.593129745632265</v>
      </c>
      <c r="S22" s="100">
        <v>31.686224020599596</v>
      </c>
      <c r="T22" s="100">
        <v>31.18335757247992</v>
      </c>
      <c r="U22" s="100">
        <v>30.636411342127644</v>
      </c>
      <c r="V22" s="100">
        <v>31.82765273311897</v>
      </c>
      <c r="W22" s="100">
        <v>43.222951049622196</v>
      </c>
      <c r="X22" s="100">
        <v>43.637299981607505</v>
      </c>
      <c r="Y22" s="100">
        <v>43.518281675936009</v>
      </c>
      <c r="Z22" s="100">
        <v>43.495648082804045</v>
      </c>
      <c r="AA22" s="100">
        <v>46.459163987138261</v>
      </c>
      <c r="AB22" s="100">
        <v>3.6</v>
      </c>
      <c r="AC22" s="100">
        <v>4</v>
      </c>
      <c r="AD22" s="100">
        <v>4.9000000000000004</v>
      </c>
      <c r="AE22" s="100">
        <v>7.3</v>
      </c>
      <c r="AF22" s="100">
        <v>6.7</v>
      </c>
      <c r="AG22" s="99">
        <v>4548.583333333333</v>
      </c>
      <c r="AH22" s="99">
        <v>4824.166666666667</v>
      </c>
      <c r="AI22" s="104">
        <v>5285.416666666667</v>
      </c>
      <c r="AJ22" s="104">
        <v>6792.5</v>
      </c>
      <c r="AK22" s="105">
        <v>8236.5833333333339</v>
      </c>
      <c r="AL22" s="106">
        <v>347989</v>
      </c>
      <c r="AM22" s="106">
        <v>15591</v>
      </c>
      <c r="AN22" s="106">
        <v>1827</v>
      </c>
      <c r="AO22" s="106">
        <v>15919</v>
      </c>
      <c r="AP22" s="106">
        <v>0</v>
      </c>
      <c r="AQ22" s="106">
        <v>16289</v>
      </c>
      <c r="AR22" s="106">
        <v>339499</v>
      </c>
      <c r="AS22" s="106">
        <v>18709</v>
      </c>
      <c r="AT22" s="106">
        <v>1647</v>
      </c>
      <c r="AU22" s="106">
        <v>17667</v>
      </c>
      <c r="AV22" s="106">
        <v>11474</v>
      </c>
      <c r="AW22" s="106">
        <v>23966</v>
      </c>
      <c r="AX22" s="107">
        <v>41416</v>
      </c>
      <c r="AY22" s="107">
        <v>43095</v>
      </c>
      <c r="AZ22" s="107">
        <v>45045</v>
      </c>
      <c r="BA22" s="107">
        <v>46357</v>
      </c>
      <c r="BB22" s="107">
        <v>44374</v>
      </c>
      <c r="BC22" s="107">
        <v>66637</v>
      </c>
      <c r="BD22" s="107">
        <v>70540</v>
      </c>
      <c r="BE22" s="107">
        <v>74442</v>
      </c>
      <c r="BF22" s="108">
        <v>71988</v>
      </c>
      <c r="BG22" s="108">
        <v>69807</v>
      </c>
      <c r="BH22" s="100">
        <v>5.0999999999999996</v>
      </c>
      <c r="BI22" s="100">
        <v>5</v>
      </c>
      <c r="BJ22" s="100">
        <v>5.4</v>
      </c>
      <c r="BK22" s="100">
        <v>4.5999999999999996</v>
      </c>
      <c r="BL22" s="100">
        <v>6.1</v>
      </c>
      <c r="BM22" s="100">
        <v>6.3</v>
      </c>
      <c r="BN22" s="109">
        <v>5.2</v>
      </c>
      <c r="BO22" s="109">
        <v>6.1</v>
      </c>
      <c r="BP22" s="109">
        <v>5.5</v>
      </c>
      <c r="BQ22" s="100">
        <v>7.7</v>
      </c>
      <c r="BR22" s="106">
        <v>74452</v>
      </c>
      <c r="BS22" s="118">
        <v>74203</v>
      </c>
      <c r="BT22" s="118">
        <v>74125</v>
      </c>
      <c r="BU22" s="110">
        <v>73792</v>
      </c>
      <c r="BV22" s="100">
        <v>18.261430183205288</v>
      </c>
      <c r="BW22" s="100">
        <v>20.23368327426115</v>
      </c>
      <c r="BX22" s="100">
        <v>22.727824620573355</v>
      </c>
      <c r="BY22" s="103">
        <v>24.738454032957502</v>
      </c>
      <c r="BZ22" s="100">
        <v>5.9017890721538704</v>
      </c>
      <c r="CA22" s="100">
        <v>6.1412611349945418</v>
      </c>
      <c r="CB22" s="100">
        <v>6.2178752107925801</v>
      </c>
      <c r="CC22" s="103">
        <v>6.534583694709454</v>
      </c>
      <c r="CD22" s="100">
        <v>14.64299145758341</v>
      </c>
      <c r="CE22" s="100">
        <v>14.762206379795964</v>
      </c>
      <c r="CF22" s="100">
        <v>14.68195615514334</v>
      </c>
      <c r="CG22" s="103">
        <v>14.80241760624458</v>
      </c>
      <c r="CH22" s="100">
        <v>79.104244694132333</v>
      </c>
      <c r="CI22" s="105">
        <v>80.19</v>
      </c>
      <c r="CJ22" s="111">
        <v>81.849999999999994</v>
      </c>
      <c r="CK22" s="111">
        <v>82.911178655859501</v>
      </c>
      <c r="CL22" s="112">
        <v>25693</v>
      </c>
      <c r="CM22" s="112">
        <v>26287</v>
      </c>
      <c r="CN22" s="112">
        <v>26832</v>
      </c>
      <c r="CO22" s="112">
        <v>27452</v>
      </c>
      <c r="CP22" s="112"/>
      <c r="CQ22" s="113">
        <v>16.9804499789504</v>
      </c>
      <c r="CR22" s="113">
        <v>15.38903758655492</v>
      </c>
      <c r="CS22" s="113">
        <v>14.358245502881067</v>
      </c>
      <c r="CT22" s="113">
        <v>13.961346416543677</v>
      </c>
      <c r="CU22" s="112"/>
      <c r="CV22" s="114">
        <v>3.9007801560312063</v>
      </c>
      <c r="CW22" s="114">
        <v>3.9629337539432177</v>
      </c>
      <c r="CX22" s="114">
        <v>4.2065305806251692</v>
      </c>
      <c r="CY22" s="114">
        <v>4.4664166382543469</v>
      </c>
      <c r="CZ22" s="112"/>
      <c r="DA22" s="113">
        <v>6.2787668258792877</v>
      </c>
      <c r="DB22" s="113">
        <v>6.8010075566750627</v>
      </c>
      <c r="DC22" s="113">
        <v>7.3883890680699373</v>
      </c>
      <c r="DD22" s="113">
        <v>7.5180928054491272</v>
      </c>
      <c r="DE22" s="112"/>
      <c r="DF22" s="113">
        <v>86.127428829643023</v>
      </c>
      <c r="DG22" s="113">
        <v>87.281825948980838</v>
      </c>
      <c r="DH22" s="113">
        <v>89.414879121734728</v>
      </c>
      <c r="DI22" s="113">
        <v>87.060843028800306</v>
      </c>
      <c r="DJ22" s="112"/>
      <c r="DK22" s="114">
        <v>9.4446334410614057</v>
      </c>
      <c r="DL22" s="114">
        <v>7.5116232059834243</v>
      </c>
      <c r="DM22" s="114">
        <v>5.9233856825532909</v>
      </c>
      <c r="DN22" s="114">
        <v>5.8191752114362698</v>
      </c>
      <c r="DO22" s="112"/>
      <c r="DP22" s="113">
        <v>15.425635436534195</v>
      </c>
      <c r="DQ22" s="113">
        <v>17.949010654490106</v>
      </c>
      <c r="DR22" s="113">
        <v>21.243523316062177</v>
      </c>
      <c r="DS22" s="113">
        <v>26.757741347905281</v>
      </c>
      <c r="DT22" s="112"/>
      <c r="DU22" s="115">
        <v>122</v>
      </c>
      <c r="DV22" s="115">
        <v>122</v>
      </c>
      <c r="DW22" s="115">
        <v>129</v>
      </c>
      <c r="DX22" s="115">
        <v>111</v>
      </c>
      <c r="DY22" s="112"/>
      <c r="DZ22" s="116">
        <v>4.17</v>
      </c>
      <c r="EA22" s="116">
        <v>3.9914935383608703</v>
      </c>
      <c r="EB22" s="116">
        <v>3.52</v>
      </c>
      <c r="EC22" s="116">
        <v>3.3096926713947989</v>
      </c>
      <c r="ED22" s="112"/>
      <c r="EE22" s="113">
        <v>75.433132178314196</v>
      </c>
      <c r="EF22" s="113">
        <v>9.1493089351761725</v>
      </c>
      <c r="EG22" s="113">
        <v>0.44773213938096162</v>
      </c>
      <c r="EH22" s="113">
        <v>7.1053143858283043</v>
      </c>
      <c r="EI22" s="113">
        <v>9.5200936402653138</v>
      </c>
      <c r="EJ22" s="113">
        <v>18.783207363615954</v>
      </c>
      <c r="EK22" s="113"/>
      <c r="EL22" s="115">
        <v>6453</v>
      </c>
      <c r="EM22" s="115">
        <v>7741</v>
      </c>
      <c r="EN22" s="115">
        <v>8845</v>
      </c>
      <c r="EO22" s="115">
        <v>9837</v>
      </c>
      <c r="EP22" s="112"/>
      <c r="EQ22" s="114">
        <v>426.47742075338397</v>
      </c>
      <c r="ER22" s="114">
        <v>453.17662706859528</v>
      </c>
      <c r="ES22" s="114">
        <v>473.31053023622184</v>
      </c>
      <c r="ET22" s="114">
        <v>500.28327516953283</v>
      </c>
      <c r="EU22" s="112"/>
      <c r="EV22" s="113">
        <v>801.41825456000004</v>
      </c>
      <c r="EW22" s="113">
        <v>780.54720036000003</v>
      </c>
      <c r="EX22" s="113">
        <v>702.98399775999997</v>
      </c>
      <c r="EY22" s="113">
        <v>671.16997217999995</v>
      </c>
      <c r="EZ22" s="112"/>
      <c r="FA22" s="115">
        <v>1690</v>
      </c>
      <c r="FB22" s="115">
        <v>1711</v>
      </c>
      <c r="FC22" s="115">
        <v>1715</v>
      </c>
      <c r="FD22" s="115">
        <v>1665</v>
      </c>
      <c r="FE22" s="112"/>
      <c r="FF22" s="115">
        <v>1664</v>
      </c>
      <c r="FG22" s="115">
        <v>2129</v>
      </c>
      <c r="FH22" s="115">
        <v>2380</v>
      </c>
      <c r="FI22" s="115">
        <v>2657</v>
      </c>
      <c r="FJ22" s="112"/>
      <c r="FK22" s="115">
        <v>489</v>
      </c>
      <c r="FL22" s="115">
        <v>569</v>
      </c>
      <c r="FM22" s="115">
        <v>584</v>
      </c>
      <c r="FN22" s="115">
        <v>555</v>
      </c>
      <c r="FO22" s="112"/>
      <c r="FP22" s="115">
        <v>281</v>
      </c>
      <c r="FQ22" s="115">
        <v>372</v>
      </c>
      <c r="FR22" s="115">
        <v>451</v>
      </c>
      <c r="FS22" s="115">
        <v>531</v>
      </c>
      <c r="FT22" s="112"/>
      <c r="FU22" s="113">
        <v>225.00606988000001</v>
      </c>
      <c r="FV22" s="113">
        <v>182.75603581999999</v>
      </c>
      <c r="FW22" s="113">
        <v>142.82048559</v>
      </c>
      <c r="FX22" s="113">
        <v>118.17626127</v>
      </c>
      <c r="FY22" s="112"/>
      <c r="FZ22" s="113">
        <v>195.54199788</v>
      </c>
      <c r="GA22" s="113">
        <v>201.40255698000001</v>
      </c>
      <c r="GB22" s="113">
        <v>179.56602237000001</v>
      </c>
      <c r="GC22" s="113">
        <v>170.71066311999999</v>
      </c>
      <c r="GD22" s="112"/>
      <c r="GE22" s="113">
        <v>69.209064440000006</v>
      </c>
      <c r="GF22" s="113">
        <v>64.163499830000006</v>
      </c>
      <c r="GG22" s="113">
        <v>50.574803070000002</v>
      </c>
      <c r="GH22" s="113">
        <v>40.075733509999999</v>
      </c>
      <c r="GI22" s="112"/>
      <c r="GJ22" s="113">
        <v>23.698543430000001</v>
      </c>
      <c r="GK22" s="113">
        <v>29.720916070000001</v>
      </c>
      <c r="GL22" s="113">
        <v>30.580157759999999</v>
      </c>
      <c r="GM22" s="113">
        <v>33.235647649999997</v>
      </c>
      <c r="GN22" s="112"/>
      <c r="GO22" s="113">
        <v>1002.51311661</v>
      </c>
      <c r="GP22" s="113">
        <v>948.92587918000004</v>
      </c>
      <c r="GQ22" s="113">
        <v>805.41929917000004</v>
      </c>
      <c r="GR22" s="113">
        <v>767.81202222000002</v>
      </c>
      <c r="GS22" s="112"/>
      <c r="GT22" s="113">
        <v>670.75040855999998</v>
      </c>
      <c r="GU22" s="113">
        <v>667.57977942000002</v>
      </c>
      <c r="GV22" s="113">
        <v>626.56780648999995</v>
      </c>
      <c r="GW22" s="113">
        <v>595.65344459000005</v>
      </c>
      <c r="GX22" s="112"/>
      <c r="GY22" s="112"/>
      <c r="GZ22" s="112"/>
      <c r="HA22" s="112"/>
      <c r="HB22" s="112"/>
      <c r="HC22" s="112"/>
      <c r="HD22" s="115">
        <v>2034</v>
      </c>
      <c r="HE22" s="115">
        <v>49</v>
      </c>
      <c r="HF22" s="115">
        <v>6</v>
      </c>
      <c r="HG22" s="115">
        <v>37</v>
      </c>
      <c r="HH22" s="115">
        <v>30</v>
      </c>
      <c r="HI22" s="114">
        <v>25.253151477578012</v>
      </c>
      <c r="HJ22" s="114">
        <v>22.130489622749685</v>
      </c>
      <c r="HK22" s="113">
        <v>18.66815689709858</v>
      </c>
      <c r="HL22" s="112">
        <v>975</v>
      </c>
      <c r="HM22" s="112">
        <v>1005</v>
      </c>
      <c r="HN22" s="112">
        <v>1086</v>
      </c>
      <c r="HO22" s="112">
        <v>1179</v>
      </c>
      <c r="HP22" s="112"/>
      <c r="HQ22" s="112">
        <v>1446</v>
      </c>
      <c r="HR22" s="112">
        <v>1539</v>
      </c>
      <c r="HS22" s="112">
        <v>1741</v>
      </c>
      <c r="HT22" s="112">
        <v>1766</v>
      </c>
      <c r="HU22" s="117"/>
    </row>
    <row r="23" spans="1:229" x14ac:dyDescent="0.2">
      <c r="A23" s="93">
        <v>20</v>
      </c>
      <c r="B23" s="98" t="s">
        <v>87</v>
      </c>
      <c r="C23" s="99">
        <v>19770</v>
      </c>
      <c r="D23" s="99">
        <v>19552</v>
      </c>
      <c r="E23" s="99">
        <v>19751</v>
      </c>
      <c r="F23" s="99">
        <v>19772</v>
      </c>
      <c r="G23" s="99">
        <v>20087</v>
      </c>
      <c r="H23" s="99">
        <v>7353</v>
      </c>
      <c r="I23" s="99">
        <v>7403</v>
      </c>
      <c r="J23" s="99">
        <v>7415</v>
      </c>
      <c r="K23" s="99">
        <v>7424</v>
      </c>
      <c r="L23" s="99">
        <v>7460</v>
      </c>
      <c r="M23" s="100">
        <v>17.203892352136233</v>
      </c>
      <c r="N23" s="100">
        <v>17.988965731603077</v>
      </c>
      <c r="O23" s="101">
        <v>18.340242591739596</v>
      </c>
      <c r="P23" s="101">
        <v>18.95250078641082</v>
      </c>
      <c r="Q23" s="102">
        <v>19.202248068066506</v>
      </c>
      <c r="R23" s="100">
        <v>33.09259540824084</v>
      </c>
      <c r="S23" s="100">
        <v>33.942031237858423</v>
      </c>
      <c r="T23" s="100">
        <v>33.287271610624899</v>
      </c>
      <c r="U23" s="100">
        <v>36.536646744259201</v>
      </c>
      <c r="V23" s="100">
        <v>37.592693778783861</v>
      </c>
      <c r="W23" s="100">
        <v>50.296487760377076</v>
      </c>
      <c r="X23" s="100">
        <v>51.930996969461496</v>
      </c>
      <c r="Y23" s="100">
        <v>51.627514202364502</v>
      </c>
      <c r="Z23" s="100">
        <v>55.489147530670024</v>
      </c>
      <c r="AA23" s="100">
        <v>56.794941846850364</v>
      </c>
      <c r="AB23" s="100">
        <v>3.7</v>
      </c>
      <c r="AC23" s="100">
        <v>4.3</v>
      </c>
      <c r="AD23" s="100">
        <v>5.2</v>
      </c>
      <c r="AE23" s="100">
        <v>7.5</v>
      </c>
      <c r="AF23" s="100">
        <v>6.5</v>
      </c>
      <c r="AG23" s="99">
        <v>252.08333333333334</v>
      </c>
      <c r="AH23" s="99">
        <v>272.75</v>
      </c>
      <c r="AI23" s="104">
        <v>295.41666666666669</v>
      </c>
      <c r="AJ23" s="104">
        <v>391.75</v>
      </c>
      <c r="AK23" s="105">
        <v>506.91666666666669</v>
      </c>
      <c r="AL23" s="106">
        <v>19385</v>
      </c>
      <c r="AM23" s="106">
        <v>78</v>
      </c>
      <c r="AN23" s="106">
        <v>37</v>
      </c>
      <c r="AO23" s="106">
        <v>113</v>
      </c>
      <c r="AP23" s="106">
        <v>0</v>
      </c>
      <c r="AQ23" s="106">
        <v>726</v>
      </c>
      <c r="AR23" s="106">
        <v>19294</v>
      </c>
      <c r="AS23" s="106">
        <v>60</v>
      </c>
      <c r="AT23" s="106">
        <v>54</v>
      </c>
      <c r="AU23" s="106">
        <v>94</v>
      </c>
      <c r="AV23" s="106">
        <v>273</v>
      </c>
      <c r="AW23" s="106">
        <v>915</v>
      </c>
      <c r="AX23" s="107">
        <v>32298</v>
      </c>
      <c r="AY23" s="107">
        <v>32575</v>
      </c>
      <c r="AZ23" s="107">
        <v>34063</v>
      </c>
      <c r="BA23" s="107">
        <v>36565</v>
      </c>
      <c r="BB23" s="107">
        <v>36055</v>
      </c>
      <c r="BC23" s="107">
        <v>55307</v>
      </c>
      <c r="BD23" s="107">
        <v>58502</v>
      </c>
      <c r="BE23" s="107">
        <v>61230</v>
      </c>
      <c r="BF23" s="108">
        <v>60378</v>
      </c>
      <c r="BG23" s="108">
        <v>65458</v>
      </c>
      <c r="BH23" s="100">
        <v>5.9</v>
      </c>
      <c r="BI23" s="100">
        <v>6.1</v>
      </c>
      <c r="BJ23" s="100">
        <v>6.6</v>
      </c>
      <c r="BK23" s="100">
        <v>6.7</v>
      </c>
      <c r="BL23" s="100">
        <v>7.1</v>
      </c>
      <c r="BM23" s="100">
        <v>6.9</v>
      </c>
      <c r="BN23" s="109">
        <v>7.1</v>
      </c>
      <c r="BO23" s="109">
        <v>7.3</v>
      </c>
      <c r="BP23" s="109">
        <v>7.8</v>
      </c>
      <c r="BQ23" s="100">
        <v>9</v>
      </c>
      <c r="BR23" s="106">
        <v>4028</v>
      </c>
      <c r="BS23" s="118">
        <v>4029</v>
      </c>
      <c r="BT23" s="118">
        <v>4011</v>
      </c>
      <c r="BU23" s="110">
        <v>4091</v>
      </c>
      <c r="BV23" s="100">
        <v>20.878848063555115</v>
      </c>
      <c r="BW23" s="100">
        <v>22.065028543062795</v>
      </c>
      <c r="BX23" s="100">
        <v>25.031164298180002</v>
      </c>
      <c r="BY23" s="103">
        <v>26.032754827670495</v>
      </c>
      <c r="BZ23" s="100">
        <v>3.9970208540218466</v>
      </c>
      <c r="CA23" s="100">
        <v>3.052866716306776</v>
      </c>
      <c r="CB23" s="100">
        <v>3.1662926950885066</v>
      </c>
      <c r="CC23" s="103">
        <v>4.0576876069420678</v>
      </c>
      <c r="CD23" s="100">
        <v>8.8629592850049654</v>
      </c>
      <c r="CE23" s="100">
        <v>9.5805410771903698</v>
      </c>
      <c r="CF23" s="100">
        <v>9.723261032161556</v>
      </c>
      <c r="CG23" s="103">
        <v>10.144219017355169</v>
      </c>
      <c r="CH23" s="100">
        <v>93.006993006993014</v>
      </c>
      <c r="CI23" s="105">
        <v>91.03</v>
      </c>
      <c r="CJ23" s="111">
        <v>90.11</v>
      </c>
      <c r="CK23" s="111">
        <v>91.503267973856211</v>
      </c>
      <c r="CL23" s="112">
        <v>1181</v>
      </c>
      <c r="CM23" s="112">
        <v>1222</v>
      </c>
      <c r="CN23" s="112">
        <v>1406</v>
      </c>
      <c r="CO23" s="112">
        <v>1407</v>
      </c>
      <c r="CP23" s="112"/>
      <c r="CQ23" s="113">
        <v>14.402263387031866</v>
      </c>
      <c r="CR23" s="113">
        <v>14.177485410648197</v>
      </c>
      <c r="CS23" s="113">
        <v>14.859751844257964</v>
      </c>
      <c r="CT23" s="113">
        <v>14.221889782881171</v>
      </c>
      <c r="CU23" s="112"/>
      <c r="CV23" s="114">
        <v>3.7261698440207973</v>
      </c>
      <c r="CW23" s="114">
        <v>4.1525423728813555</v>
      </c>
      <c r="CX23" s="114">
        <v>4.829123328380386</v>
      </c>
      <c r="CY23" s="114">
        <v>3.9940828402366866</v>
      </c>
      <c r="CZ23" s="112"/>
      <c r="DA23" s="113">
        <v>5.8270676691729326</v>
      </c>
      <c r="DB23" s="113">
        <v>8.3820662768031191</v>
      </c>
      <c r="DC23" s="113">
        <v>8.8303640588690939</v>
      </c>
      <c r="DD23" s="113">
        <v>7.3959938366718028</v>
      </c>
      <c r="DE23" s="112"/>
      <c r="DF23" s="113">
        <v>84.703801945181254</v>
      </c>
      <c r="DG23" s="113">
        <v>88.543516873889871</v>
      </c>
      <c r="DH23" s="113">
        <v>89.583333333333329</v>
      </c>
      <c r="DI23" s="113">
        <v>93.299711815561963</v>
      </c>
      <c r="DJ23" s="112"/>
      <c r="DK23" s="114">
        <v>17.167381974248926</v>
      </c>
      <c r="DL23" s="114">
        <v>13.190436933223413</v>
      </c>
      <c r="DM23" s="114">
        <v>10.150107219442459</v>
      </c>
      <c r="DN23" s="114">
        <v>9.4661921708185055</v>
      </c>
      <c r="DO23" s="112"/>
      <c r="DP23" s="113">
        <v>16.765453005927181</v>
      </c>
      <c r="DQ23" s="113">
        <v>21.867321867321866</v>
      </c>
      <c r="DR23" s="113">
        <v>22.119487908961592</v>
      </c>
      <c r="DS23" s="113">
        <v>27.789623312011372</v>
      </c>
      <c r="DT23" s="112"/>
      <c r="DU23" s="115">
        <v>7</v>
      </c>
      <c r="DV23" s="115">
        <v>4</v>
      </c>
      <c r="DW23" s="115">
        <v>8</v>
      </c>
      <c r="DX23" s="115">
        <v>11</v>
      </c>
      <c r="DY23" s="112"/>
      <c r="DZ23" s="116">
        <v>0</v>
      </c>
      <c r="EA23" s="116">
        <v>1.0344827586206897</v>
      </c>
      <c r="EB23" s="116">
        <v>1.83</v>
      </c>
      <c r="EC23" s="116">
        <v>1.3071895424836601</v>
      </c>
      <c r="ED23" s="112"/>
      <c r="EE23" s="113">
        <v>96.376811594202906</v>
      </c>
      <c r="EF23" s="113">
        <v>0.36231884057971014</v>
      </c>
      <c r="EG23" s="113">
        <v>0</v>
      </c>
      <c r="EH23" s="113">
        <v>0.72463768115942029</v>
      </c>
      <c r="EI23" s="113">
        <v>5.7971014492753623</v>
      </c>
      <c r="EJ23" s="113">
        <v>22.408963585434172</v>
      </c>
      <c r="EK23" s="113"/>
      <c r="EL23" s="115">
        <v>648</v>
      </c>
      <c r="EM23" s="115">
        <v>653</v>
      </c>
      <c r="EN23" s="115">
        <v>615</v>
      </c>
      <c r="EO23" s="115">
        <v>650</v>
      </c>
      <c r="EP23" s="112"/>
      <c r="EQ23" s="114">
        <v>790.23426543578739</v>
      </c>
      <c r="ER23" s="114">
        <v>757.6021254626246</v>
      </c>
      <c r="ES23" s="114">
        <v>649.98203301697356</v>
      </c>
      <c r="ET23" s="114">
        <v>657.01694092912305</v>
      </c>
      <c r="EU23" s="112"/>
      <c r="EV23" s="113">
        <v>753.84528521000004</v>
      </c>
      <c r="EW23" s="113">
        <v>719.89374981000003</v>
      </c>
      <c r="EX23" s="113">
        <v>638.23934659999998</v>
      </c>
      <c r="EY23" s="113">
        <v>621.13150310000003</v>
      </c>
      <c r="EZ23" s="112"/>
      <c r="FA23" s="115">
        <v>199</v>
      </c>
      <c r="FB23" s="115">
        <v>177</v>
      </c>
      <c r="FC23" s="115">
        <v>178</v>
      </c>
      <c r="FD23" s="115">
        <v>155</v>
      </c>
      <c r="FE23" s="112"/>
      <c r="FF23" s="115">
        <v>149</v>
      </c>
      <c r="FG23" s="115">
        <v>132</v>
      </c>
      <c r="FH23" s="115">
        <v>129</v>
      </c>
      <c r="FI23" s="115">
        <v>171</v>
      </c>
      <c r="FJ23" s="112"/>
      <c r="FK23" s="115">
        <v>39</v>
      </c>
      <c r="FL23" s="115">
        <v>55</v>
      </c>
      <c r="FM23" s="115">
        <v>32</v>
      </c>
      <c r="FN23" s="115">
        <v>30</v>
      </c>
      <c r="FO23" s="112"/>
      <c r="FP23" s="115">
        <v>43</v>
      </c>
      <c r="FQ23" s="115">
        <v>52</v>
      </c>
      <c r="FR23" s="115">
        <v>38</v>
      </c>
      <c r="FS23" s="115">
        <v>33</v>
      </c>
      <c r="FT23" s="112"/>
      <c r="FU23" s="113">
        <v>229.95793803999999</v>
      </c>
      <c r="FV23" s="113">
        <v>192.57668305000001</v>
      </c>
      <c r="FW23" s="113">
        <v>181.79056245999999</v>
      </c>
      <c r="FX23" s="113">
        <v>146.31365471000001</v>
      </c>
      <c r="FY23" s="112"/>
      <c r="FZ23" s="113">
        <v>183.89454481000001</v>
      </c>
      <c r="GA23" s="113">
        <v>153.70279034999999</v>
      </c>
      <c r="GB23" s="113">
        <v>140.21368756999999</v>
      </c>
      <c r="GC23" s="113">
        <v>169.02712249999999</v>
      </c>
      <c r="GD23" s="112"/>
      <c r="GE23" s="113">
        <v>42.17145884</v>
      </c>
      <c r="GF23" s="113">
        <v>58.396704159999999</v>
      </c>
      <c r="GG23" s="113">
        <v>31.61457261</v>
      </c>
      <c r="GH23" s="113">
        <v>26.962838099999999</v>
      </c>
      <c r="GI23" s="112"/>
      <c r="GJ23" s="113">
        <v>51.08867025</v>
      </c>
      <c r="GK23" s="113">
        <v>58.715618040000003</v>
      </c>
      <c r="GL23" s="113">
        <v>40.200383819999999</v>
      </c>
      <c r="GM23" s="113">
        <v>32.009182750000001</v>
      </c>
      <c r="GN23" s="112"/>
      <c r="GO23" s="113">
        <v>1022.01748959</v>
      </c>
      <c r="GP23" s="113">
        <v>892.10898703999999</v>
      </c>
      <c r="GQ23" s="113">
        <v>738.78323635000004</v>
      </c>
      <c r="GR23" s="113">
        <v>721.49650498999995</v>
      </c>
      <c r="GS23" s="112"/>
      <c r="GT23" s="113">
        <v>554.06318750000003</v>
      </c>
      <c r="GU23" s="113">
        <v>594.6189435</v>
      </c>
      <c r="GV23" s="113">
        <v>543.20903850000002</v>
      </c>
      <c r="GW23" s="113">
        <v>530.69954071999996</v>
      </c>
      <c r="GX23" s="112"/>
      <c r="GY23" s="112"/>
      <c r="GZ23" s="112"/>
      <c r="HA23" s="112"/>
      <c r="HB23" s="112"/>
      <c r="HC23" s="112"/>
      <c r="HD23" s="115">
        <v>122</v>
      </c>
      <c r="HE23" s="115">
        <v>0</v>
      </c>
      <c r="HF23" s="115">
        <v>0</v>
      </c>
      <c r="HG23" s="115">
        <v>0</v>
      </c>
      <c r="HH23" s="115">
        <v>2</v>
      </c>
      <c r="HI23" s="114">
        <v>31.165311653116532</v>
      </c>
      <c r="HJ23" s="114">
        <v>28.805422197119459</v>
      </c>
      <c r="HK23" s="113">
        <v>26.407976286715172</v>
      </c>
      <c r="HL23" s="112">
        <v>43</v>
      </c>
      <c r="HM23" s="112">
        <v>49</v>
      </c>
      <c r="HN23" s="112">
        <v>65</v>
      </c>
      <c r="HO23" s="112">
        <v>54</v>
      </c>
      <c r="HP23" s="112"/>
      <c r="HQ23" s="112">
        <v>62</v>
      </c>
      <c r="HR23" s="112">
        <v>86</v>
      </c>
      <c r="HS23" s="112">
        <v>114</v>
      </c>
      <c r="HT23" s="112">
        <v>96</v>
      </c>
      <c r="HU23" s="117"/>
    </row>
    <row r="24" spans="1:229" x14ac:dyDescent="0.2">
      <c r="A24" s="93">
        <v>21</v>
      </c>
      <c r="B24" s="98" t="s">
        <v>88</v>
      </c>
      <c r="C24" s="99">
        <v>35467</v>
      </c>
      <c r="D24" s="99">
        <v>36075</v>
      </c>
      <c r="E24" s="99">
        <v>36258</v>
      </c>
      <c r="F24" s="99">
        <v>36390</v>
      </c>
      <c r="G24" s="99">
        <v>36009</v>
      </c>
      <c r="H24" s="99">
        <v>15022</v>
      </c>
      <c r="I24" s="99">
        <v>15274</v>
      </c>
      <c r="J24" s="99">
        <v>15540</v>
      </c>
      <c r="K24" s="99">
        <v>15702</v>
      </c>
      <c r="L24" s="99">
        <v>15289</v>
      </c>
      <c r="M24" s="100">
        <v>28.4518283954366</v>
      </c>
      <c r="N24" s="100">
        <v>29.034625679993091</v>
      </c>
      <c r="O24" s="101">
        <v>30.041898838063151</v>
      </c>
      <c r="P24" s="101">
        <v>31.237171928905191</v>
      </c>
      <c r="Q24" s="102">
        <v>31.503186416506974</v>
      </c>
      <c r="R24" s="100">
        <v>25.397995922439598</v>
      </c>
      <c r="S24" s="100">
        <v>26.71617304205164</v>
      </c>
      <c r="T24" s="100">
        <v>26.573366161288931</v>
      </c>
      <c r="U24" s="100">
        <v>27.678064544303243</v>
      </c>
      <c r="V24" s="100">
        <v>28.971879317260129</v>
      </c>
      <c r="W24" s="100">
        <v>53.849824317876191</v>
      </c>
      <c r="X24" s="100">
        <v>55.750798722044728</v>
      </c>
      <c r="Y24" s="100">
        <v>56.615264999352078</v>
      </c>
      <c r="Z24" s="100">
        <v>58.915236473208438</v>
      </c>
      <c r="AA24" s="100">
        <v>60.475065733767103</v>
      </c>
      <c r="AB24" s="100">
        <v>3.9</v>
      </c>
      <c r="AC24" s="100">
        <v>4.5</v>
      </c>
      <c r="AD24" s="100">
        <v>5</v>
      </c>
      <c r="AE24" s="100">
        <v>6.8</v>
      </c>
      <c r="AF24" s="100">
        <v>6.3</v>
      </c>
      <c r="AG24" s="99">
        <v>672.58333333333337</v>
      </c>
      <c r="AH24" s="99">
        <v>702.25</v>
      </c>
      <c r="AI24" s="104">
        <v>739.83333333333337</v>
      </c>
      <c r="AJ24" s="104">
        <v>937.58333333333337</v>
      </c>
      <c r="AK24" s="105">
        <v>1187.3333333333333</v>
      </c>
      <c r="AL24" s="106">
        <v>34868</v>
      </c>
      <c r="AM24" s="106">
        <v>100</v>
      </c>
      <c r="AN24" s="106">
        <v>113</v>
      </c>
      <c r="AO24" s="106">
        <v>152</v>
      </c>
      <c r="AP24" s="106">
        <v>0</v>
      </c>
      <c r="AQ24" s="106">
        <v>291</v>
      </c>
      <c r="AR24" s="106">
        <v>35186</v>
      </c>
      <c r="AS24" s="106">
        <v>150</v>
      </c>
      <c r="AT24" s="106">
        <v>105</v>
      </c>
      <c r="AU24" s="106">
        <v>168</v>
      </c>
      <c r="AV24" s="106">
        <v>327</v>
      </c>
      <c r="AW24" s="106">
        <v>341</v>
      </c>
      <c r="AX24" s="107">
        <v>30121</v>
      </c>
      <c r="AY24" s="107">
        <v>30443</v>
      </c>
      <c r="AZ24" s="107">
        <v>32388</v>
      </c>
      <c r="BA24" s="107">
        <v>36655</v>
      </c>
      <c r="BB24" s="107">
        <v>35533</v>
      </c>
      <c r="BC24" s="107">
        <v>42640</v>
      </c>
      <c r="BD24" s="107">
        <v>43866</v>
      </c>
      <c r="BE24" s="107">
        <v>44295</v>
      </c>
      <c r="BF24" s="108">
        <v>48212</v>
      </c>
      <c r="BG24" s="108">
        <v>43833</v>
      </c>
      <c r="BH24" s="100">
        <v>9.6</v>
      </c>
      <c r="BI24" s="100">
        <v>9.6</v>
      </c>
      <c r="BJ24" s="100">
        <v>10.6</v>
      </c>
      <c r="BK24" s="100">
        <v>8.6999999999999993</v>
      </c>
      <c r="BL24" s="100">
        <v>11.2</v>
      </c>
      <c r="BM24" s="100">
        <v>11.5</v>
      </c>
      <c r="BN24" s="109">
        <v>11.2</v>
      </c>
      <c r="BO24" s="109">
        <v>13.6</v>
      </c>
      <c r="BP24" s="109">
        <v>10.7</v>
      </c>
      <c r="BQ24" s="100">
        <v>12.7</v>
      </c>
      <c r="BR24" s="106">
        <v>5352</v>
      </c>
      <c r="BS24" s="118">
        <v>5301</v>
      </c>
      <c r="BT24" s="118">
        <v>5290</v>
      </c>
      <c r="BU24" s="110">
        <v>5282</v>
      </c>
      <c r="BV24" s="100">
        <v>27.95216741405082</v>
      </c>
      <c r="BW24" s="100">
        <v>28.73042822109036</v>
      </c>
      <c r="BX24" s="100">
        <v>33.232514177693758</v>
      </c>
      <c r="BY24" s="103">
        <v>34.948882998864065</v>
      </c>
      <c r="BZ24" s="100">
        <v>0.20553064275037369</v>
      </c>
      <c r="CA24" s="100">
        <v>5.6593095642331635E-2</v>
      </c>
      <c r="CB24" s="100">
        <v>0.1323251417769376</v>
      </c>
      <c r="CC24" s="103">
        <v>0.2082544490723211</v>
      </c>
      <c r="CD24" s="100">
        <v>17.208520179372197</v>
      </c>
      <c r="CE24" s="100">
        <v>17.468402188266367</v>
      </c>
      <c r="CF24" s="100">
        <v>16.956521739130434</v>
      </c>
      <c r="CG24" s="103">
        <v>16.84967815221507</v>
      </c>
      <c r="CH24" s="100">
        <v>83.804143126177024</v>
      </c>
      <c r="CI24" s="105">
        <v>85.68</v>
      </c>
      <c r="CJ24" s="111">
        <v>79.180000000000007</v>
      </c>
      <c r="CK24" s="111">
        <v>80.430107526881727</v>
      </c>
      <c r="CL24" s="112">
        <v>1741</v>
      </c>
      <c r="CM24" s="112">
        <v>1779</v>
      </c>
      <c r="CN24" s="112">
        <v>1931</v>
      </c>
      <c r="CO24" s="112">
        <v>2085</v>
      </c>
      <c r="CP24" s="112"/>
      <c r="CQ24" s="113">
        <v>11.755491185069648</v>
      </c>
      <c r="CR24" s="113">
        <v>11.380064736512161</v>
      </c>
      <c r="CS24" s="113">
        <v>11.317746766148742</v>
      </c>
      <c r="CT24" s="113">
        <v>11.570541456944822</v>
      </c>
      <c r="CU24" s="112"/>
      <c r="CV24" s="114">
        <v>3.6708111308466549</v>
      </c>
      <c r="CW24" s="114">
        <v>2.9036004645760745</v>
      </c>
      <c r="CX24" s="114">
        <v>4.67741935483871</v>
      </c>
      <c r="CY24" s="114">
        <v>4.0358744394618835</v>
      </c>
      <c r="CZ24" s="112"/>
      <c r="DA24" s="113">
        <v>5.6321150389454759</v>
      </c>
      <c r="DB24" s="113">
        <v>5.558806319485079</v>
      </c>
      <c r="DC24" s="113">
        <v>8.3738519719070776</v>
      </c>
      <c r="DD24" s="113">
        <v>8.1488933601609652</v>
      </c>
      <c r="DE24" s="112"/>
      <c r="DF24" s="113">
        <v>82.977495672244657</v>
      </c>
      <c r="DG24" s="113">
        <v>88.807235726399099</v>
      </c>
      <c r="DH24" s="113">
        <v>89.989626556016603</v>
      </c>
      <c r="DI24" s="113">
        <v>91.526239768897454</v>
      </c>
      <c r="DJ24" s="112"/>
      <c r="DK24" s="114">
        <v>14.144927536231885</v>
      </c>
      <c r="DL24" s="114">
        <v>18.725324309080655</v>
      </c>
      <c r="DM24" s="114">
        <v>14.730290456431534</v>
      </c>
      <c r="DN24" s="114">
        <v>14.073006724303553</v>
      </c>
      <c r="DO24" s="112"/>
      <c r="DP24" s="113">
        <v>19.012062033314187</v>
      </c>
      <c r="DQ24" s="113">
        <v>22.990444069702079</v>
      </c>
      <c r="DR24" s="113">
        <v>25.064733298808907</v>
      </c>
      <c r="DS24" s="113">
        <v>28.057553956834532</v>
      </c>
      <c r="DT24" s="112"/>
      <c r="DU24" s="115">
        <v>8</v>
      </c>
      <c r="DV24" s="115">
        <v>6</v>
      </c>
      <c r="DW24" s="115">
        <v>11</v>
      </c>
      <c r="DX24" s="115">
        <v>8</v>
      </c>
      <c r="DY24" s="112"/>
      <c r="DZ24" s="116">
        <v>3.95</v>
      </c>
      <c r="EA24" s="116">
        <v>4.3568464730290453</v>
      </c>
      <c r="EB24" s="116">
        <v>4.95</v>
      </c>
      <c r="EC24" s="116">
        <v>6.021505376344086</v>
      </c>
      <c r="ED24" s="112"/>
      <c r="EE24" s="113">
        <v>98.25</v>
      </c>
      <c r="EF24" s="113">
        <v>0.25</v>
      </c>
      <c r="EG24" s="113">
        <v>0.5</v>
      </c>
      <c r="EH24" s="113">
        <v>0.5</v>
      </c>
      <c r="EI24" s="113">
        <v>0.75</v>
      </c>
      <c r="EJ24" s="113">
        <v>18.911174785100286</v>
      </c>
      <c r="EK24" s="113"/>
      <c r="EL24" s="115">
        <v>1602</v>
      </c>
      <c r="EM24" s="115">
        <v>1652</v>
      </c>
      <c r="EN24" s="115">
        <v>1640</v>
      </c>
      <c r="EO24" s="115">
        <v>1742</v>
      </c>
      <c r="EP24" s="112"/>
      <c r="EQ24" s="114">
        <v>1081.6942491948062</v>
      </c>
      <c r="ER24" s="114">
        <v>1056.7659890229393</v>
      </c>
      <c r="ES24" s="114">
        <v>961.21722923272591</v>
      </c>
      <c r="ET24" s="114">
        <v>966.70902724210453</v>
      </c>
      <c r="EU24" s="112"/>
      <c r="EV24" s="113">
        <v>775.11168470999996</v>
      </c>
      <c r="EW24" s="113">
        <v>726.48250503999998</v>
      </c>
      <c r="EX24" s="113">
        <v>652.40237903000002</v>
      </c>
      <c r="EY24" s="113">
        <v>608.44254653999997</v>
      </c>
      <c r="EZ24" s="112"/>
      <c r="FA24" s="115">
        <v>558</v>
      </c>
      <c r="FB24" s="115">
        <v>513</v>
      </c>
      <c r="FC24" s="115">
        <v>472</v>
      </c>
      <c r="FD24" s="115">
        <v>422</v>
      </c>
      <c r="FE24" s="112"/>
      <c r="FF24" s="115">
        <v>373</v>
      </c>
      <c r="FG24" s="115">
        <v>360</v>
      </c>
      <c r="FH24" s="115">
        <v>396</v>
      </c>
      <c r="FI24" s="115">
        <v>429</v>
      </c>
      <c r="FJ24" s="112"/>
      <c r="FK24" s="115">
        <v>152</v>
      </c>
      <c r="FL24" s="115">
        <v>156</v>
      </c>
      <c r="FM24" s="115">
        <v>120</v>
      </c>
      <c r="FN24" s="115">
        <v>115</v>
      </c>
      <c r="FO24" s="112"/>
      <c r="FP24" s="115">
        <v>64</v>
      </c>
      <c r="FQ24" s="115">
        <v>67</v>
      </c>
      <c r="FR24" s="115">
        <v>57</v>
      </c>
      <c r="FS24" s="115">
        <v>64</v>
      </c>
      <c r="FT24" s="112"/>
      <c r="FU24" s="113">
        <v>260.63226128999997</v>
      </c>
      <c r="FV24" s="113">
        <v>213.00384005999999</v>
      </c>
      <c r="FW24" s="113">
        <v>179.52551399999999</v>
      </c>
      <c r="FX24" s="113">
        <v>138.07932338000001</v>
      </c>
      <c r="FY24" s="112"/>
      <c r="FZ24" s="113">
        <v>194.90209414</v>
      </c>
      <c r="GA24" s="113">
        <v>169.48668867999999</v>
      </c>
      <c r="GB24" s="113">
        <v>169.91264364</v>
      </c>
      <c r="GC24" s="113">
        <v>163.62716843000001</v>
      </c>
      <c r="GD24" s="112"/>
      <c r="GE24" s="113">
        <v>65.505883229999995</v>
      </c>
      <c r="GF24" s="113">
        <v>63.549082779999999</v>
      </c>
      <c r="GG24" s="113">
        <v>45.229782309999997</v>
      </c>
      <c r="GH24" s="113">
        <v>35.812061829999998</v>
      </c>
      <c r="GI24" s="112"/>
      <c r="GJ24" s="113">
        <v>37.048813580000001</v>
      </c>
      <c r="GK24" s="113">
        <v>37.013269200000003</v>
      </c>
      <c r="GL24" s="113">
        <v>27.068876459999998</v>
      </c>
      <c r="GM24" s="113">
        <v>28.377753819999999</v>
      </c>
      <c r="GN24" s="112"/>
      <c r="GO24" s="113">
        <v>999.00087184999995</v>
      </c>
      <c r="GP24" s="113">
        <v>862.19976958999996</v>
      </c>
      <c r="GQ24" s="113">
        <v>785.23857120000002</v>
      </c>
      <c r="GR24" s="113">
        <v>708.50589020999996</v>
      </c>
      <c r="GS24" s="112"/>
      <c r="GT24" s="113">
        <v>595.32456493999996</v>
      </c>
      <c r="GU24" s="113">
        <v>610.79673229000002</v>
      </c>
      <c r="GV24" s="113">
        <v>543.98388972999896</v>
      </c>
      <c r="GW24" s="113">
        <v>532.09756603000005</v>
      </c>
      <c r="GX24" s="112"/>
      <c r="GY24" s="112"/>
      <c r="GZ24" s="112"/>
      <c r="HA24" s="112"/>
      <c r="HB24" s="112"/>
      <c r="HC24" s="112"/>
      <c r="HD24" s="115">
        <v>362</v>
      </c>
      <c r="HE24" s="115">
        <v>1</v>
      </c>
      <c r="HF24" s="115">
        <v>0</v>
      </c>
      <c r="HG24" s="115">
        <v>0</v>
      </c>
      <c r="HH24" s="115">
        <v>0</v>
      </c>
      <c r="HI24" s="114">
        <v>35.040983606557376</v>
      </c>
      <c r="HJ24" s="114">
        <v>28.846153846153847</v>
      </c>
      <c r="HK24" s="113">
        <v>23.288637967537049</v>
      </c>
      <c r="HL24" s="112">
        <v>62</v>
      </c>
      <c r="HM24" s="112">
        <v>50</v>
      </c>
      <c r="HN24" s="112">
        <v>87</v>
      </c>
      <c r="HO24" s="112">
        <v>81</v>
      </c>
      <c r="HP24" s="112"/>
      <c r="HQ24" s="112">
        <v>94</v>
      </c>
      <c r="HR24" s="112">
        <v>95</v>
      </c>
      <c r="HS24" s="112">
        <v>155</v>
      </c>
      <c r="HT24" s="112">
        <v>162</v>
      </c>
      <c r="HU24" s="117"/>
    </row>
    <row r="25" spans="1:229" ht="21" customHeight="1" x14ac:dyDescent="0.2">
      <c r="A25" s="93">
        <v>22</v>
      </c>
      <c r="B25" s="98" t="s">
        <v>89</v>
      </c>
      <c r="C25" s="99">
        <v>15283</v>
      </c>
      <c r="D25" s="99">
        <v>14869</v>
      </c>
      <c r="E25" s="99">
        <v>14624</v>
      </c>
      <c r="F25" s="99">
        <v>14506</v>
      </c>
      <c r="G25" s="99">
        <v>14553</v>
      </c>
      <c r="H25" s="99">
        <v>6493</v>
      </c>
      <c r="I25" s="99">
        <v>6451</v>
      </c>
      <c r="J25" s="99">
        <v>6344</v>
      </c>
      <c r="K25" s="99">
        <v>6287</v>
      </c>
      <c r="L25" s="99">
        <v>6236</v>
      </c>
      <c r="M25" s="100">
        <v>34.413727359389895</v>
      </c>
      <c r="N25" s="100">
        <v>34.532608695652172</v>
      </c>
      <c r="O25" s="101">
        <v>34.507817661308081</v>
      </c>
      <c r="P25" s="101">
        <v>35.995886184436067</v>
      </c>
      <c r="Q25" s="102">
        <v>36.116791638264033</v>
      </c>
      <c r="R25" s="100">
        <v>27.465310878084949</v>
      </c>
      <c r="S25" s="100">
        <v>27.086956521739129</v>
      </c>
      <c r="T25" s="100">
        <v>26.513983704029947</v>
      </c>
      <c r="U25" s="100">
        <v>29.768026511255858</v>
      </c>
      <c r="V25" s="100">
        <v>29.220631674619405</v>
      </c>
      <c r="W25" s="100">
        <v>61.879038237474845</v>
      </c>
      <c r="X25" s="100">
        <v>61.619565217391305</v>
      </c>
      <c r="Y25" s="100">
        <v>61.021801365338035</v>
      </c>
      <c r="Z25" s="100">
        <v>65.763912695691914</v>
      </c>
      <c r="AA25" s="100">
        <v>65.337423312883431</v>
      </c>
      <c r="AB25" s="100">
        <v>4.5</v>
      </c>
      <c r="AC25" s="100">
        <v>5.3</v>
      </c>
      <c r="AD25" s="100">
        <v>6.3</v>
      </c>
      <c r="AE25" s="100">
        <v>9.6</v>
      </c>
      <c r="AF25" s="100">
        <v>8.1999999999999993</v>
      </c>
      <c r="AG25" s="99">
        <v>315.5</v>
      </c>
      <c r="AH25" s="99">
        <v>301.08333333333331</v>
      </c>
      <c r="AI25" s="104">
        <v>310.16666666666669</v>
      </c>
      <c r="AJ25" s="104">
        <v>415.83333333333331</v>
      </c>
      <c r="AK25" s="105">
        <v>526.58333333333337</v>
      </c>
      <c r="AL25" s="106">
        <v>15009</v>
      </c>
      <c r="AM25" s="106">
        <v>51</v>
      </c>
      <c r="AN25" s="106">
        <v>51</v>
      </c>
      <c r="AO25" s="106">
        <v>62</v>
      </c>
      <c r="AP25" s="106">
        <v>0</v>
      </c>
      <c r="AQ25" s="106">
        <v>680</v>
      </c>
      <c r="AR25" s="106">
        <v>14042</v>
      </c>
      <c r="AS25" s="106">
        <v>47</v>
      </c>
      <c r="AT25" s="106">
        <v>62</v>
      </c>
      <c r="AU25" s="106">
        <v>43</v>
      </c>
      <c r="AV25" s="106">
        <v>134</v>
      </c>
      <c r="AW25" s="106">
        <v>817</v>
      </c>
      <c r="AX25" s="107">
        <v>32732</v>
      </c>
      <c r="AY25" s="107">
        <v>32328</v>
      </c>
      <c r="AZ25" s="107">
        <v>35615</v>
      </c>
      <c r="BA25" s="107">
        <v>44836</v>
      </c>
      <c r="BB25" s="107">
        <v>44311</v>
      </c>
      <c r="BC25" s="107">
        <v>38002</v>
      </c>
      <c r="BD25" s="107">
        <v>40733</v>
      </c>
      <c r="BE25" s="107">
        <v>41391</v>
      </c>
      <c r="BF25" s="108">
        <v>43126</v>
      </c>
      <c r="BG25" s="108">
        <v>43722</v>
      </c>
      <c r="BH25" s="100">
        <v>11.3</v>
      </c>
      <c r="BI25" s="100">
        <v>10.9</v>
      </c>
      <c r="BJ25" s="100">
        <v>11.1</v>
      </c>
      <c r="BK25" s="100">
        <v>10.7</v>
      </c>
      <c r="BL25" s="100">
        <v>13.2</v>
      </c>
      <c r="BM25" s="100">
        <v>15</v>
      </c>
      <c r="BN25" s="109">
        <v>15.5</v>
      </c>
      <c r="BO25" s="109">
        <v>14.9</v>
      </c>
      <c r="BP25" s="109">
        <v>14.8</v>
      </c>
      <c r="BQ25" s="100">
        <v>18.5</v>
      </c>
      <c r="BR25" s="106">
        <v>2061</v>
      </c>
      <c r="BS25" s="118">
        <v>1971</v>
      </c>
      <c r="BT25" s="118">
        <v>1930</v>
      </c>
      <c r="BU25" s="110">
        <v>1896</v>
      </c>
      <c r="BV25" s="100">
        <v>42.697719553614746</v>
      </c>
      <c r="BW25" s="100">
        <v>41.146626078132925</v>
      </c>
      <c r="BX25" s="100">
        <v>45.233160621761655</v>
      </c>
      <c r="BY25" s="103">
        <v>47.573839662447256</v>
      </c>
      <c r="BZ25" s="100">
        <v>2.3774866569626392</v>
      </c>
      <c r="CA25" s="100">
        <v>3.5007610350076099</v>
      </c>
      <c r="CB25" s="100">
        <v>4.5077720207253886</v>
      </c>
      <c r="CC25" s="103">
        <v>3.428270042194093</v>
      </c>
      <c r="CD25" s="100">
        <v>15.76904415332363</v>
      </c>
      <c r="CE25" s="100">
        <v>15.626585489599186</v>
      </c>
      <c r="CF25" s="100">
        <v>16.269430051813472</v>
      </c>
      <c r="CG25" s="103">
        <v>16.40295358649789</v>
      </c>
      <c r="CH25" s="100">
        <v>80.487804878048777</v>
      </c>
      <c r="CI25" s="105">
        <v>78.209999999999994</v>
      </c>
      <c r="CJ25" s="111">
        <v>78.8</v>
      </c>
      <c r="CK25" s="111">
        <v>80.213903743315512</v>
      </c>
      <c r="CL25" s="112">
        <v>848</v>
      </c>
      <c r="CM25" s="112">
        <v>778</v>
      </c>
      <c r="CN25" s="112">
        <v>813</v>
      </c>
      <c r="CO25" s="112">
        <v>794</v>
      </c>
      <c r="CP25" s="112"/>
      <c r="CQ25" s="113">
        <v>10.226724553786783</v>
      </c>
      <c r="CR25" s="113">
        <v>9.5449582254720333</v>
      </c>
      <c r="CS25" s="113">
        <v>10.319354183590576</v>
      </c>
      <c r="CT25" s="113">
        <v>10.753707591250762</v>
      </c>
      <c r="CU25" s="112"/>
      <c r="CV25" s="114">
        <v>5.1129607609988108</v>
      </c>
      <c r="CW25" s="114">
        <v>4.144385026737968</v>
      </c>
      <c r="CX25" s="114">
        <v>4.909560723514212</v>
      </c>
      <c r="CY25" s="114">
        <v>4.031209362808843</v>
      </c>
      <c r="CZ25" s="112"/>
      <c r="DA25" s="113">
        <v>6.6838046272493576</v>
      </c>
      <c r="DB25" s="113">
        <v>8.7769784172661875</v>
      </c>
      <c r="DC25" s="113">
        <v>7.2046109510086458</v>
      </c>
      <c r="DD25" s="113">
        <v>7.5736325385694245</v>
      </c>
      <c r="DE25" s="112"/>
      <c r="DF25" s="113">
        <v>84.841075794621034</v>
      </c>
      <c r="DG25" s="113">
        <v>85.829959514170042</v>
      </c>
      <c r="DH25" s="113">
        <v>89.937888198757761</v>
      </c>
      <c r="DI25" s="113">
        <v>90.839694656488547</v>
      </c>
      <c r="DJ25" s="112"/>
      <c r="DK25" s="114">
        <v>14.075887392900857</v>
      </c>
      <c r="DL25" s="114">
        <v>14.507772020725389</v>
      </c>
      <c r="DM25" s="114">
        <v>14.039408866995075</v>
      </c>
      <c r="DN25" s="114">
        <v>14.754098360655737</v>
      </c>
      <c r="DO25" s="112"/>
      <c r="DP25" s="113">
        <v>20.518867924528301</v>
      </c>
      <c r="DQ25" s="113">
        <v>26.863753213367609</v>
      </c>
      <c r="DR25" s="113">
        <v>31.980319803198032</v>
      </c>
      <c r="DS25" s="113">
        <v>39.54659949622166</v>
      </c>
      <c r="DT25" s="112"/>
      <c r="DU25" s="115">
        <v>6</v>
      </c>
      <c r="DV25" s="115">
        <v>8</v>
      </c>
      <c r="DW25" s="115">
        <v>2</v>
      </c>
      <c r="DX25" s="115">
        <v>3</v>
      </c>
      <c r="DY25" s="112"/>
      <c r="DZ25" s="116">
        <v>4.07</v>
      </c>
      <c r="EA25" s="116">
        <v>1.1173184357541899</v>
      </c>
      <c r="EB25" s="116">
        <v>5.43</v>
      </c>
      <c r="EC25" s="116">
        <v>3.2085561497326203</v>
      </c>
      <c r="ED25" s="112"/>
      <c r="EE25" s="113">
        <v>87.012987012987011</v>
      </c>
      <c r="EF25" s="113">
        <v>0</v>
      </c>
      <c r="EG25" s="113">
        <v>1.948051948051948</v>
      </c>
      <c r="EH25" s="113">
        <v>0</v>
      </c>
      <c r="EI25" s="113">
        <v>11.688311688311689</v>
      </c>
      <c r="EJ25" s="113">
        <v>29.283216783216783</v>
      </c>
      <c r="EK25" s="113"/>
      <c r="EL25" s="115">
        <v>1087</v>
      </c>
      <c r="EM25" s="115">
        <v>1058</v>
      </c>
      <c r="EN25" s="115">
        <v>1065</v>
      </c>
      <c r="EO25" s="115">
        <v>926</v>
      </c>
      <c r="EP25" s="112"/>
      <c r="EQ25" s="114">
        <v>1310.9020742884709</v>
      </c>
      <c r="ER25" s="114">
        <v>1298.0161699934977</v>
      </c>
      <c r="ES25" s="114">
        <v>1351.7973192526401</v>
      </c>
      <c r="ET25" s="114">
        <v>1254.1477619015373</v>
      </c>
      <c r="EU25" s="112"/>
      <c r="EV25" s="113">
        <v>795.95537859000001</v>
      </c>
      <c r="EW25" s="113">
        <v>732.73389909000002</v>
      </c>
      <c r="EX25" s="113">
        <v>714.57659779000005</v>
      </c>
      <c r="EY25" s="113">
        <v>662.62000245000002</v>
      </c>
      <c r="EZ25" s="112"/>
      <c r="FA25" s="115">
        <v>358</v>
      </c>
      <c r="FB25" s="115">
        <v>328</v>
      </c>
      <c r="FC25" s="115">
        <v>340</v>
      </c>
      <c r="FD25" s="115">
        <v>244</v>
      </c>
      <c r="FE25" s="112"/>
      <c r="FF25" s="115">
        <v>224</v>
      </c>
      <c r="FG25" s="115">
        <v>220</v>
      </c>
      <c r="FH25" s="115">
        <v>223</v>
      </c>
      <c r="FI25" s="115">
        <v>200</v>
      </c>
      <c r="FJ25" s="112"/>
      <c r="FK25" s="115">
        <v>79</v>
      </c>
      <c r="FL25" s="115">
        <v>83</v>
      </c>
      <c r="FM25" s="115">
        <v>78</v>
      </c>
      <c r="FN25" s="115">
        <v>63</v>
      </c>
      <c r="FO25" s="112"/>
      <c r="FP25" s="115">
        <v>40</v>
      </c>
      <c r="FQ25" s="115">
        <v>39</v>
      </c>
      <c r="FR25" s="115">
        <v>42</v>
      </c>
      <c r="FS25" s="115">
        <v>37</v>
      </c>
      <c r="FT25" s="112"/>
      <c r="FU25" s="113">
        <v>249.34397251999999</v>
      </c>
      <c r="FV25" s="113">
        <v>221.31748017999999</v>
      </c>
      <c r="FW25" s="113">
        <v>218.8408574</v>
      </c>
      <c r="FX25" s="113">
        <v>161.01664984000001</v>
      </c>
      <c r="FY25" s="112"/>
      <c r="FZ25" s="113">
        <v>174.08411949000001</v>
      </c>
      <c r="GA25" s="113">
        <v>162.81924558</v>
      </c>
      <c r="GB25" s="113">
        <v>168.85682724</v>
      </c>
      <c r="GC25" s="113">
        <v>157.49208741000001</v>
      </c>
      <c r="GD25" s="112"/>
      <c r="GE25" s="113">
        <v>52.599790509999998</v>
      </c>
      <c r="GF25" s="113">
        <v>51.564656419999999</v>
      </c>
      <c r="GG25" s="113">
        <v>45.999675430000003</v>
      </c>
      <c r="GH25" s="113">
        <v>39.205882410000001</v>
      </c>
      <c r="GI25" s="112"/>
      <c r="GJ25" s="113">
        <v>38.000713400000002</v>
      </c>
      <c r="GK25" s="113">
        <v>37.962459889999998</v>
      </c>
      <c r="GL25" s="113">
        <v>34.808026130000002</v>
      </c>
      <c r="GM25" s="113">
        <v>36.463742240000002</v>
      </c>
      <c r="GN25" s="112"/>
      <c r="GO25" s="113">
        <v>1046.44970442</v>
      </c>
      <c r="GP25" s="113">
        <v>891.43997819000003</v>
      </c>
      <c r="GQ25" s="113">
        <v>861.66961728000001</v>
      </c>
      <c r="GR25" s="113">
        <v>872.42242662000001</v>
      </c>
      <c r="GS25" s="112"/>
      <c r="GT25" s="113">
        <v>615.21178229999998</v>
      </c>
      <c r="GU25" s="113">
        <v>618.81972807</v>
      </c>
      <c r="GV25" s="113">
        <v>601.79933151</v>
      </c>
      <c r="GW25" s="113">
        <v>487.53514052000003</v>
      </c>
      <c r="GX25" s="112"/>
      <c r="GY25" s="112"/>
      <c r="GZ25" s="112"/>
      <c r="HA25" s="112"/>
      <c r="HB25" s="112"/>
      <c r="HC25" s="112"/>
      <c r="HD25" s="115">
        <v>187</v>
      </c>
      <c r="HE25" s="115">
        <v>0</v>
      </c>
      <c r="HF25" s="115">
        <v>0</v>
      </c>
      <c r="HG25" s="115">
        <v>0</v>
      </c>
      <c r="HH25" s="115">
        <v>3</v>
      </c>
      <c r="HI25" s="114">
        <v>35.072711719418308</v>
      </c>
      <c r="HJ25" s="114">
        <v>35.081101471142965</v>
      </c>
      <c r="HK25" s="113">
        <v>28.681357117873382</v>
      </c>
      <c r="HL25" s="112">
        <v>43</v>
      </c>
      <c r="HM25" s="112">
        <v>31</v>
      </c>
      <c r="HN25" s="112">
        <v>38</v>
      </c>
      <c r="HO25" s="112">
        <v>31</v>
      </c>
      <c r="HP25" s="112"/>
      <c r="HQ25" s="112">
        <v>52</v>
      </c>
      <c r="HR25" s="112">
        <v>61</v>
      </c>
      <c r="HS25" s="112">
        <v>50</v>
      </c>
      <c r="HT25" s="112">
        <v>54</v>
      </c>
      <c r="HU25" s="117"/>
    </row>
    <row r="26" spans="1:229" x14ac:dyDescent="0.2">
      <c r="A26" s="93">
        <v>23</v>
      </c>
      <c r="B26" s="98" t="s">
        <v>90</v>
      </c>
      <c r="C26" s="99">
        <v>21151</v>
      </c>
      <c r="D26" s="99">
        <v>21037</v>
      </c>
      <c r="E26" s="99">
        <v>20850</v>
      </c>
      <c r="F26" s="99">
        <v>20838</v>
      </c>
      <c r="G26" s="99">
        <v>20866</v>
      </c>
      <c r="H26" s="99">
        <v>8556</v>
      </c>
      <c r="I26" s="99">
        <v>8549</v>
      </c>
      <c r="J26" s="99">
        <v>8518</v>
      </c>
      <c r="K26" s="99">
        <v>8528</v>
      </c>
      <c r="L26" s="99">
        <v>8545</v>
      </c>
      <c r="M26" s="100">
        <v>28.993861356490491</v>
      </c>
      <c r="N26" s="100">
        <v>28.98507012516966</v>
      </c>
      <c r="O26" s="101">
        <v>29.242124486379545</v>
      </c>
      <c r="P26" s="101">
        <v>30.1010101010101</v>
      </c>
      <c r="Q26" s="102">
        <v>31.513432600646027</v>
      </c>
      <c r="R26" s="100">
        <v>29.345710435693967</v>
      </c>
      <c r="S26" s="100">
        <v>29.641079776805913</v>
      </c>
      <c r="T26" s="100">
        <v>29.409526708263584</v>
      </c>
      <c r="U26" s="100">
        <v>31.810411810411811</v>
      </c>
      <c r="V26" s="100">
        <v>32.876388560623965</v>
      </c>
      <c r="W26" s="100">
        <v>58.339571792184465</v>
      </c>
      <c r="X26" s="100">
        <v>58.626149901975566</v>
      </c>
      <c r="Y26" s="100">
        <v>58.651651194643129</v>
      </c>
      <c r="Z26" s="100">
        <v>61.911421911421911</v>
      </c>
      <c r="AA26" s="100">
        <v>64.389821161269992</v>
      </c>
      <c r="AB26" s="100">
        <v>4.2</v>
      </c>
      <c r="AC26" s="100">
        <v>5.0999999999999996</v>
      </c>
      <c r="AD26" s="100">
        <v>6.1</v>
      </c>
      <c r="AE26" s="100">
        <v>8.4</v>
      </c>
      <c r="AF26" s="100">
        <v>7.3</v>
      </c>
      <c r="AG26" s="99">
        <v>329.83333333333331</v>
      </c>
      <c r="AH26" s="99">
        <v>354.91666666666669</v>
      </c>
      <c r="AI26" s="104">
        <v>369.41666666666669</v>
      </c>
      <c r="AJ26" s="104">
        <v>518.5</v>
      </c>
      <c r="AK26" s="105">
        <v>613.08333333333337</v>
      </c>
      <c r="AL26" s="106">
        <v>20934</v>
      </c>
      <c r="AM26" s="106">
        <v>49</v>
      </c>
      <c r="AN26" s="106">
        <v>25</v>
      </c>
      <c r="AO26" s="106">
        <v>41</v>
      </c>
      <c r="AP26" s="106">
        <v>0</v>
      </c>
      <c r="AQ26" s="106">
        <v>149</v>
      </c>
      <c r="AR26" s="106">
        <v>20497</v>
      </c>
      <c r="AS26" s="106">
        <v>49</v>
      </c>
      <c r="AT26" s="106">
        <v>22</v>
      </c>
      <c r="AU26" s="106">
        <v>71</v>
      </c>
      <c r="AV26" s="106">
        <v>173</v>
      </c>
      <c r="AW26" s="106">
        <v>207</v>
      </c>
      <c r="AX26" s="107">
        <v>29020</v>
      </c>
      <c r="AY26" s="107">
        <v>28441</v>
      </c>
      <c r="AZ26" s="107">
        <v>30777</v>
      </c>
      <c r="BA26" s="107">
        <v>33128</v>
      </c>
      <c r="BB26" s="107">
        <v>33709</v>
      </c>
      <c r="BC26" s="107">
        <v>41710</v>
      </c>
      <c r="BD26" s="107">
        <v>41584</v>
      </c>
      <c r="BE26" s="107">
        <v>43776</v>
      </c>
      <c r="BF26" s="108">
        <v>45298</v>
      </c>
      <c r="BG26" s="108">
        <v>47357</v>
      </c>
      <c r="BH26" s="100">
        <v>10.199999999999999</v>
      </c>
      <c r="BI26" s="100">
        <v>10.7</v>
      </c>
      <c r="BJ26" s="100">
        <v>10.8</v>
      </c>
      <c r="BK26" s="100">
        <v>10.8</v>
      </c>
      <c r="BL26" s="100">
        <v>12.7</v>
      </c>
      <c r="BM26" s="100">
        <v>13.3</v>
      </c>
      <c r="BN26" s="109">
        <v>15</v>
      </c>
      <c r="BO26" s="109">
        <v>14.4</v>
      </c>
      <c r="BP26" s="109">
        <v>13.8</v>
      </c>
      <c r="BQ26" s="100">
        <v>17.2</v>
      </c>
      <c r="BR26" s="106">
        <v>2709</v>
      </c>
      <c r="BS26" s="118">
        <v>2624</v>
      </c>
      <c r="BT26" s="118">
        <v>2561</v>
      </c>
      <c r="BU26" s="110">
        <v>2463</v>
      </c>
      <c r="BV26" s="100">
        <v>33.038021410114432</v>
      </c>
      <c r="BW26" s="100">
        <v>31.516768292682929</v>
      </c>
      <c r="BX26" s="100">
        <v>37.797735259664194</v>
      </c>
      <c r="BY26" s="103">
        <v>39.017458384084449</v>
      </c>
      <c r="BZ26" s="100">
        <v>0</v>
      </c>
      <c r="CA26" s="100">
        <v>0</v>
      </c>
      <c r="CB26" s="100">
        <v>0</v>
      </c>
      <c r="CC26" s="103">
        <v>0</v>
      </c>
      <c r="CD26" s="100">
        <v>12.29235880398671</v>
      </c>
      <c r="CE26" s="100">
        <v>11.814024390243901</v>
      </c>
      <c r="CF26" s="100">
        <v>12.377977352596641</v>
      </c>
      <c r="CG26" s="103">
        <v>12.829882257409663</v>
      </c>
      <c r="CH26" s="100">
        <v>90.647482014388487</v>
      </c>
      <c r="CI26" s="105">
        <v>87.5</v>
      </c>
      <c r="CJ26" s="111">
        <v>90.55</v>
      </c>
      <c r="CK26" s="111">
        <v>88.340807174887885</v>
      </c>
      <c r="CL26" s="112">
        <v>1272</v>
      </c>
      <c r="CM26" s="112">
        <v>1215</v>
      </c>
      <c r="CN26" s="112">
        <v>1345</v>
      </c>
      <c r="CO26" s="112">
        <v>1379</v>
      </c>
      <c r="CP26" s="112"/>
      <c r="CQ26" s="113">
        <v>12.300313309867327</v>
      </c>
      <c r="CR26" s="113">
        <v>11.665642522467163</v>
      </c>
      <c r="CS26" s="113">
        <v>12.601774554721683</v>
      </c>
      <c r="CT26" s="113">
        <v>13.165683298008441</v>
      </c>
      <c r="CU26" s="112"/>
      <c r="CV26" s="114">
        <v>4.0290088638195005</v>
      </c>
      <c r="CW26" s="114">
        <v>4.2808219178082192</v>
      </c>
      <c r="CX26" s="114">
        <v>4.7913446676970635</v>
      </c>
      <c r="CY26" s="114">
        <v>4.0662650602409638</v>
      </c>
      <c r="CZ26" s="112"/>
      <c r="DA26" s="113">
        <v>6.3244729605866175</v>
      </c>
      <c r="DB26" s="113">
        <v>7.243243243243243</v>
      </c>
      <c r="DC26" s="113">
        <v>8.064516129032258</v>
      </c>
      <c r="DD26" s="113">
        <v>7.0859872611464967</v>
      </c>
      <c r="DE26" s="112"/>
      <c r="DF26" s="113">
        <v>79.736842105263165</v>
      </c>
      <c r="DG26" s="113">
        <v>83.992094861660078</v>
      </c>
      <c r="DH26" s="113">
        <v>83.137254901960787</v>
      </c>
      <c r="DI26" s="113">
        <v>81.428571428571431</v>
      </c>
      <c r="DJ26" s="112"/>
      <c r="DK26" s="114">
        <v>12.778730703259004</v>
      </c>
      <c r="DL26" s="114">
        <v>14.081996434937611</v>
      </c>
      <c r="DM26" s="114">
        <v>9.4912680334092627</v>
      </c>
      <c r="DN26" s="114">
        <v>10.425844346549193</v>
      </c>
      <c r="DO26" s="112"/>
      <c r="DP26" s="113">
        <v>17.924528301886792</v>
      </c>
      <c r="DQ26" s="113">
        <v>21.022258862324815</v>
      </c>
      <c r="DR26" s="113">
        <v>19.851301115241636</v>
      </c>
      <c r="DS26" s="113">
        <v>23.71283538796229</v>
      </c>
      <c r="DT26" s="112"/>
      <c r="DU26" s="115">
        <v>5</v>
      </c>
      <c r="DV26" s="115">
        <v>7</v>
      </c>
      <c r="DW26" s="115">
        <v>11</v>
      </c>
      <c r="DX26" s="115">
        <v>4</v>
      </c>
      <c r="DY26" s="112"/>
      <c r="DZ26" s="116">
        <v>1.44</v>
      </c>
      <c r="EA26" s="116">
        <v>3.2142857142857144</v>
      </c>
      <c r="EB26" s="116">
        <v>2.36</v>
      </c>
      <c r="EC26" s="116">
        <v>1.3452914798206279</v>
      </c>
      <c r="ED26" s="112"/>
      <c r="EE26" s="113">
        <v>99.1869918699187</v>
      </c>
      <c r="EF26" s="113">
        <v>0</v>
      </c>
      <c r="EG26" s="113">
        <v>0</v>
      </c>
      <c r="EH26" s="113">
        <v>0.4065040650406504</v>
      </c>
      <c r="EI26" s="113">
        <v>0.41152263374485598</v>
      </c>
      <c r="EJ26" s="113">
        <v>20.499859590002806</v>
      </c>
      <c r="EK26" s="113"/>
      <c r="EL26" s="115">
        <v>1331</v>
      </c>
      <c r="EM26" s="115">
        <v>1276</v>
      </c>
      <c r="EN26" s="115">
        <v>1253</v>
      </c>
      <c r="EO26" s="115">
        <v>1128</v>
      </c>
      <c r="EP26" s="112"/>
      <c r="EQ26" s="114">
        <v>1287.0846710246394</v>
      </c>
      <c r="ER26" s="114">
        <v>1225.1324986558107</v>
      </c>
      <c r="ES26" s="114">
        <v>1173.9794436480497</v>
      </c>
      <c r="ET26" s="114">
        <v>1076.931889786332</v>
      </c>
      <c r="EU26" s="112"/>
      <c r="EV26" s="113">
        <v>792.78546675999996</v>
      </c>
      <c r="EW26" s="113">
        <v>747.94536101000006</v>
      </c>
      <c r="EX26" s="113">
        <v>716.33515074000002</v>
      </c>
      <c r="EY26" s="113">
        <v>641.54008524999995</v>
      </c>
      <c r="EZ26" s="112"/>
      <c r="FA26" s="115">
        <v>429</v>
      </c>
      <c r="FB26" s="115">
        <v>374</v>
      </c>
      <c r="FC26" s="115">
        <v>299</v>
      </c>
      <c r="FD26" s="115">
        <v>260</v>
      </c>
      <c r="FE26" s="112"/>
      <c r="FF26" s="115">
        <v>283</v>
      </c>
      <c r="FG26" s="115">
        <v>263</v>
      </c>
      <c r="FH26" s="115">
        <v>256</v>
      </c>
      <c r="FI26" s="115">
        <v>265</v>
      </c>
      <c r="FJ26" s="112"/>
      <c r="FK26" s="115">
        <v>123</v>
      </c>
      <c r="FL26" s="115">
        <v>87</v>
      </c>
      <c r="FM26" s="115">
        <v>85</v>
      </c>
      <c r="FN26" s="115">
        <v>57</v>
      </c>
      <c r="FO26" s="112"/>
      <c r="FP26" s="115">
        <v>51</v>
      </c>
      <c r="FQ26" s="115">
        <v>53</v>
      </c>
      <c r="FR26" s="115">
        <v>65</v>
      </c>
      <c r="FS26" s="115">
        <v>77</v>
      </c>
      <c r="FT26" s="112"/>
      <c r="FU26" s="113">
        <v>239.67783141999999</v>
      </c>
      <c r="FV26" s="113">
        <v>206.63999196</v>
      </c>
      <c r="FW26" s="113">
        <v>160.39100131999999</v>
      </c>
      <c r="FX26" s="113">
        <v>136.36898219</v>
      </c>
      <c r="FY26" s="112"/>
      <c r="FZ26" s="113">
        <v>183.72849414999999</v>
      </c>
      <c r="GA26" s="113">
        <v>167.64734909000001</v>
      </c>
      <c r="GB26" s="113">
        <v>163.41212720999999</v>
      </c>
      <c r="GC26" s="113">
        <v>172.44952542999999</v>
      </c>
      <c r="GD26" s="112"/>
      <c r="GE26" s="113">
        <v>66.736059839999996</v>
      </c>
      <c r="GF26" s="113">
        <v>46.078061030000001</v>
      </c>
      <c r="GG26" s="113">
        <v>44.061993860000001</v>
      </c>
      <c r="GH26" s="113">
        <v>28.04062995</v>
      </c>
      <c r="GI26" s="112"/>
      <c r="GJ26" s="113">
        <v>39.733099709999998</v>
      </c>
      <c r="GK26" s="113">
        <v>46.403746849999997</v>
      </c>
      <c r="GL26" s="113">
        <v>46.698024570000001</v>
      </c>
      <c r="GM26" s="113">
        <v>50.084825109999997</v>
      </c>
      <c r="GN26" s="112"/>
      <c r="GO26" s="113">
        <v>973.87323781999999</v>
      </c>
      <c r="GP26" s="113">
        <v>948.20049166000001</v>
      </c>
      <c r="GQ26" s="113">
        <v>890.02712441000006</v>
      </c>
      <c r="GR26" s="113">
        <v>825.67993769999998</v>
      </c>
      <c r="GS26" s="112"/>
      <c r="GT26" s="113">
        <v>649.58571715999994</v>
      </c>
      <c r="GU26" s="113">
        <v>583.35285728999997</v>
      </c>
      <c r="GV26" s="113">
        <v>573.74853252000003</v>
      </c>
      <c r="GW26" s="113">
        <v>505.00104214999999</v>
      </c>
      <c r="GX26" s="112"/>
      <c r="GY26" s="112"/>
      <c r="GZ26" s="112"/>
      <c r="HA26" s="112"/>
      <c r="HB26" s="112"/>
      <c r="HC26" s="112"/>
      <c r="HD26" s="115">
        <v>215</v>
      </c>
      <c r="HE26" s="115">
        <v>0</v>
      </c>
      <c r="HF26" s="115">
        <v>0</v>
      </c>
      <c r="HG26" s="115">
        <v>0</v>
      </c>
      <c r="HH26" s="115">
        <v>0</v>
      </c>
      <c r="HI26" s="114">
        <v>31.601336979641445</v>
      </c>
      <c r="HJ26" s="114">
        <v>23.70804475226425</v>
      </c>
      <c r="HK26" s="113">
        <v>16.928055763007219</v>
      </c>
      <c r="HL26" s="112">
        <v>50</v>
      </c>
      <c r="HM26" s="112">
        <v>50</v>
      </c>
      <c r="HN26" s="112">
        <v>62</v>
      </c>
      <c r="HO26" s="112">
        <v>54</v>
      </c>
      <c r="HP26" s="112"/>
      <c r="HQ26" s="112">
        <v>69</v>
      </c>
      <c r="HR26" s="112">
        <v>67</v>
      </c>
      <c r="HS26" s="112">
        <v>95</v>
      </c>
      <c r="HT26" s="112">
        <v>89</v>
      </c>
      <c r="HU26" s="117"/>
    </row>
    <row r="27" spans="1:229" x14ac:dyDescent="0.2">
      <c r="A27" s="93">
        <v>24</v>
      </c>
      <c r="B27" s="98" t="s">
        <v>91</v>
      </c>
      <c r="C27" s="99">
        <v>31636</v>
      </c>
      <c r="D27" s="99">
        <v>31257</v>
      </c>
      <c r="E27" s="99">
        <v>30927</v>
      </c>
      <c r="F27" s="99">
        <v>31002</v>
      </c>
      <c r="G27" s="99">
        <v>31255</v>
      </c>
      <c r="H27" s="99">
        <v>13444</v>
      </c>
      <c r="I27" s="99">
        <v>13444</v>
      </c>
      <c r="J27" s="99">
        <v>13393</v>
      </c>
      <c r="K27" s="99">
        <v>13374</v>
      </c>
      <c r="L27" s="99">
        <v>13177</v>
      </c>
      <c r="M27" s="100">
        <v>30.043859649122805</v>
      </c>
      <c r="N27" s="100">
        <v>30.279911075181893</v>
      </c>
      <c r="O27" s="101">
        <v>30.726371210959464</v>
      </c>
      <c r="P27" s="101">
        <v>31.419441294711884</v>
      </c>
      <c r="Q27" s="102">
        <v>32.746807848022421</v>
      </c>
      <c r="R27" s="100">
        <v>27.631578947368425</v>
      </c>
      <c r="S27" s="100">
        <v>27.64753435731609</v>
      </c>
      <c r="T27" s="100">
        <v>27.362878904053574</v>
      </c>
      <c r="U27" s="100">
        <v>28.368209462941966</v>
      </c>
      <c r="V27" s="100">
        <v>29.481988996159036</v>
      </c>
      <c r="W27" s="100">
        <v>57.675438596491226</v>
      </c>
      <c r="X27" s="100">
        <v>57.927445432497983</v>
      </c>
      <c r="Y27" s="100">
        <v>58.089250115013037</v>
      </c>
      <c r="Z27" s="100">
        <v>59.78765075765385</v>
      </c>
      <c r="AA27" s="100">
        <v>62.22879684418146</v>
      </c>
      <c r="AB27" s="100">
        <v>4.4000000000000004</v>
      </c>
      <c r="AC27" s="100">
        <v>5</v>
      </c>
      <c r="AD27" s="100">
        <v>5.7</v>
      </c>
      <c r="AE27" s="100">
        <v>8.6999999999999993</v>
      </c>
      <c r="AF27" s="100">
        <v>7.8</v>
      </c>
      <c r="AG27" s="99">
        <v>706.41666666666663</v>
      </c>
      <c r="AH27" s="99">
        <v>718.75</v>
      </c>
      <c r="AI27" s="104">
        <v>766.41666666666663</v>
      </c>
      <c r="AJ27" s="104">
        <v>978.33333333333337</v>
      </c>
      <c r="AK27" s="105">
        <v>1136</v>
      </c>
      <c r="AL27" s="106">
        <v>30996</v>
      </c>
      <c r="AM27" s="106">
        <v>154</v>
      </c>
      <c r="AN27" s="106">
        <v>66</v>
      </c>
      <c r="AO27" s="106">
        <v>193</v>
      </c>
      <c r="AP27" s="106">
        <v>0</v>
      </c>
      <c r="AQ27" s="106">
        <v>2083</v>
      </c>
      <c r="AR27" s="106">
        <v>29121</v>
      </c>
      <c r="AS27" s="106">
        <v>231</v>
      </c>
      <c r="AT27" s="106">
        <v>68</v>
      </c>
      <c r="AU27" s="106">
        <v>256</v>
      </c>
      <c r="AV27" s="106">
        <v>518</v>
      </c>
      <c r="AW27" s="106">
        <v>2750</v>
      </c>
      <c r="AX27" s="107">
        <v>28626</v>
      </c>
      <c r="AY27" s="107">
        <v>29181</v>
      </c>
      <c r="AZ27" s="107">
        <v>31501</v>
      </c>
      <c r="BA27" s="107">
        <v>35177</v>
      </c>
      <c r="BB27" s="107">
        <v>34839</v>
      </c>
      <c r="BC27" s="107">
        <v>39345</v>
      </c>
      <c r="BD27" s="107">
        <v>42235</v>
      </c>
      <c r="BE27" s="107">
        <v>41944</v>
      </c>
      <c r="BF27" s="108">
        <v>46595</v>
      </c>
      <c r="BG27" s="108">
        <v>44222</v>
      </c>
      <c r="BH27" s="100">
        <v>9</v>
      </c>
      <c r="BI27" s="100">
        <v>9.3000000000000007</v>
      </c>
      <c r="BJ27" s="100">
        <v>8.6999999999999993</v>
      </c>
      <c r="BK27" s="100">
        <v>10.9</v>
      </c>
      <c r="BL27" s="100">
        <v>10.9</v>
      </c>
      <c r="BM27" s="100">
        <v>12.5</v>
      </c>
      <c r="BN27" s="109">
        <v>13.6</v>
      </c>
      <c r="BO27" s="109">
        <v>11.9</v>
      </c>
      <c r="BP27" s="109">
        <v>13.7</v>
      </c>
      <c r="BQ27" s="100">
        <v>15.6</v>
      </c>
      <c r="BR27" s="106">
        <v>4144</v>
      </c>
      <c r="BS27" s="118">
        <v>4086</v>
      </c>
      <c r="BT27" s="118">
        <v>4117</v>
      </c>
      <c r="BU27" s="110">
        <v>4049</v>
      </c>
      <c r="BV27" s="100">
        <v>38.513513513513516</v>
      </c>
      <c r="BW27" s="100">
        <v>40.137053352912382</v>
      </c>
      <c r="BX27" s="100">
        <v>43.259655088656793</v>
      </c>
      <c r="BY27" s="103">
        <v>45.764386268214373</v>
      </c>
      <c r="BZ27" s="100">
        <v>4.3436293436293436</v>
      </c>
      <c r="CA27" s="100">
        <v>5.2129221732745963</v>
      </c>
      <c r="CB27" s="100">
        <v>5.392275929074569</v>
      </c>
      <c r="CC27" s="103">
        <v>5.6063225487774755</v>
      </c>
      <c r="CD27" s="100">
        <v>19.160231660231659</v>
      </c>
      <c r="CE27" s="100">
        <v>19.701419481155163</v>
      </c>
      <c r="CF27" s="100">
        <v>19.431624969638086</v>
      </c>
      <c r="CG27" s="103">
        <v>19.06643615707582</v>
      </c>
      <c r="CH27" s="100">
        <v>75.434243176178654</v>
      </c>
      <c r="CI27" s="105">
        <v>75</v>
      </c>
      <c r="CJ27" s="111">
        <v>77.319999999999993</v>
      </c>
      <c r="CK27" s="111">
        <v>69.747899159663859</v>
      </c>
      <c r="CL27" s="112">
        <v>1832</v>
      </c>
      <c r="CM27" s="112">
        <v>1785</v>
      </c>
      <c r="CN27" s="112">
        <v>1836</v>
      </c>
      <c r="CO27" s="112">
        <v>1876</v>
      </c>
      <c r="CP27" s="112"/>
      <c r="CQ27" s="113">
        <v>11.279954683151491</v>
      </c>
      <c r="CR27" s="113">
        <v>11.211959423384943</v>
      </c>
      <c r="CS27" s="113">
        <v>11.441961336640452</v>
      </c>
      <c r="CT27" s="113">
        <v>12.019708220942228</v>
      </c>
      <c r="CU27" s="112"/>
      <c r="CV27" s="114">
        <v>5.2779337450870294</v>
      </c>
      <c r="CW27" s="114">
        <v>5.320994794679005</v>
      </c>
      <c r="CX27" s="114">
        <v>4.5788581119276426</v>
      </c>
      <c r="CY27" s="114">
        <v>4.8431480462300494</v>
      </c>
      <c r="CZ27" s="112"/>
      <c r="DA27" s="113">
        <v>10.361445783132529</v>
      </c>
      <c r="DB27" s="113">
        <v>8.5492227979274613</v>
      </c>
      <c r="DC27" s="113">
        <v>7.1757735352205394</v>
      </c>
      <c r="DD27" s="113">
        <v>7.5123152709359609</v>
      </c>
      <c r="DE27" s="112"/>
      <c r="DF27" s="113">
        <v>79.657142857142858</v>
      </c>
      <c r="DG27" s="113">
        <v>81.568168519602111</v>
      </c>
      <c r="DH27" s="113">
        <v>89.470782800441015</v>
      </c>
      <c r="DI27" s="113">
        <v>85.399892646269464</v>
      </c>
      <c r="DJ27" s="112"/>
      <c r="DK27" s="114">
        <v>16.407982261640797</v>
      </c>
      <c r="DL27" s="114">
        <v>14.553723706651507</v>
      </c>
      <c r="DM27" s="114">
        <v>11.469142545057347</v>
      </c>
      <c r="DN27" s="114">
        <v>14.407684098185699</v>
      </c>
      <c r="DO27" s="112"/>
      <c r="DP27" s="113">
        <v>28.306010928961747</v>
      </c>
      <c r="DQ27" s="113">
        <v>35.0140056022409</v>
      </c>
      <c r="DR27" s="113">
        <v>37.254901960784316</v>
      </c>
      <c r="DS27" s="113">
        <v>44.243070362473347</v>
      </c>
      <c r="DT27" s="112"/>
      <c r="DU27" s="115">
        <v>16</v>
      </c>
      <c r="DV27" s="115">
        <v>13</v>
      </c>
      <c r="DW27" s="115">
        <v>12</v>
      </c>
      <c r="DX27" s="115">
        <v>9</v>
      </c>
      <c r="DY27" s="112"/>
      <c r="DZ27" s="116">
        <v>10.67</v>
      </c>
      <c r="EA27" s="116">
        <v>8.791208791208792</v>
      </c>
      <c r="EB27" s="116">
        <v>9.27</v>
      </c>
      <c r="EC27" s="116">
        <v>10.364145658263306</v>
      </c>
      <c r="ED27" s="112"/>
      <c r="EE27" s="113">
        <v>83.835616438356169</v>
      </c>
      <c r="EF27" s="113">
        <v>1.095890410958904</v>
      </c>
      <c r="EG27" s="113">
        <v>0.27397260273972601</v>
      </c>
      <c r="EH27" s="113">
        <v>0.82191780821917804</v>
      </c>
      <c r="EI27" s="113">
        <v>15.890410958904109</v>
      </c>
      <c r="EJ27" s="113">
        <v>43.764125744811999</v>
      </c>
      <c r="EK27" s="113"/>
      <c r="EL27" s="115">
        <v>1788</v>
      </c>
      <c r="EM27" s="115">
        <v>1836</v>
      </c>
      <c r="EN27" s="115">
        <v>1852</v>
      </c>
      <c r="EO27" s="115">
        <v>1736</v>
      </c>
      <c r="EP27" s="112"/>
      <c r="EQ27" s="114">
        <v>1100.9038740979731</v>
      </c>
      <c r="ER27" s="114">
        <v>1153.2301121195942</v>
      </c>
      <c r="ES27" s="114">
        <v>1154.167341800551</v>
      </c>
      <c r="ET27" s="114">
        <v>1112.2715070125644</v>
      </c>
      <c r="EU27" s="112"/>
      <c r="EV27" s="113">
        <v>795.89157788</v>
      </c>
      <c r="EW27" s="113">
        <v>780.19347002999996</v>
      </c>
      <c r="EX27" s="113">
        <v>728.82281716</v>
      </c>
      <c r="EY27" s="113">
        <v>676.03385721999996</v>
      </c>
      <c r="EZ27" s="112"/>
      <c r="FA27" s="115">
        <v>491</v>
      </c>
      <c r="FB27" s="115">
        <v>502</v>
      </c>
      <c r="FC27" s="115">
        <v>503</v>
      </c>
      <c r="FD27" s="115">
        <v>410</v>
      </c>
      <c r="FE27" s="112"/>
      <c r="FF27" s="115">
        <v>413</v>
      </c>
      <c r="FG27" s="115">
        <v>404</v>
      </c>
      <c r="FH27" s="115">
        <v>384</v>
      </c>
      <c r="FI27" s="115">
        <v>437</v>
      </c>
      <c r="FJ27" s="112"/>
      <c r="FK27" s="115">
        <v>176</v>
      </c>
      <c r="FL27" s="115">
        <v>157</v>
      </c>
      <c r="FM27" s="115">
        <v>149</v>
      </c>
      <c r="FN27" s="115">
        <v>99</v>
      </c>
      <c r="FO27" s="112"/>
      <c r="FP27" s="115">
        <v>63</v>
      </c>
      <c r="FQ27" s="115">
        <v>55</v>
      </c>
      <c r="FR27" s="115">
        <v>67</v>
      </c>
      <c r="FS27" s="115">
        <v>67</v>
      </c>
      <c r="FT27" s="112"/>
      <c r="FU27" s="113">
        <v>213.37960906999999</v>
      </c>
      <c r="FV27" s="113">
        <v>207.91334563000001</v>
      </c>
      <c r="FW27" s="113">
        <v>188.67273728999999</v>
      </c>
      <c r="FX27" s="113">
        <v>150.52343042999999</v>
      </c>
      <c r="FY27" s="112"/>
      <c r="FZ27" s="113">
        <v>187.42696597</v>
      </c>
      <c r="GA27" s="113">
        <v>181.53308258000001</v>
      </c>
      <c r="GB27" s="113">
        <v>160.90380653</v>
      </c>
      <c r="GC27" s="113">
        <v>182.77981438</v>
      </c>
      <c r="GD27" s="112"/>
      <c r="GE27" s="113">
        <v>74.2400667</v>
      </c>
      <c r="GF27" s="113">
        <v>63.138613049999996</v>
      </c>
      <c r="GG27" s="113">
        <v>51.391299549999999</v>
      </c>
      <c r="GH27" s="113">
        <v>34.048669510000003</v>
      </c>
      <c r="GI27" s="112"/>
      <c r="GJ27" s="113">
        <v>34.432563119999998</v>
      </c>
      <c r="GK27" s="113">
        <v>30.5990897</v>
      </c>
      <c r="GL27" s="113">
        <v>33.75923409</v>
      </c>
      <c r="GM27" s="113">
        <v>33.023370790000001</v>
      </c>
      <c r="GN27" s="112"/>
      <c r="GO27" s="113">
        <v>1069.77973896</v>
      </c>
      <c r="GP27" s="113">
        <v>991.90432466000004</v>
      </c>
      <c r="GQ27" s="113">
        <v>899.31665844999998</v>
      </c>
      <c r="GR27" s="113">
        <v>814.47903637000002</v>
      </c>
      <c r="GS27" s="112"/>
      <c r="GT27" s="113">
        <v>609.97417382000003</v>
      </c>
      <c r="GU27" s="113">
        <v>633.45216227000003</v>
      </c>
      <c r="GV27" s="113">
        <v>595.18943310999998</v>
      </c>
      <c r="GW27" s="113">
        <v>565.90756260000001</v>
      </c>
      <c r="GX27" s="112"/>
      <c r="GY27" s="112"/>
      <c r="GZ27" s="112"/>
      <c r="HA27" s="112"/>
      <c r="HB27" s="112"/>
      <c r="HC27" s="112"/>
      <c r="HD27" s="115">
        <v>343</v>
      </c>
      <c r="HE27" s="115">
        <v>0</v>
      </c>
      <c r="HF27" s="115">
        <v>0</v>
      </c>
      <c r="HG27" s="115">
        <v>0</v>
      </c>
      <c r="HH27" s="115">
        <v>10</v>
      </c>
      <c r="HI27" s="114">
        <v>45.293995429046333</v>
      </c>
      <c r="HJ27" s="114">
        <v>41.402461767997018</v>
      </c>
      <c r="HK27" s="113">
        <v>40.786598689002183</v>
      </c>
      <c r="HL27" s="112">
        <v>94</v>
      </c>
      <c r="HM27" s="112">
        <v>92</v>
      </c>
      <c r="HN27" s="112">
        <v>81</v>
      </c>
      <c r="HO27" s="112">
        <v>88</v>
      </c>
      <c r="HP27" s="112"/>
      <c r="HQ27" s="112">
        <v>172</v>
      </c>
      <c r="HR27" s="112">
        <v>132</v>
      </c>
      <c r="HS27" s="112">
        <v>109</v>
      </c>
      <c r="HT27" s="112">
        <v>122</v>
      </c>
      <c r="HU27" s="117"/>
    </row>
    <row r="28" spans="1:229" x14ac:dyDescent="0.2">
      <c r="A28" s="93">
        <v>25</v>
      </c>
      <c r="B28" s="98" t="s">
        <v>92</v>
      </c>
      <c r="C28" s="99">
        <v>45807</v>
      </c>
      <c r="D28" s="99">
        <v>45839</v>
      </c>
      <c r="E28" s="99">
        <v>45897</v>
      </c>
      <c r="F28" s="99">
        <v>45836</v>
      </c>
      <c r="G28" s="99">
        <v>46183</v>
      </c>
      <c r="H28" s="99">
        <v>18203</v>
      </c>
      <c r="I28" s="99">
        <v>18298</v>
      </c>
      <c r="J28" s="99">
        <v>18419</v>
      </c>
      <c r="K28" s="99">
        <v>18442</v>
      </c>
      <c r="L28" s="99">
        <v>18730</v>
      </c>
      <c r="M28" s="100">
        <v>22.69964850037778</v>
      </c>
      <c r="N28" s="100">
        <v>23.025774383620266</v>
      </c>
      <c r="O28" s="101">
        <v>23.557153222082977</v>
      </c>
      <c r="P28" s="101">
        <v>24.156849545607539</v>
      </c>
      <c r="Q28" s="102">
        <v>25.67101615847475</v>
      </c>
      <c r="R28" s="100">
        <v>27.778325284977495</v>
      </c>
      <c r="S28" s="100">
        <v>27.864643339148753</v>
      </c>
      <c r="T28" s="100">
        <v>27.808192071763077</v>
      </c>
      <c r="U28" s="100">
        <v>30.121171322786939</v>
      </c>
      <c r="V28" s="100">
        <v>30.447569467919681</v>
      </c>
      <c r="W28" s="100">
        <v>50.477973785355282</v>
      </c>
      <c r="X28" s="100">
        <v>50.890417722769023</v>
      </c>
      <c r="Y28" s="100">
        <v>51.365345293846055</v>
      </c>
      <c r="Z28" s="100">
        <v>54.278020868394478</v>
      </c>
      <c r="AA28" s="100">
        <v>56.118585626394427</v>
      </c>
      <c r="AB28" s="100">
        <v>4.3</v>
      </c>
      <c r="AC28" s="100">
        <v>5</v>
      </c>
      <c r="AD28" s="100">
        <v>5.7</v>
      </c>
      <c r="AE28" s="100">
        <v>7.9</v>
      </c>
      <c r="AF28" s="100">
        <v>7.1</v>
      </c>
      <c r="AG28" s="99">
        <v>605.16666666666663</v>
      </c>
      <c r="AH28" s="99">
        <v>653.66666666666663</v>
      </c>
      <c r="AI28" s="104">
        <v>686.16666666666663</v>
      </c>
      <c r="AJ28" s="104">
        <v>854.66666666666663</v>
      </c>
      <c r="AK28" s="105">
        <v>1061.8333333333333</v>
      </c>
      <c r="AL28" s="106">
        <v>44225</v>
      </c>
      <c r="AM28" s="106">
        <v>361</v>
      </c>
      <c r="AN28" s="106">
        <v>516</v>
      </c>
      <c r="AO28" s="106">
        <v>326</v>
      </c>
      <c r="AP28" s="106">
        <v>0</v>
      </c>
      <c r="AQ28" s="106">
        <v>776</v>
      </c>
      <c r="AR28" s="106">
        <v>43684</v>
      </c>
      <c r="AS28" s="106">
        <v>445</v>
      </c>
      <c r="AT28" s="106">
        <v>533</v>
      </c>
      <c r="AU28" s="106">
        <v>291</v>
      </c>
      <c r="AV28" s="106">
        <v>719</v>
      </c>
      <c r="AW28" s="106">
        <v>1342</v>
      </c>
      <c r="AX28" s="107">
        <v>33600</v>
      </c>
      <c r="AY28" s="107">
        <v>33827</v>
      </c>
      <c r="AZ28" s="107">
        <v>35993</v>
      </c>
      <c r="BA28" s="107">
        <v>38789</v>
      </c>
      <c r="BB28" s="107">
        <v>38455</v>
      </c>
      <c r="BC28" s="107">
        <v>51246</v>
      </c>
      <c r="BD28" s="107">
        <v>54521</v>
      </c>
      <c r="BE28" s="107">
        <v>55762</v>
      </c>
      <c r="BF28" s="108">
        <v>54697</v>
      </c>
      <c r="BG28" s="108">
        <v>56947</v>
      </c>
      <c r="BH28" s="100">
        <v>6.6</v>
      </c>
      <c r="BI28" s="100">
        <v>7.4</v>
      </c>
      <c r="BJ28" s="100">
        <v>7.9</v>
      </c>
      <c r="BK28" s="100">
        <v>6.9</v>
      </c>
      <c r="BL28" s="100">
        <v>7.5</v>
      </c>
      <c r="BM28" s="100">
        <v>8.5</v>
      </c>
      <c r="BN28" s="109">
        <v>9.4</v>
      </c>
      <c r="BO28" s="109">
        <v>9.6</v>
      </c>
      <c r="BP28" s="109">
        <v>8.4</v>
      </c>
      <c r="BQ28" s="100">
        <v>10.3</v>
      </c>
      <c r="BR28" s="106">
        <v>7018</v>
      </c>
      <c r="BS28" s="118">
        <v>6980</v>
      </c>
      <c r="BT28" s="118">
        <v>6920</v>
      </c>
      <c r="BU28" s="110">
        <v>6848</v>
      </c>
      <c r="BV28" s="100">
        <v>21.701339412938157</v>
      </c>
      <c r="BW28" s="100">
        <v>21.246418338108882</v>
      </c>
      <c r="BX28" s="100">
        <v>24.580924855491329</v>
      </c>
      <c r="BY28" s="103">
        <v>25.992990654205606</v>
      </c>
      <c r="BZ28" s="100">
        <v>1.909375890567113</v>
      </c>
      <c r="CA28" s="100">
        <v>1.7478510028653294</v>
      </c>
      <c r="CB28" s="100">
        <v>1.9219653179190752</v>
      </c>
      <c r="CC28" s="103">
        <v>2.0735981308411215</v>
      </c>
      <c r="CD28" s="100">
        <v>12.154459960102592</v>
      </c>
      <c r="CE28" s="100">
        <v>12.005730659025787</v>
      </c>
      <c r="CF28" s="100">
        <v>12.008670520231213</v>
      </c>
      <c r="CG28" s="103">
        <v>12.733644859813085</v>
      </c>
      <c r="CH28" s="100">
        <v>86.330935251798564</v>
      </c>
      <c r="CI28" s="105">
        <v>86.89</v>
      </c>
      <c r="CJ28" s="111">
        <v>82</v>
      </c>
      <c r="CK28" s="111">
        <v>86.81481481481481</v>
      </c>
      <c r="CL28" s="112">
        <v>2575</v>
      </c>
      <c r="CM28" s="112">
        <v>2531</v>
      </c>
      <c r="CN28" s="112">
        <v>2738</v>
      </c>
      <c r="CO28" s="112">
        <v>2871</v>
      </c>
      <c r="CP28" s="112"/>
      <c r="CQ28" s="113">
        <v>12.357943638178607</v>
      </c>
      <c r="CR28" s="113">
        <v>11.733726466484008</v>
      </c>
      <c r="CS28" s="113">
        <v>12.137116614728555</v>
      </c>
      <c r="CT28" s="113">
        <v>12.506425279445205</v>
      </c>
      <c r="CU28" s="112"/>
      <c r="CV28" s="114">
        <v>4.1150619256891732</v>
      </c>
      <c r="CW28" s="114">
        <v>4.3938161106590723</v>
      </c>
      <c r="CX28" s="114">
        <v>4.7854158754272689</v>
      </c>
      <c r="CY28" s="114">
        <v>4.250720461095101</v>
      </c>
      <c r="CZ28" s="112"/>
      <c r="DA28" s="113">
        <v>6.8233167645729775</v>
      </c>
      <c r="DB28" s="113">
        <v>6.5535124941065535</v>
      </c>
      <c r="DC28" s="113">
        <v>9.0501426824296782</v>
      </c>
      <c r="DD28" s="113">
        <v>7.1535580524344571</v>
      </c>
      <c r="DE28" s="112"/>
      <c r="DF28" s="113">
        <v>79.436152570480928</v>
      </c>
      <c r="DG28" s="113">
        <v>84.685809404910529</v>
      </c>
      <c r="DH28" s="113">
        <v>89.020771513353111</v>
      </c>
      <c r="DI28" s="113">
        <v>88.518258426966298</v>
      </c>
      <c r="DJ28" s="112"/>
      <c r="DK28" s="114">
        <v>15.185332801913113</v>
      </c>
      <c r="DL28" s="114">
        <v>14.780507450664519</v>
      </c>
      <c r="DM28" s="114">
        <v>12.569111684482124</v>
      </c>
      <c r="DN28" s="114">
        <v>12.815126050420169</v>
      </c>
      <c r="DO28" s="112"/>
      <c r="DP28" s="113">
        <v>20.854368932038835</v>
      </c>
      <c r="DQ28" s="113">
        <v>24.338206242591863</v>
      </c>
      <c r="DR28" s="113">
        <v>27.887426900584796</v>
      </c>
      <c r="DS28" s="113">
        <v>32.985022640195055</v>
      </c>
      <c r="DT28" s="112"/>
      <c r="DU28" s="115">
        <v>33</v>
      </c>
      <c r="DV28" s="115">
        <v>20</v>
      </c>
      <c r="DW28" s="115">
        <v>11</v>
      </c>
      <c r="DX28" s="115">
        <v>13</v>
      </c>
      <c r="DY28" s="112"/>
      <c r="DZ28" s="116">
        <v>3.31</v>
      </c>
      <c r="EA28" s="116">
        <v>2.3845007451564828</v>
      </c>
      <c r="EB28" s="116">
        <v>5.08</v>
      </c>
      <c r="EC28" s="116">
        <v>4</v>
      </c>
      <c r="ED28" s="112"/>
      <c r="EE28" s="113">
        <v>91.320754716981128</v>
      </c>
      <c r="EF28" s="113">
        <v>2.0754716981132075</v>
      </c>
      <c r="EG28" s="113">
        <v>1.6981132075471699</v>
      </c>
      <c r="EH28" s="113">
        <v>0.94339622641509435</v>
      </c>
      <c r="EI28" s="113">
        <v>4.716981132075472</v>
      </c>
      <c r="EJ28" s="113">
        <v>25.127008101057257</v>
      </c>
      <c r="EK28" s="113"/>
      <c r="EL28" s="115">
        <v>2326</v>
      </c>
      <c r="EM28" s="115">
        <v>2239</v>
      </c>
      <c r="EN28" s="115">
        <v>2198</v>
      </c>
      <c r="EO28" s="115">
        <v>2188</v>
      </c>
      <c r="EP28" s="112"/>
      <c r="EQ28" s="114">
        <v>1116.2942486370268</v>
      </c>
      <c r="ER28" s="114">
        <v>1038.0013258971826</v>
      </c>
      <c r="ES28" s="114">
        <v>974.33828777112365</v>
      </c>
      <c r="ET28" s="114">
        <v>953.11941871912597</v>
      </c>
      <c r="EU28" s="112"/>
      <c r="EV28" s="113">
        <v>849.14829351000003</v>
      </c>
      <c r="EW28" s="113">
        <v>777.90333558999998</v>
      </c>
      <c r="EX28" s="113">
        <v>756.69353339999998</v>
      </c>
      <c r="EY28" s="113">
        <v>696.08043275</v>
      </c>
      <c r="EZ28" s="112"/>
      <c r="FA28" s="115">
        <v>695</v>
      </c>
      <c r="FB28" s="115">
        <v>593</v>
      </c>
      <c r="FC28" s="115">
        <v>490</v>
      </c>
      <c r="FD28" s="115">
        <v>418</v>
      </c>
      <c r="FE28" s="112"/>
      <c r="FF28" s="115">
        <v>477</v>
      </c>
      <c r="FG28" s="115">
        <v>450</v>
      </c>
      <c r="FH28" s="115">
        <v>478</v>
      </c>
      <c r="FI28" s="115">
        <v>530</v>
      </c>
      <c r="FJ28" s="112"/>
      <c r="FK28" s="115">
        <v>220</v>
      </c>
      <c r="FL28" s="115">
        <v>186</v>
      </c>
      <c r="FM28" s="115">
        <v>142</v>
      </c>
      <c r="FN28" s="115">
        <v>126</v>
      </c>
      <c r="FO28" s="112"/>
      <c r="FP28" s="115">
        <v>87</v>
      </c>
      <c r="FQ28" s="115">
        <v>111</v>
      </c>
      <c r="FR28" s="115">
        <v>158</v>
      </c>
      <c r="FS28" s="115">
        <v>153</v>
      </c>
      <c r="FT28" s="112"/>
      <c r="FU28" s="113">
        <v>245.80314362999999</v>
      </c>
      <c r="FV28" s="113">
        <v>200.70519035999999</v>
      </c>
      <c r="FW28" s="113">
        <v>159.27341548000001</v>
      </c>
      <c r="FX28" s="113">
        <v>126.53987293</v>
      </c>
      <c r="FY28" s="112"/>
      <c r="FZ28" s="113">
        <v>190.33055196000001</v>
      </c>
      <c r="GA28" s="113">
        <v>171.44340518000001</v>
      </c>
      <c r="GB28" s="113">
        <v>175.60793423000001</v>
      </c>
      <c r="GC28" s="113">
        <v>177.52588571000001</v>
      </c>
      <c r="GD28" s="112"/>
      <c r="GE28" s="113">
        <v>71.846510629999997</v>
      </c>
      <c r="GF28" s="113">
        <v>59.529325780000001</v>
      </c>
      <c r="GG28" s="113">
        <v>46.568097719999997</v>
      </c>
      <c r="GH28" s="113">
        <v>38.003144339999999</v>
      </c>
      <c r="GI28" s="112"/>
      <c r="GJ28" s="113">
        <v>35.177117670000001</v>
      </c>
      <c r="GK28" s="113">
        <v>44.425694640000003</v>
      </c>
      <c r="GL28" s="113">
        <v>58.156448660000002</v>
      </c>
      <c r="GM28" s="113">
        <v>52.105355350000004</v>
      </c>
      <c r="GN28" s="112"/>
      <c r="GO28" s="113">
        <v>1068.2412060700001</v>
      </c>
      <c r="GP28" s="113">
        <v>924.99657833000003</v>
      </c>
      <c r="GQ28" s="113">
        <v>924.52711967000005</v>
      </c>
      <c r="GR28" s="113">
        <v>834.01286334999998</v>
      </c>
      <c r="GS28" s="112"/>
      <c r="GT28" s="113">
        <v>705.86166996999998</v>
      </c>
      <c r="GU28" s="113">
        <v>666.79557231000001</v>
      </c>
      <c r="GV28" s="113">
        <v>632.07305753000003</v>
      </c>
      <c r="GW28" s="113">
        <v>588.88364335999995</v>
      </c>
      <c r="GX28" s="112"/>
      <c r="GY28" s="112"/>
      <c r="GZ28" s="112"/>
      <c r="HA28" s="112"/>
      <c r="HB28" s="112"/>
      <c r="HC28" s="112"/>
      <c r="HD28" s="115">
        <v>479</v>
      </c>
      <c r="HE28" s="115">
        <v>0</v>
      </c>
      <c r="HF28" s="115">
        <v>7</v>
      </c>
      <c r="HG28" s="115">
        <v>0</v>
      </c>
      <c r="HH28" s="115">
        <v>1</v>
      </c>
      <c r="HI28" s="114">
        <v>29.397893412985379</v>
      </c>
      <c r="HJ28" s="114">
        <v>28.137678314356759</v>
      </c>
      <c r="HK28" s="113">
        <v>26.039178213091258</v>
      </c>
      <c r="HL28" s="112">
        <v>103</v>
      </c>
      <c r="HM28" s="112">
        <v>108</v>
      </c>
      <c r="HN28" s="112">
        <v>126</v>
      </c>
      <c r="HO28" s="112">
        <v>118</v>
      </c>
      <c r="HP28" s="112"/>
      <c r="HQ28" s="112">
        <v>151</v>
      </c>
      <c r="HR28" s="112">
        <v>139</v>
      </c>
      <c r="HS28" s="112">
        <v>222</v>
      </c>
      <c r="HT28" s="112">
        <v>191</v>
      </c>
      <c r="HU28" s="117"/>
    </row>
    <row r="29" spans="1:229" x14ac:dyDescent="0.2">
      <c r="A29" s="93">
        <v>26</v>
      </c>
      <c r="B29" s="98" t="s">
        <v>93</v>
      </c>
      <c r="C29" s="99">
        <v>6078</v>
      </c>
      <c r="D29" s="99">
        <v>6021</v>
      </c>
      <c r="E29" s="99">
        <v>6005</v>
      </c>
      <c r="F29" s="99">
        <v>5835</v>
      </c>
      <c r="G29" s="99">
        <v>6018</v>
      </c>
      <c r="H29" s="99">
        <v>2513</v>
      </c>
      <c r="I29" s="99">
        <v>2517</v>
      </c>
      <c r="J29" s="99">
        <v>2521</v>
      </c>
      <c r="K29" s="99">
        <v>2473</v>
      </c>
      <c r="L29" s="99">
        <v>2601</v>
      </c>
      <c r="M29" s="100">
        <v>37.750135208220655</v>
      </c>
      <c r="N29" s="100">
        <v>38.683920704845818</v>
      </c>
      <c r="O29" s="101">
        <v>39.467849223946786</v>
      </c>
      <c r="P29" s="101">
        <v>38.42180774748924</v>
      </c>
      <c r="Q29" s="102">
        <v>36.698762035763409</v>
      </c>
      <c r="R29" s="100">
        <v>26.608977825851809</v>
      </c>
      <c r="S29" s="100">
        <v>27.092511013215859</v>
      </c>
      <c r="T29" s="100">
        <v>26.967849223946782</v>
      </c>
      <c r="U29" s="100">
        <v>29.010043041606888</v>
      </c>
      <c r="V29" s="100">
        <v>28.858321870701513</v>
      </c>
      <c r="W29" s="100">
        <v>64.359113034072465</v>
      </c>
      <c r="X29" s="100">
        <v>65.776431718061673</v>
      </c>
      <c r="Y29" s="100">
        <v>66.435698447893571</v>
      </c>
      <c r="Z29" s="100">
        <v>67.431850789096131</v>
      </c>
      <c r="AA29" s="100">
        <v>65.557083906464925</v>
      </c>
      <c r="AB29" s="100">
        <v>5.3</v>
      </c>
      <c r="AC29" s="100">
        <v>6</v>
      </c>
      <c r="AD29" s="100">
        <v>7</v>
      </c>
      <c r="AE29" s="100">
        <v>8.8000000000000007</v>
      </c>
      <c r="AF29" s="100">
        <v>8.1</v>
      </c>
      <c r="AG29" s="99">
        <v>123.41666666666667</v>
      </c>
      <c r="AH29" s="99">
        <v>129.41666666666666</v>
      </c>
      <c r="AI29" s="104">
        <v>136</v>
      </c>
      <c r="AJ29" s="104">
        <v>163.66666666666666</v>
      </c>
      <c r="AK29" s="105">
        <v>204.08333333333334</v>
      </c>
      <c r="AL29" s="106">
        <v>5986</v>
      </c>
      <c r="AM29" s="106">
        <v>13</v>
      </c>
      <c r="AN29" s="106">
        <v>20</v>
      </c>
      <c r="AO29" s="106">
        <v>14</v>
      </c>
      <c r="AP29" s="106">
        <v>0</v>
      </c>
      <c r="AQ29" s="106">
        <v>43</v>
      </c>
      <c r="AR29" s="106">
        <v>5864</v>
      </c>
      <c r="AS29" s="106">
        <v>19</v>
      </c>
      <c r="AT29" s="106">
        <v>9</v>
      </c>
      <c r="AU29" s="106">
        <v>15</v>
      </c>
      <c r="AV29" s="106">
        <v>69</v>
      </c>
      <c r="AW29" s="106">
        <v>94</v>
      </c>
      <c r="AX29" s="107">
        <v>26640</v>
      </c>
      <c r="AY29" s="107">
        <v>26277</v>
      </c>
      <c r="AZ29" s="107">
        <v>28936</v>
      </c>
      <c r="BA29" s="107">
        <v>38437</v>
      </c>
      <c r="BB29" s="107">
        <v>36912</v>
      </c>
      <c r="BC29" s="107">
        <v>38267</v>
      </c>
      <c r="BD29" s="107">
        <v>38230</v>
      </c>
      <c r="BE29" s="107">
        <v>39285</v>
      </c>
      <c r="BF29" s="108">
        <v>38532</v>
      </c>
      <c r="BG29" s="108">
        <v>43940</v>
      </c>
      <c r="BH29" s="100">
        <v>10.1</v>
      </c>
      <c r="BI29" s="100">
        <v>10.6</v>
      </c>
      <c r="BJ29" s="100">
        <v>11.8</v>
      </c>
      <c r="BK29" s="100">
        <v>10.8</v>
      </c>
      <c r="BL29" s="100">
        <v>10.6</v>
      </c>
      <c r="BM29" s="100">
        <v>13.4</v>
      </c>
      <c r="BN29" s="109">
        <v>15</v>
      </c>
      <c r="BO29" s="109">
        <v>16.100000000000001</v>
      </c>
      <c r="BP29" s="109">
        <v>14.5</v>
      </c>
      <c r="BQ29" s="100">
        <v>15.8</v>
      </c>
      <c r="BR29" s="106">
        <v>1182</v>
      </c>
      <c r="BS29" s="118">
        <v>1143</v>
      </c>
      <c r="BT29" s="118">
        <v>1092</v>
      </c>
      <c r="BU29" s="110">
        <v>1085</v>
      </c>
      <c r="BV29" s="100">
        <v>38.155668358714045</v>
      </c>
      <c r="BW29" s="100">
        <v>37.620297462817149</v>
      </c>
      <c r="BX29" s="100">
        <v>37.912087912087912</v>
      </c>
      <c r="BY29" s="103">
        <v>40.829493087557601</v>
      </c>
      <c r="BZ29" s="100">
        <v>0.33840947546531303</v>
      </c>
      <c r="CA29" s="100">
        <v>0</v>
      </c>
      <c r="CB29" s="100">
        <v>9.1575091575091569E-2</v>
      </c>
      <c r="CC29" s="103">
        <v>0</v>
      </c>
      <c r="CD29" s="100">
        <v>15.820642978003384</v>
      </c>
      <c r="CE29" s="100">
        <v>15.223097112860891</v>
      </c>
      <c r="CF29" s="100">
        <v>14.468864468864469</v>
      </c>
      <c r="CG29" s="103">
        <v>14.47004608294931</v>
      </c>
      <c r="CH29" s="100">
        <v>90.178571428571431</v>
      </c>
      <c r="CI29" s="105">
        <v>92.16</v>
      </c>
      <c r="CJ29" s="111">
        <v>95.92</v>
      </c>
      <c r="CK29" s="111">
        <v>89.247311827956992</v>
      </c>
      <c r="CL29" s="112">
        <v>312</v>
      </c>
      <c r="CM29" s="112">
        <v>302</v>
      </c>
      <c r="CN29" s="112">
        <v>318</v>
      </c>
      <c r="CO29" s="112">
        <v>349</v>
      </c>
      <c r="CP29" s="112"/>
      <c r="CQ29" s="113">
        <v>10.103299763608691</v>
      </c>
      <c r="CR29" s="113">
        <v>9.7927948377055021</v>
      </c>
      <c r="CS29" s="113">
        <v>10.25607946848997</v>
      </c>
      <c r="CT29" s="113">
        <v>11.650031712120706</v>
      </c>
      <c r="CU29" s="112"/>
      <c r="CV29" s="114">
        <v>2.5806451612903225</v>
      </c>
      <c r="CW29" s="114">
        <v>4.895104895104895</v>
      </c>
      <c r="CX29" s="114">
        <v>4.4728434504792336</v>
      </c>
      <c r="CY29" s="114">
        <v>4.2042042042042045</v>
      </c>
      <c r="CZ29" s="112"/>
      <c r="DA29" s="113">
        <v>5.4982817869415808</v>
      </c>
      <c r="DB29" s="113">
        <v>7.5</v>
      </c>
      <c r="DC29" s="113">
        <v>5.5016181229773462</v>
      </c>
      <c r="DD29" s="113">
        <v>5.7401812688821749</v>
      </c>
      <c r="DE29" s="112"/>
      <c r="DF29" s="113">
        <v>83.22147651006712</v>
      </c>
      <c r="DG29" s="113">
        <v>86.486486486486484</v>
      </c>
      <c r="DH29" s="113">
        <v>90.851735015772874</v>
      </c>
      <c r="DI29" s="113">
        <v>91.954022988505741</v>
      </c>
      <c r="DJ29" s="112"/>
      <c r="DK29" s="114">
        <v>16.333333333333332</v>
      </c>
      <c r="DL29" s="114">
        <v>17.406143344709896</v>
      </c>
      <c r="DM29" s="114">
        <v>12.933753943217665</v>
      </c>
      <c r="DN29" s="114">
        <v>10.02865329512894</v>
      </c>
      <c r="DO29" s="112"/>
      <c r="DP29" s="113">
        <v>17.041800643086816</v>
      </c>
      <c r="DQ29" s="113">
        <v>20.860927152317881</v>
      </c>
      <c r="DR29" s="113">
        <v>24.213836477987421</v>
      </c>
      <c r="DS29" s="113">
        <v>24.928366762177649</v>
      </c>
      <c r="DT29" s="112"/>
      <c r="DU29" s="115">
        <v>4</v>
      </c>
      <c r="DV29" s="115">
        <v>0</v>
      </c>
      <c r="DW29" s="115">
        <v>0</v>
      </c>
      <c r="DX29" s="115">
        <v>0</v>
      </c>
      <c r="DY29" s="112"/>
      <c r="DZ29" s="116">
        <v>1.79</v>
      </c>
      <c r="EA29" s="116">
        <v>3.9215686274509802</v>
      </c>
      <c r="EB29" s="116">
        <v>2.04</v>
      </c>
      <c r="EC29" s="116">
        <v>1.075268817204301</v>
      </c>
      <c r="ED29" s="112"/>
      <c r="EE29" s="113">
        <v>95.238095238095241</v>
      </c>
      <c r="EF29" s="113">
        <v>1.5873015873015872</v>
      </c>
      <c r="EG29" s="113">
        <v>0</v>
      </c>
      <c r="EH29" s="113">
        <v>0</v>
      </c>
      <c r="EI29" s="113">
        <v>3.1746031746031744</v>
      </c>
      <c r="EJ29" s="113" t="s">
        <v>46</v>
      </c>
      <c r="EK29" s="113"/>
      <c r="EL29" s="115">
        <v>470</v>
      </c>
      <c r="EM29" s="115">
        <v>437</v>
      </c>
      <c r="EN29" s="115">
        <v>432</v>
      </c>
      <c r="EO29" s="115">
        <v>408</v>
      </c>
      <c r="EP29" s="112"/>
      <c r="EQ29" s="114">
        <v>1521.9714387487452</v>
      </c>
      <c r="ER29" s="114">
        <v>1417.0368688997698</v>
      </c>
      <c r="ES29" s="114">
        <v>1393.2787202476941</v>
      </c>
      <c r="ET29" s="114">
        <v>1361.9521313883233</v>
      </c>
      <c r="EU29" s="112"/>
      <c r="EV29" s="113">
        <v>832.75843080000004</v>
      </c>
      <c r="EW29" s="113">
        <v>754.73338643</v>
      </c>
      <c r="EX29" s="113">
        <v>716.75823406999996</v>
      </c>
      <c r="EY29" s="113">
        <v>714.81367908000004</v>
      </c>
      <c r="EZ29" s="112"/>
      <c r="FA29" s="115">
        <v>151</v>
      </c>
      <c r="FB29" s="115">
        <v>128</v>
      </c>
      <c r="FC29" s="115">
        <v>132</v>
      </c>
      <c r="FD29" s="115">
        <v>88</v>
      </c>
      <c r="FE29" s="112"/>
      <c r="FF29" s="115">
        <v>108</v>
      </c>
      <c r="FG29" s="115">
        <v>84</v>
      </c>
      <c r="FH29" s="115">
        <v>82</v>
      </c>
      <c r="FI29" s="115">
        <v>108</v>
      </c>
      <c r="FJ29" s="112"/>
      <c r="FK29" s="115">
        <v>31</v>
      </c>
      <c r="FL29" s="115">
        <v>35</v>
      </c>
      <c r="FM29" s="115">
        <v>26</v>
      </c>
      <c r="FN29" s="115">
        <v>20</v>
      </c>
      <c r="FO29" s="112"/>
      <c r="FP29" s="115">
        <v>14</v>
      </c>
      <c r="FQ29" s="115">
        <v>20</v>
      </c>
      <c r="FR29" s="115">
        <v>17</v>
      </c>
      <c r="FS29" s="115">
        <v>19</v>
      </c>
      <c r="FT29" s="112"/>
      <c r="FU29" s="113">
        <v>248.68769877</v>
      </c>
      <c r="FV29" s="113">
        <v>217.60578594</v>
      </c>
      <c r="FW29" s="113">
        <v>196.09882574</v>
      </c>
      <c r="FX29" s="113">
        <v>145.90399703</v>
      </c>
      <c r="FY29" s="112"/>
      <c r="FZ29" s="113">
        <v>203.31789939999999</v>
      </c>
      <c r="GA29" s="113">
        <v>157.276160709999</v>
      </c>
      <c r="GB29" s="113">
        <v>162.53613748000001</v>
      </c>
      <c r="GC29" s="113">
        <v>200.01136095000001</v>
      </c>
      <c r="GD29" s="112"/>
      <c r="GE29" s="113">
        <v>50.005674040000002</v>
      </c>
      <c r="GF29" s="113">
        <v>54.407141729999999</v>
      </c>
      <c r="GG29" s="113">
        <v>37.398673049999999</v>
      </c>
      <c r="GH29" s="113" t="s">
        <v>46</v>
      </c>
      <c r="GI29" s="112"/>
      <c r="GJ29" s="113" t="s">
        <v>46</v>
      </c>
      <c r="GK29" s="113" t="s">
        <v>46</v>
      </c>
      <c r="GL29" s="113" t="s">
        <v>46</v>
      </c>
      <c r="GM29" s="113" t="s">
        <v>46</v>
      </c>
      <c r="GN29" s="112"/>
      <c r="GO29" s="113">
        <v>1113.3592798699999</v>
      </c>
      <c r="GP29" s="113">
        <v>962.90601613000001</v>
      </c>
      <c r="GQ29" s="113">
        <v>853.05290285000001</v>
      </c>
      <c r="GR29" s="113">
        <v>884.80572273999996</v>
      </c>
      <c r="GS29" s="112"/>
      <c r="GT29" s="113">
        <v>617.48521448999998</v>
      </c>
      <c r="GU29" s="113">
        <v>592.28309078999996</v>
      </c>
      <c r="GV29" s="113">
        <v>604.83729200000005</v>
      </c>
      <c r="GW29" s="113">
        <v>568.80485405000002</v>
      </c>
      <c r="GX29" s="112"/>
      <c r="GY29" s="112"/>
      <c r="GZ29" s="112"/>
      <c r="HA29" s="112"/>
      <c r="HB29" s="112"/>
      <c r="HC29" s="112"/>
      <c r="HD29" s="115">
        <v>86</v>
      </c>
      <c r="HE29" s="115">
        <v>0</v>
      </c>
      <c r="HF29" s="115">
        <v>0</v>
      </c>
      <c r="HG29" s="115">
        <v>0</v>
      </c>
      <c r="HH29" s="115">
        <v>0</v>
      </c>
      <c r="HI29" s="114">
        <v>30.495552731893266</v>
      </c>
      <c r="HJ29" s="114" t="s">
        <v>46</v>
      </c>
      <c r="HK29" s="113">
        <v>20.219039595619208</v>
      </c>
      <c r="HL29" s="112">
        <v>8</v>
      </c>
      <c r="HM29" s="112">
        <v>14</v>
      </c>
      <c r="HN29" s="112">
        <v>14</v>
      </c>
      <c r="HO29" s="112">
        <v>14</v>
      </c>
      <c r="HP29" s="112"/>
      <c r="HQ29" s="112">
        <v>16</v>
      </c>
      <c r="HR29" s="112">
        <v>21</v>
      </c>
      <c r="HS29" s="112">
        <v>17</v>
      </c>
      <c r="HT29" s="112">
        <v>19</v>
      </c>
      <c r="HU29" s="117"/>
    </row>
    <row r="30" spans="1:229" ht="21" customHeight="1" x14ac:dyDescent="0.2">
      <c r="A30" s="93">
        <v>27</v>
      </c>
      <c r="B30" s="98" t="s">
        <v>94</v>
      </c>
      <c r="C30" s="99">
        <v>1122093</v>
      </c>
      <c r="D30" s="99">
        <v>1136599</v>
      </c>
      <c r="E30" s="99">
        <v>1140988</v>
      </c>
      <c r="F30" s="99">
        <v>1156212</v>
      </c>
      <c r="G30" s="99">
        <v>1152425</v>
      </c>
      <c r="H30" s="99">
        <v>479483</v>
      </c>
      <c r="I30" s="99">
        <v>482300</v>
      </c>
      <c r="J30" s="99">
        <v>485377</v>
      </c>
      <c r="K30" s="99">
        <v>487813</v>
      </c>
      <c r="L30" s="99">
        <v>475913</v>
      </c>
      <c r="M30" s="100">
        <v>15.814838464168005</v>
      </c>
      <c r="N30" s="100">
        <v>15.586995138664998</v>
      </c>
      <c r="O30" s="101">
        <v>15.772467887697465</v>
      </c>
      <c r="P30" s="101">
        <v>15.963375845427363</v>
      </c>
      <c r="Q30" s="102">
        <v>16.27813214736355</v>
      </c>
      <c r="R30" s="100">
        <v>28.931199731687339</v>
      </c>
      <c r="S30" s="100">
        <v>28.1162168825504</v>
      </c>
      <c r="T30" s="100">
        <v>28.180982047894993</v>
      </c>
      <c r="U30" s="100">
        <v>27.075696599980947</v>
      </c>
      <c r="V30" s="100">
        <v>27.126445649549911</v>
      </c>
      <c r="W30" s="100">
        <v>44.746038195855341</v>
      </c>
      <c r="X30" s="100">
        <v>43.7032120212154</v>
      </c>
      <c r="Y30" s="100">
        <v>43.953449935592452</v>
      </c>
      <c r="Z30" s="100">
        <v>43.039072445408308</v>
      </c>
      <c r="AA30" s="100">
        <v>43.404577796913458</v>
      </c>
      <c r="AB30" s="100">
        <v>3.6</v>
      </c>
      <c r="AC30" s="100">
        <v>4</v>
      </c>
      <c r="AD30" s="100">
        <v>4.9000000000000004</v>
      </c>
      <c r="AE30" s="100">
        <v>7.4</v>
      </c>
      <c r="AF30" s="100">
        <v>6.6</v>
      </c>
      <c r="AG30" s="99">
        <v>35183.583333333336</v>
      </c>
      <c r="AH30" s="99">
        <v>36810.916666666664</v>
      </c>
      <c r="AI30" s="104">
        <v>39353.666666666664</v>
      </c>
      <c r="AJ30" s="104">
        <v>50160.5</v>
      </c>
      <c r="AK30" s="105">
        <v>59246.833333333336</v>
      </c>
      <c r="AL30" s="106">
        <v>903207</v>
      </c>
      <c r="AM30" s="106">
        <v>121341</v>
      </c>
      <c r="AN30" s="106">
        <v>12004</v>
      </c>
      <c r="AO30" s="106">
        <v>62601</v>
      </c>
      <c r="AP30" s="106">
        <v>0</v>
      </c>
      <c r="AQ30" s="106">
        <v>66221</v>
      </c>
      <c r="AR30" s="106">
        <v>856834</v>
      </c>
      <c r="AS30" s="106">
        <v>136262</v>
      </c>
      <c r="AT30" s="106">
        <v>10591</v>
      </c>
      <c r="AU30" s="106">
        <v>72411</v>
      </c>
      <c r="AV30" s="106">
        <v>37449</v>
      </c>
      <c r="AW30" s="106">
        <v>77676</v>
      </c>
      <c r="AX30" s="107">
        <v>49566</v>
      </c>
      <c r="AY30" s="107">
        <v>52905</v>
      </c>
      <c r="AZ30" s="107">
        <v>56280</v>
      </c>
      <c r="BA30" s="107">
        <v>56564</v>
      </c>
      <c r="BB30" s="107">
        <v>54008</v>
      </c>
      <c r="BC30" s="107">
        <v>56004</v>
      </c>
      <c r="BD30" s="107">
        <v>58275</v>
      </c>
      <c r="BE30" s="107">
        <v>60943</v>
      </c>
      <c r="BF30" s="108">
        <v>62275</v>
      </c>
      <c r="BG30" s="108">
        <v>61651</v>
      </c>
      <c r="BH30" s="100">
        <v>10.8</v>
      </c>
      <c r="BI30" s="100">
        <v>11.3</v>
      </c>
      <c r="BJ30" s="100">
        <v>10.6</v>
      </c>
      <c r="BK30" s="100">
        <v>11</v>
      </c>
      <c r="BL30" s="100">
        <v>11.9</v>
      </c>
      <c r="BM30" s="100">
        <v>14.4</v>
      </c>
      <c r="BN30" s="109">
        <v>15.3</v>
      </c>
      <c r="BO30" s="109">
        <v>14.3</v>
      </c>
      <c r="BP30" s="109">
        <v>12.8</v>
      </c>
      <c r="BQ30" s="100">
        <v>15.7</v>
      </c>
      <c r="BR30" s="106">
        <v>154624</v>
      </c>
      <c r="BS30" s="118">
        <v>155754</v>
      </c>
      <c r="BT30" s="118">
        <v>156320</v>
      </c>
      <c r="BU30" s="110">
        <v>157170</v>
      </c>
      <c r="BV30" s="100">
        <v>36.546073054635762</v>
      </c>
      <c r="BW30" s="100">
        <v>37.620863669632882</v>
      </c>
      <c r="BX30" s="100">
        <v>39.94754350051177</v>
      </c>
      <c r="BY30" s="103">
        <v>41.22669720684609</v>
      </c>
      <c r="BZ30" s="100">
        <v>12.725708816225165</v>
      </c>
      <c r="CA30" s="100">
        <v>12.501765604735674</v>
      </c>
      <c r="CB30" s="100">
        <v>12.400844421699079</v>
      </c>
      <c r="CC30" s="103">
        <v>12.632817967805561</v>
      </c>
      <c r="CD30" s="100">
        <v>13.30129863410596</v>
      </c>
      <c r="CE30" s="100">
        <v>13.579105512539002</v>
      </c>
      <c r="CF30" s="100">
        <v>13.915046059365404</v>
      </c>
      <c r="CG30" s="103">
        <v>14.234268626328179</v>
      </c>
      <c r="CH30" s="100">
        <v>64.008714596949886</v>
      </c>
      <c r="CI30" s="105">
        <v>62.68</v>
      </c>
      <c r="CJ30" s="111">
        <v>65.14</v>
      </c>
      <c r="CK30" s="111">
        <v>65.712012728719174</v>
      </c>
      <c r="CL30" s="112">
        <v>79659</v>
      </c>
      <c r="CM30" s="112">
        <v>78950</v>
      </c>
      <c r="CN30" s="112">
        <v>81945</v>
      </c>
      <c r="CO30" s="112">
        <v>82483</v>
      </c>
      <c r="CP30" s="112"/>
      <c r="CQ30" s="113">
        <v>15.224631109590625</v>
      </c>
      <c r="CR30" s="113">
        <v>14.75091046468264</v>
      </c>
      <c r="CS30" s="113">
        <v>14.612765720693153</v>
      </c>
      <c r="CT30" s="113">
        <v>14.449617987228109</v>
      </c>
      <c r="CU30" s="112"/>
      <c r="CV30" s="114">
        <v>5.0071752705270915</v>
      </c>
      <c r="CW30" s="114">
        <v>5.0505050505050502</v>
      </c>
      <c r="CX30" s="114">
        <v>5.1927446276480964</v>
      </c>
      <c r="CY30" s="114">
        <v>5.4658729758361497</v>
      </c>
      <c r="CZ30" s="112"/>
      <c r="DA30" s="113">
        <v>7.9422070337846602</v>
      </c>
      <c r="DB30" s="113">
        <v>7.6776448162660174</v>
      </c>
      <c r="DC30" s="113">
        <v>8.2060792211179052</v>
      </c>
      <c r="DD30" s="113">
        <v>8.3829313543599255</v>
      </c>
      <c r="DE30" s="112"/>
      <c r="DF30" s="113">
        <v>81.360823635216576</v>
      </c>
      <c r="DG30" s="113">
        <v>82.584431829115758</v>
      </c>
      <c r="DH30" s="113">
        <v>83.631274005598598</v>
      </c>
      <c r="DI30" s="113">
        <v>85.460512872905596</v>
      </c>
      <c r="DJ30" s="112"/>
      <c r="DK30" s="114">
        <v>12.590579710144928</v>
      </c>
      <c r="DL30" s="114">
        <v>8.9654297315587641</v>
      </c>
      <c r="DM30" s="114">
        <v>5.0317292437863568</v>
      </c>
      <c r="DN30" s="114">
        <v>4.7193781288521039</v>
      </c>
      <c r="DO30" s="112"/>
      <c r="DP30" s="113">
        <v>26.907045648571284</v>
      </c>
      <c r="DQ30" s="113">
        <v>27.672621310021537</v>
      </c>
      <c r="DR30" s="113">
        <v>30.012211503236049</v>
      </c>
      <c r="DS30" s="113">
        <v>34.830902057792812</v>
      </c>
      <c r="DT30" s="112"/>
      <c r="DU30" s="115">
        <v>690</v>
      </c>
      <c r="DV30" s="115">
        <v>541</v>
      </c>
      <c r="DW30" s="115">
        <v>426</v>
      </c>
      <c r="DX30" s="115">
        <v>466</v>
      </c>
      <c r="DY30" s="112"/>
      <c r="DZ30" s="116">
        <v>6.9</v>
      </c>
      <c r="EA30" s="116">
        <v>6.5700662579726297</v>
      </c>
      <c r="EB30" s="116">
        <v>5.35</v>
      </c>
      <c r="EC30" s="116">
        <v>5.5422964730840629</v>
      </c>
      <c r="ED30" s="112"/>
      <c r="EE30" s="113">
        <v>58.14922358288095</v>
      </c>
      <c r="EF30" s="113">
        <v>20.919075874258301</v>
      </c>
      <c r="EG30" s="113">
        <v>1.5402095694988007</v>
      </c>
      <c r="EH30" s="113">
        <v>10.301729579598536</v>
      </c>
      <c r="EI30" s="113">
        <v>10.596193968514889</v>
      </c>
      <c r="EJ30" s="113">
        <v>28.960693803329136</v>
      </c>
      <c r="EK30" s="113"/>
      <c r="EL30" s="115">
        <v>40391</v>
      </c>
      <c r="EM30" s="115">
        <v>40424</v>
      </c>
      <c r="EN30" s="115">
        <v>38849</v>
      </c>
      <c r="EO30" s="115">
        <v>38183</v>
      </c>
      <c r="EP30" s="112"/>
      <c r="EQ30" s="114">
        <v>771.96308659093756</v>
      </c>
      <c r="ER30" s="114">
        <v>755.27650997382023</v>
      </c>
      <c r="ES30" s="114">
        <v>692.77117027665906</v>
      </c>
      <c r="ET30" s="114">
        <v>668.90118400922722</v>
      </c>
      <c r="EU30" s="112"/>
      <c r="EV30" s="113">
        <v>843.17587990000004</v>
      </c>
      <c r="EW30" s="113">
        <v>803.79002284000001</v>
      </c>
      <c r="EX30" s="113">
        <v>712.43264790000001</v>
      </c>
      <c r="EY30" s="113">
        <v>664.11573195000005</v>
      </c>
      <c r="EZ30" s="112"/>
      <c r="FA30" s="115">
        <v>9865</v>
      </c>
      <c r="FB30" s="115">
        <v>8460</v>
      </c>
      <c r="FC30" s="115">
        <v>6967</v>
      </c>
      <c r="FD30" s="115">
        <v>5985</v>
      </c>
      <c r="FE30" s="112"/>
      <c r="FF30" s="115">
        <v>9483</v>
      </c>
      <c r="FG30" s="115">
        <v>9634</v>
      </c>
      <c r="FH30" s="115">
        <v>9346</v>
      </c>
      <c r="FI30" s="115">
        <v>9475</v>
      </c>
      <c r="FJ30" s="112"/>
      <c r="FK30" s="115">
        <v>3120</v>
      </c>
      <c r="FL30" s="115">
        <v>2953</v>
      </c>
      <c r="FM30" s="115">
        <v>2555</v>
      </c>
      <c r="FN30" s="115">
        <v>2030</v>
      </c>
      <c r="FO30" s="112"/>
      <c r="FP30" s="115">
        <v>1729</v>
      </c>
      <c r="FQ30" s="115">
        <v>1863</v>
      </c>
      <c r="FR30" s="115">
        <v>1962</v>
      </c>
      <c r="FS30" s="115">
        <v>2268</v>
      </c>
      <c r="FT30" s="112"/>
      <c r="FU30" s="113">
        <v>208.10808438000001</v>
      </c>
      <c r="FV30" s="113">
        <v>168.12890124</v>
      </c>
      <c r="FW30" s="113">
        <v>126.13440543999999</v>
      </c>
      <c r="FX30" s="113">
        <v>102.07482840999999</v>
      </c>
      <c r="FY30" s="112"/>
      <c r="FZ30" s="113">
        <v>203.04237006</v>
      </c>
      <c r="GA30" s="113">
        <v>197.70098214000001</v>
      </c>
      <c r="GB30" s="113">
        <v>177.89928282</v>
      </c>
      <c r="GC30" s="113">
        <v>170.54085943999999</v>
      </c>
      <c r="GD30" s="112"/>
      <c r="GE30" s="113">
        <v>65.219890570000004</v>
      </c>
      <c r="GF30" s="113">
        <v>58.03753227</v>
      </c>
      <c r="GG30" s="113">
        <v>46.419692759999997</v>
      </c>
      <c r="GH30" s="113">
        <v>35.146535110000002</v>
      </c>
      <c r="GI30" s="112"/>
      <c r="GJ30" s="113">
        <v>33.004371159999998</v>
      </c>
      <c r="GK30" s="113">
        <v>34.950761989999997</v>
      </c>
      <c r="GL30" s="113">
        <v>34.507308250000001</v>
      </c>
      <c r="GM30" s="113">
        <v>38.678353180000002</v>
      </c>
      <c r="GN30" s="112"/>
      <c r="GO30" s="113">
        <v>1096.0304466499999</v>
      </c>
      <c r="GP30" s="113">
        <v>1011.51434169</v>
      </c>
      <c r="GQ30" s="113">
        <v>854.59606784000005</v>
      </c>
      <c r="GR30" s="113">
        <v>788.06512673999998</v>
      </c>
      <c r="GS30" s="112"/>
      <c r="GT30" s="113">
        <v>684.12345918999995</v>
      </c>
      <c r="GU30" s="113">
        <v>670.43063107</v>
      </c>
      <c r="GV30" s="113">
        <v>610.27282488000003</v>
      </c>
      <c r="GW30" s="113">
        <v>574.08983880999995</v>
      </c>
      <c r="GX30" s="112"/>
      <c r="GY30" s="112"/>
      <c r="GZ30" s="112"/>
      <c r="HA30" s="112"/>
      <c r="HB30" s="112"/>
      <c r="HC30" s="112"/>
      <c r="HD30" s="115">
        <v>6861</v>
      </c>
      <c r="HE30" s="115">
        <v>524</v>
      </c>
      <c r="HF30" s="115">
        <v>81</v>
      </c>
      <c r="HG30" s="115">
        <v>217</v>
      </c>
      <c r="HH30" s="115">
        <v>80</v>
      </c>
      <c r="HI30" s="114">
        <v>42.389066478842715</v>
      </c>
      <c r="HJ30" s="114">
        <v>36.854836833903192</v>
      </c>
      <c r="HK30" s="113">
        <v>31.934863604982226</v>
      </c>
      <c r="HL30" s="112">
        <v>3873</v>
      </c>
      <c r="HM30" s="112">
        <v>3850</v>
      </c>
      <c r="HN30" s="112">
        <v>4091</v>
      </c>
      <c r="HO30" s="112">
        <v>4334</v>
      </c>
      <c r="HP30" s="112"/>
      <c r="HQ30" s="112">
        <v>5508</v>
      </c>
      <c r="HR30" s="112">
        <v>5075</v>
      </c>
      <c r="HS30" s="112">
        <v>5664</v>
      </c>
      <c r="HT30" s="112">
        <v>5648</v>
      </c>
      <c r="HU30" s="117"/>
    </row>
    <row r="31" spans="1:229" x14ac:dyDescent="0.2">
      <c r="A31" s="93">
        <v>28</v>
      </c>
      <c r="B31" s="98" t="s">
        <v>95</v>
      </c>
      <c r="C31" s="99">
        <v>19832</v>
      </c>
      <c r="D31" s="99">
        <v>19515</v>
      </c>
      <c r="E31" s="99">
        <v>19245</v>
      </c>
      <c r="F31" s="99">
        <v>19244</v>
      </c>
      <c r="G31" s="99">
        <v>19027</v>
      </c>
      <c r="H31" s="99">
        <v>7925</v>
      </c>
      <c r="I31" s="99">
        <v>7938</v>
      </c>
      <c r="J31" s="99">
        <v>7918</v>
      </c>
      <c r="K31" s="99">
        <v>7884</v>
      </c>
      <c r="L31" s="99">
        <v>7849</v>
      </c>
      <c r="M31" s="100">
        <v>24.560464760739947</v>
      </c>
      <c r="N31" s="100">
        <v>25.042881646655228</v>
      </c>
      <c r="O31" s="101">
        <v>25.51631720006306</v>
      </c>
      <c r="P31" s="101">
        <v>26.907952812775861</v>
      </c>
      <c r="Q31" s="102">
        <v>27.122119248749282</v>
      </c>
      <c r="R31" s="100">
        <v>27.037150282831373</v>
      </c>
      <c r="S31" s="100">
        <v>27.108997349134572</v>
      </c>
      <c r="T31" s="100">
        <v>26.18634715434337</v>
      </c>
      <c r="U31" s="100">
        <v>27.525880747933552</v>
      </c>
      <c r="V31" s="100">
        <v>28.926433199376692</v>
      </c>
      <c r="W31" s="100">
        <v>51.597615043571324</v>
      </c>
      <c r="X31" s="100">
        <v>52.151878995789801</v>
      </c>
      <c r="Y31" s="100">
        <v>51.702664354406437</v>
      </c>
      <c r="Z31" s="100">
        <v>54.433833560709417</v>
      </c>
      <c r="AA31" s="100">
        <v>56.048552448125974</v>
      </c>
      <c r="AB31" s="100">
        <v>4.3</v>
      </c>
      <c r="AC31" s="100">
        <v>4.9000000000000004</v>
      </c>
      <c r="AD31" s="100">
        <v>5.7</v>
      </c>
      <c r="AE31" s="100">
        <v>8.1999999999999993</v>
      </c>
      <c r="AF31" s="100">
        <v>7.5</v>
      </c>
      <c r="AG31" s="99">
        <v>288.75</v>
      </c>
      <c r="AH31" s="99">
        <v>301.5</v>
      </c>
      <c r="AI31" s="104">
        <v>324.16666666666669</v>
      </c>
      <c r="AJ31" s="104">
        <v>406.16666666666669</v>
      </c>
      <c r="AK31" s="105">
        <v>457.25</v>
      </c>
      <c r="AL31" s="106">
        <v>19442</v>
      </c>
      <c r="AM31" s="106">
        <v>116</v>
      </c>
      <c r="AN31" s="106">
        <v>41</v>
      </c>
      <c r="AO31" s="106">
        <v>122</v>
      </c>
      <c r="AP31" s="106">
        <v>0</v>
      </c>
      <c r="AQ31" s="106">
        <v>136</v>
      </c>
      <c r="AR31" s="106">
        <v>18570</v>
      </c>
      <c r="AS31" s="106">
        <v>101</v>
      </c>
      <c r="AT31" s="106">
        <v>33</v>
      </c>
      <c r="AU31" s="106">
        <v>91</v>
      </c>
      <c r="AV31" s="106">
        <v>220</v>
      </c>
      <c r="AW31" s="106">
        <v>132</v>
      </c>
      <c r="AX31" s="107">
        <v>30765</v>
      </c>
      <c r="AY31" s="107">
        <v>31338</v>
      </c>
      <c r="AZ31" s="107">
        <v>33016</v>
      </c>
      <c r="BA31" s="107">
        <v>36563</v>
      </c>
      <c r="BB31" s="107">
        <v>37245</v>
      </c>
      <c r="BC31" s="107">
        <v>50317</v>
      </c>
      <c r="BD31" s="107">
        <v>47469</v>
      </c>
      <c r="BE31" s="107">
        <v>47960</v>
      </c>
      <c r="BF31" s="108">
        <v>50407</v>
      </c>
      <c r="BG31" s="108">
        <v>49269</v>
      </c>
      <c r="BH31" s="100">
        <v>7.5</v>
      </c>
      <c r="BI31" s="100">
        <v>7.5</v>
      </c>
      <c r="BJ31" s="100">
        <v>8.4</v>
      </c>
      <c r="BK31" s="100">
        <v>8.9</v>
      </c>
      <c r="BL31" s="100">
        <v>8.6</v>
      </c>
      <c r="BM31" s="100">
        <v>9.9</v>
      </c>
      <c r="BN31" s="109">
        <v>9.3000000000000007</v>
      </c>
      <c r="BO31" s="109">
        <v>10.7</v>
      </c>
      <c r="BP31" s="109">
        <v>10.8</v>
      </c>
      <c r="BQ31" s="100">
        <v>11.5</v>
      </c>
      <c r="BR31" s="106">
        <v>3897</v>
      </c>
      <c r="BS31" s="118">
        <v>3979</v>
      </c>
      <c r="BT31" s="118">
        <v>4287</v>
      </c>
      <c r="BU31" s="110">
        <v>4317</v>
      </c>
      <c r="BV31" s="100">
        <v>21.991275340005132</v>
      </c>
      <c r="BW31" s="100">
        <v>20.306609700929883</v>
      </c>
      <c r="BX31" s="100">
        <v>26.032190342897131</v>
      </c>
      <c r="BY31" s="103">
        <v>24.461431549687283</v>
      </c>
      <c r="BZ31" s="100">
        <v>2.5660764690787787E-2</v>
      </c>
      <c r="CA31" s="100">
        <v>2.5131942699170642E-2</v>
      </c>
      <c r="CB31" s="100">
        <v>2.3326335432703522E-2</v>
      </c>
      <c r="CC31" s="103">
        <v>2.316423442205235E-2</v>
      </c>
      <c r="CD31" s="100">
        <v>10.31562740569669</v>
      </c>
      <c r="CE31" s="100">
        <v>10.304096506659965</v>
      </c>
      <c r="CF31" s="100">
        <v>10.006997900629811</v>
      </c>
      <c r="CG31" s="103">
        <v>11.489460273337967</v>
      </c>
      <c r="CH31" s="100">
        <v>81.868131868131869</v>
      </c>
      <c r="CI31" s="105">
        <v>80.41</v>
      </c>
      <c r="CJ31" s="111">
        <v>77.209999999999994</v>
      </c>
      <c r="CK31" s="111">
        <v>72.259507829977622</v>
      </c>
      <c r="CL31" s="112">
        <v>1273</v>
      </c>
      <c r="CM31" s="112">
        <v>1037</v>
      </c>
      <c r="CN31" s="112">
        <v>1052</v>
      </c>
      <c r="CO31" s="112">
        <v>1051</v>
      </c>
      <c r="CP31" s="112"/>
      <c r="CQ31" s="113">
        <v>13.451114234089541</v>
      </c>
      <c r="CR31" s="113">
        <v>10.698662925057775</v>
      </c>
      <c r="CS31" s="113">
        <v>10.567978622948186</v>
      </c>
      <c r="CT31" s="113">
        <v>10.850376304677742</v>
      </c>
      <c r="CU31" s="112"/>
      <c r="CV31" s="114">
        <v>2.9718875502008033</v>
      </c>
      <c r="CW31" s="114">
        <v>4.7141424272818453</v>
      </c>
      <c r="CX31" s="114">
        <v>4.9049049049049049</v>
      </c>
      <c r="CY31" s="114">
        <v>4.4921875</v>
      </c>
      <c r="CZ31" s="112"/>
      <c r="DA31" s="113">
        <v>5.7837384744341991</v>
      </c>
      <c r="DB31" s="113">
        <v>8.0694586312563832</v>
      </c>
      <c r="DC31" s="113">
        <v>7.4433656957928802</v>
      </c>
      <c r="DD31" s="113">
        <v>7.6604554865424435</v>
      </c>
      <c r="DE31" s="112"/>
      <c r="DF31" s="113">
        <v>88.906372934697089</v>
      </c>
      <c r="DG31" s="113">
        <v>87.330754352030951</v>
      </c>
      <c r="DH31" s="113">
        <v>86.86964795432921</v>
      </c>
      <c r="DI31" s="113">
        <v>86.583011583011583</v>
      </c>
      <c r="DJ31" s="112"/>
      <c r="DK31" s="114">
        <v>13.385826771653543</v>
      </c>
      <c r="DL31" s="114">
        <v>11.196911196911197</v>
      </c>
      <c r="DM31" s="114">
        <v>12.380952380952381</v>
      </c>
      <c r="DN31" s="114">
        <v>15.714285714285714</v>
      </c>
      <c r="DO31" s="112"/>
      <c r="DP31" s="113">
        <v>15.251572327044025</v>
      </c>
      <c r="DQ31" s="113">
        <v>16.682738669238187</v>
      </c>
      <c r="DR31" s="113">
        <v>23.977164605137965</v>
      </c>
      <c r="DS31" s="113">
        <v>26</v>
      </c>
      <c r="DT31" s="112"/>
      <c r="DU31" s="115">
        <v>8</v>
      </c>
      <c r="DV31" s="115">
        <v>4</v>
      </c>
      <c r="DW31" s="115">
        <v>9</v>
      </c>
      <c r="DX31" s="115">
        <v>5</v>
      </c>
      <c r="DY31" s="112"/>
      <c r="DZ31" s="116">
        <v>5.22</v>
      </c>
      <c r="EA31" s="116">
        <v>8.064516129032258</v>
      </c>
      <c r="EB31" s="116">
        <v>7.91</v>
      </c>
      <c r="EC31" s="116">
        <v>12.527964205816556</v>
      </c>
      <c r="ED31" s="112"/>
      <c r="EE31" s="113">
        <v>96.666666666666671</v>
      </c>
      <c r="EF31" s="113">
        <v>0.66666666666666663</v>
      </c>
      <c r="EG31" s="113">
        <v>0.66666666666666663</v>
      </c>
      <c r="EH31" s="113">
        <v>2</v>
      </c>
      <c r="EI31" s="113">
        <v>0</v>
      </c>
      <c r="EJ31" s="113">
        <v>15.532335498446766</v>
      </c>
      <c r="EK31" s="113"/>
      <c r="EL31" s="115">
        <v>950</v>
      </c>
      <c r="EM31" s="115">
        <v>936</v>
      </c>
      <c r="EN31" s="115">
        <v>912</v>
      </c>
      <c r="EO31" s="115">
        <v>867</v>
      </c>
      <c r="EP31" s="112"/>
      <c r="EQ31" s="114">
        <v>1003.814495081309</v>
      </c>
      <c r="ER31" s="114">
        <v>965.66523605150212</v>
      </c>
      <c r="ES31" s="114">
        <v>916.1593635103369</v>
      </c>
      <c r="ET31" s="114">
        <v>895.07861618987647</v>
      </c>
      <c r="EU31" s="112"/>
      <c r="EV31" s="113">
        <v>795.56791395000005</v>
      </c>
      <c r="EW31" s="113">
        <v>728.65633835000006</v>
      </c>
      <c r="EX31" s="113">
        <v>653.00873344000001</v>
      </c>
      <c r="EY31" s="113">
        <v>604.62890511000001</v>
      </c>
      <c r="EZ31" s="112"/>
      <c r="FA31" s="115">
        <v>279</v>
      </c>
      <c r="FB31" s="115">
        <v>220</v>
      </c>
      <c r="FC31" s="115">
        <v>210</v>
      </c>
      <c r="FD31" s="115">
        <v>180</v>
      </c>
      <c r="FE31" s="112"/>
      <c r="FF31" s="115">
        <v>214</v>
      </c>
      <c r="FG31" s="115">
        <v>220</v>
      </c>
      <c r="FH31" s="115">
        <v>186</v>
      </c>
      <c r="FI31" s="115">
        <v>201</v>
      </c>
      <c r="FJ31" s="112"/>
      <c r="FK31" s="115">
        <v>83</v>
      </c>
      <c r="FL31" s="115">
        <v>95</v>
      </c>
      <c r="FM31" s="115">
        <v>58</v>
      </c>
      <c r="FN31" s="115">
        <v>58</v>
      </c>
      <c r="FO31" s="112"/>
      <c r="FP31" s="115">
        <v>30</v>
      </c>
      <c r="FQ31" s="115">
        <v>47</v>
      </c>
      <c r="FR31" s="115">
        <v>57</v>
      </c>
      <c r="FS31" s="115">
        <v>50</v>
      </c>
      <c r="FT31" s="112"/>
      <c r="FU31" s="113">
        <v>227.47739235</v>
      </c>
      <c r="FV31" s="113">
        <v>165.95058412</v>
      </c>
      <c r="FW31" s="113">
        <v>141.19582202000001</v>
      </c>
      <c r="FX31" s="113">
        <v>116.32596919</v>
      </c>
      <c r="FY31" s="112"/>
      <c r="FZ31" s="113">
        <v>189.71672150000001</v>
      </c>
      <c r="GA31" s="113">
        <v>183.63693144999999</v>
      </c>
      <c r="GB31" s="113">
        <v>143.99579774</v>
      </c>
      <c r="GC31" s="113">
        <v>157.25042933</v>
      </c>
      <c r="GD31" s="112"/>
      <c r="GE31" s="113">
        <v>65.642091269999995</v>
      </c>
      <c r="GF31" s="113">
        <v>67.671921549999993</v>
      </c>
      <c r="GG31" s="113">
        <v>38.58249567</v>
      </c>
      <c r="GH31" s="113">
        <v>35.905004439999999</v>
      </c>
      <c r="GI31" s="112"/>
      <c r="GJ31" s="113">
        <v>28.131024910000001</v>
      </c>
      <c r="GK31" s="113">
        <v>44.041772790000003</v>
      </c>
      <c r="GL31" s="113">
        <v>46.428392690000003</v>
      </c>
      <c r="GM31" s="113">
        <v>40.92194336</v>
      </c>
      <c r="GN31" s="112"/>
      <c r="GO31" s="113">
        <v>996.55056822999995</v>
      </c>
      <c r="GP31" s="113">
        <v>907.19881148000002</v>
      </c>
      <c r="GQ31" s="113">
        <v>834.74998370000003</v>
      </c>
      <c r="GR31" s="113">
        <v>718.78825924</v>
      </c>
      <c r="GS31" s="112"/>
      <c r="GT31" s="113">
        <v>660.06581468000002</v>
      </c>
      <c r="GU31" s="113">
        <v>602.78409324999996</v>
      </c>
      <c r="GV31" s="113">
        <v>514.90310197999997</v>
      </c>
      <c r="GW31" s="113">
        <v>510.02636812999998</v>
      </c>
      <c r="GX31" s="112"/>
      <c r="GY31" s="112"/>
      <c r="GZ31" s="112"/>
      <c r="HA31" s="112"/>
      <c r="HB31" s="112"/>
      <c r="HC31" s="112"/>
      <c r="HD31" s="115">
        <v>159</v>
      </c>
      <c r="HE31" s="115">
        <v>1</v>
      </c>
      <c r="HF31" s="115">
        <v>0</v>
      </c>
      <c r="HG31" s="115">
        <v>0</v>
      </c>
      <c r="HH31" s="115">
        <v>1</v>
      </c>
      <c r="HI31" s="114">
        <v>25.369299935773924</v>
      </c>
      <c r="HJ31" s="114">
        <v>14.480646059593427</v>
      </c>
      <c r="HK31" s="113">
        <v>14.990953734815198</v>
      </c>
      <c r="HL31" s="112">
        <v>37</v>
      </c>
      <c r="HM31" s="112">
        <v>47</v>
      </c>
      <c r="HN31" s="112">
        <v>49</v>
      </c>
      <c r="HO31" s="112">
        <v>46</v>
      </c>
      <c r="HP31" s="112"/>
      <c r="HQ31" s="112">
        <v>69</v>
      </c>
      <c r="HR31" s="112">
        <v>79</v>
      </c>
      <c r="HS31" s="112">
        <v>69</v>
      </c>
      <c r="HT31" s="112">
        <v>74</v>
      </c>
      <c r="HU31" s="117"/>
    </row>
    <row r="32" spans="1:229" x14ac:dyDescent="0.2">
      <c r="A32" s="93">
        <v>29</v>
      </c>
      <c r="B32" s="98" t="s">
        <v>96</v>
      </c>
      <c r="C32" s="99">
        <v>18890</v>
      </c>
      <c r="D32" s="99">
        <v>18781</v>
      </c>
      <c r="E32" s="99">
        <v>18810</v>
      </c>
      <c r="F32" s="99">
        <v>18644</v>
      </c>
      <c r="G32" s="99">
        <v>20428</v>
      </c>
      <c r="H32" s="99">
        <v>7882</v>
      </c>
      <c r="I32" s="99">
        <v>7924</v>
      </c>
      <c r="J32" s="99">
        <v>7980</v>
      </c>
      <c r="K32" s="99">
        <v>7987</v>
      </c>
      <c r="L32" s="99">
        <v>8661</v>
      </c>
      <c r="M32" s="100">
        <v>31.005167527921319</v>
      </c>
      <c r="N32" s="100">
        <v>32.275042444821736</v>
      </c>
      <c r="O32" s="101">
        <v>33.567572199845749</v>
      </c>
      <c r="P32" s="101">
        <v>34.508640251352766</v>
      </c>
      <c r="Q32" s="102">
        <v>33.881395163221327</v>
      </c>
      <c r="R32" s="100">
        <v>26.437739623270545</v>
      </c>
      <c r="S32" s="100">
        <v>27.156196943972837</v>
      </c>
      <c r="T32" s="100">
        <v>27.628759962293252</v>
      </c>
      <c r="U32" s="100">
        <v>28.2073660324664</v>
      </c>
      <c r="V32" s="100">
        <v>29.164338734136802</v>
      </c>
      <c r="W32" s="100">
        <v>57.442907151191868</v>
      </c>
      <c r="X32" s="100">
        <v>59.431239388794566</v>
      </c>
      <c r="Y32" s="100">
        <v>61.196332162139001</v>
      </c>
      <c r="Z32" s="100">
        <v>62.716006283819169</v>
      </c>
      <c r="AA32" s="100">
        <v>63.045733897358126</v>
      </c>
      <c r="AB32" s="100">
        <v>5.6</v>
      </c>
      <c r="AC32" s="100">
        <v>6.4</v>
      </c>
      <c r="AD32" s="100">
        <v>7.7</v>
      </c>
      <c r="AE32" s="100">
        <v>10.3</v>
      </c>
      <c r="AF32" s="100">
        <v>9.8000000000000007</v>
      </c>
      <c r="AG32" s="99">
        <v>496.33333333333331</v>
      </c>
      <c r="AH32" s="99">
        <v>525.58333333333337</v>
      </c>
      <c r="AI32" s="104">
        <v>638.41666666666663</v>
      </c>
      <c r="AJ32" s="104">
        <v>751.66666666666663</v>
      </c>
      <c r="AK32" s="105">
        <v>924.25</v>
      </c>
      <c r="AL32" s="106">
        <v>18189</v>
      </c>
      <c r="AM32" s="106">
        <v>40</v>
      </c>
      <c r="AN32" s="106">
        <v>407</v>
      </c>
      <c r="AO32" s="106">
        <v>66</v>
      </c>
      <c r="AP32" s="106">
        <v>0</v>
      </c>
      <c r="AQ32" s="106">
        <v>185</v>
      </c>
      <c r="AR32" s="106">
        <v>19314</v>
      </c>
      <c r="AS32" s="106">
        <v>48</v>
      </c>
      <c r="AT32" s="106">
        <v>557</v>
      </c>
      <c r="AU32" s="106">
        <v>52</v>
      </c>
      <c r="AV32" s="106">
        <v>365</v>
      </c>
      <c r="AW32" s="106">
        <v>327</v>
      </c>
      <c r="AX32" s="107">
        <v>26208</v>
      </c>
      <c r="AY32" s="107">
        <v>27417</v>
      </c>
      <c r="AZ32" s="107">
        <v>27984</v>
      </c>
      <c r="BA32" s="107">
        <v>31784</v>
      </c>
      <c r="BB32" s="107">
        <v>32423</v>
      </c>
      <c r="BC32" s="107">
        <v>42010</v>
      </c>
      <c r="BD32" s="107">
        <v>40231</v>
      </c>
      <c r="BE32" s="107">
        <v>42231</v>
      </c>
      <c r="BF32" s="108">
        <v>42312</v>
      </c>
      <c r="BG32" s="108">
        <v>43721</v>
      </c>
      <c r="BH32" s="100">
        <v>10.6</v>
      </c>
      <c r="BI32" s="100">
        <v>12.4</v>
      </c>
      <c r="BJ32" s="100">
        <v>11.4</v>
      </c>
      <c r="BK32" s="100">
        <v>10.8</v>
      </c>
      <c r="BL32" s="100">
        <v>12.9</v>
      </c>
      <c r="BM32" s="100">
        <v>16.600000000000001</v>
      </c>
      <c r="BN32" s="109">
        <v>19.600000000000001</v>
      </c>
      <c r="BO32" s="109">
        <v>18.399999999999999</v>
      </c>
      <c r="BP32" s="109">
        <v>17.7</v>
      </c>
      <c r="BQ32" s="100">
        <v>20.6</v>
      </c>
      <c r="BR32" s="106">
        <v>2419</v>
      </c>
      <c r="BS32" s="118">
        <v>2391</v>
      </c>
      <c r="BT32" s="118">
        <v>2341</v>
      </c>
      <c r="BU32" s="110">
        <v>2301</v>
      </c>
      <c r="BV32" s="100">
        <v>47.871021083092188</v>
      </c>
      <c r="BW32" s="100">
        <v>50.941028858218317</v>
      </c>
      <c r="BX32" s="100">
        <v>53.994019649722333</v>
      </c>
      <c r="BY32" s="103">
        <v>53.237722729248155</v>
      </c>
      <c r="BZ32" s="100">
        <v>0.16535758577924761</v>
      </c>
      <c r="CA32" s="100">
        <v>0.37641154328732745</v>
      </c>
      <c r="CB32" s="100">
        <v>0.17086715079026057</v>
      </c>
      <c r="CC32" s="103">
        <v>0</v>
      </c>
      <c r="CD32" s="100">
        <v>22.778007441091361</v>
      </c>
      <c r="CE32" s="100">
        <v>22.208281053952323</v>
      </c>
      <c r="CF32" s="100">
        <v>21.059376334899614</v>
      </c>
      <c r="CG32" s="103">
        <v>20.512820512820515</v>
      </c>
      <c r="CH32" s="100">
        <v>83.027522935779814</v>
      </c>
      <c r="CI32" s="105">
        <v>77.95</v>
      </c>
      <c r="CJ32" s="111">
        <v>76.72</v>
      </c>
      <c r="CK32" s="111">
        <v>84</v>
      </c>
      <c r="CL32" s="112">
        <v>895</v>
      </c>
      <c r="CM32" s="112">
        <v>879</v>
      </c>
      <c r="CN32" s="112">
        <v>1022</v>
      </c>
      <c r="CO32" s="112">
        <v>1154</v>
      </c>
      <c r="CP32" s="112"/>
      <c r="CQ32" s="113">
        <v>11.429957983729869</v>
      </c>
      <c r="CR32" s="113">
        <v>10.279980352255983</v>
      </c>
      <c r="CS32" s="113">
        <v>10.972847035076606</v>
      </c>
      <c r="CT32" s="113">
        <v>12.077067177378</v>
      </c>
      <c r="CU32" s="112"/>
      <c r="CV32" s="114">
        <v>5.0400916380297822</v>
      </c>
      <c r="CW32" s="114">
        <v>5.5299539170506913</v>
      </c>
      <c r="CX32" s="114">
        <v>4.6464646464646462</v>
      </c>
      <c r="CY32" s="114">
        <v>4.9822064056939501</v>
      </c>
      <c r="CZ32" s="112"/>
      <c r="DA32" s="113">
        <v>7.965686274509804</v>
      </c>
      <c r="DB32" s="113">
        <v>8.9761570827489479</v>
      </c>
      <c r="DC32" s="113">
        <v>8.5747392815758978</v>
      </c>
      <c r="DD32" s="113">
        <v>9.0009891196834815</v>
      </c>
      <c r="DE32" s="112"/>
      <c r="DF32" s="113">
        <v>72.497123130034524</v>
      </c>
      <c r="DG32" s="113">
        <v>77.266922094508303</v>
      </c>
      <c r="DH32" s="113">
        <v>78.361981799797775</v>
      </c>
      <c r="DI32" s="113">
        <v>76.740088105726869</v>
      </c>
      <c r="DJ32" s="112"/>
      <c r="DK32" s="114">
        <v>21.387940841865756</v>
      </c>
      <c r="DL32" s="114">
        <v>20.02412545235223</v>
      </c>
      <c r="DM32" s="114">
        <v>27.586206896551722</v>
      </c>
      <c r="DN32" s="114">
        <v>21.391304347826086</v>
      </c>
      <c r="DO32" s="112"/>
      <c r="DP32" s="113">
        <v>26.815642458100559</v>
      </c>
      <c r="DQ32" s="113">
        <v>34.396355353075172</v>
      </c>
      <c r="DR32" s="113">
        <v>34.705882352941174</v>
      </c>
      <c r="DS32" s="113">
        <v>37.088388214904683</v>
      </c>
      <c r="DT32" s="112"/>
      <c r="DU32" s="115">
        <v>8</v>
      </c>
      <c r="DV32" s="115">
        <v>2</v>
      </c>
      <c r="DW32" s="115">
        <v>8</v>
      </c>
      <c r="DX32" s="115">
        <v>5</v>
      </c>
      <c r="DY32" s="112"/>
      <c r="DZ32" s="116">
        <v>4.59</v>
      </c>
      <c r="EA32" s="116">
        <v>6.666666666666667</v>
      </c>
      <c r="EB32" s="116">
        <v>5.29</v>
      </c>
      <c r="EC32" s="116">
        <v>4</v>
      </c>
      <c r="ED32" s="112"/>
      <c r="EE32" s="113">
        <v>89.497716894977174</v>
      </c>
      <c r="EF32" s="113">
        <v>1.3698630136986301</v>
      </c>
      <c r="EG32" s="113">
        <v>6.3926940639269407</v>
      </c>
      <c r="EH32" s="113">
        <v>1.8264840182648401</v>
      </c>
      <c r="EI32" s="113">
        <v>2.2831050228310503</v>
      </c>
      <c r="EJ32" s="113">
        <v>34.090909090909093</v>
      </c>
      <c r="EK32" s="113"/>
      <c r="EL32" s="115">
        <v>846</v>
      </c>
      <c r="EM32" s="115">
        <v>924</v>
      </c>
      <c r="EN32" s="115">
        <v>844</v>
      </c>
      <c r="EO32" s="115">
        <v>882</v>
      </c>
      <c r="EP32" s="112"/>
      <c r="EQ32" s="114">
        <v>1080.4183747749128</v>
      </c>
      <c r="ER32" s="114">
        <v>1080.6259209880009</v>
      </c>
      <c r="ES32" s="114">
        <v>906.17249487325398</v>
      </c>
      <c r="ET32" s="114">
        <v>923.0479419798437</v>
      </c>
      <c r="EU32" s="112"/>
      <c r="EV32" s="113">
        <v>851.13927425999998</v>
      </c>
      <c r="EW32" s="113">
        <v>828.24607720999995</v>
      </c>
      <c r="EX32" s="113">
        <v>658.91581291</v>
      </c>
      <c r="EY32" s="113">
        <v>615.90885040000001</v>
      </c>
      <c r="EZ32" s="112"/>
      <c r="FA32" s="115">
        <v>267</v>
      </c>
      <c r="FB32" s="115">
        <v>269</v>
      </c>
      <c r="FC32" s="115">
        <v>225</v>
      </c>
      <c r="FD32" s="115">
        <v>174</v>
      </c>
      <c r="FE32" s="112"/>
      <c r="FF32" s="115">
        <v>206</v>
      </c>
      <c r="FG32" s="115">
        <v>232</v>
      </c>
      <c r="FH32" s="115">
        <v>209</v>
      </c>
      <c r="FI32" s="115">
        <v>248</v>
      </c>
      <c r="FJ32" s="112"/>
      <c r="FK32" s="115">
        <v>54</v>
      </c>
      <c r="FL32" s="115">
        <v>72</v>
      </c>
      <c r="FM32" s="115">
        <v>54</v>
      </c>
      <c r="FN32" s="115">
        <v>64</v>
      </c>
      <c r="FO32" s="112"/>
      <c r="FP32" s="115">
        <v>37</v>
      </c>
      <c r="FQ32" s="115">
        <v>35</v>
      </c>
      <c r="FR32" s="115">
        <v>55</v>
      </c>
      <c r="FS32" s="115">
        <v>50</v>
      </c>
      <c r="FT32" s="112"/>
      <c r="FU32" s="113">
        <v>261.44919048000003</v>
      </c>
      <c r="FV32" s="113">
        <v>235.43090946000001</v>
      </c>
      <c r="FW32" s="113">
        <v>167.5724677</v>
      </c>
      <c r="FX32" s="113">
        <v>117.92400279</v>
      </c>
      <c r="FY32" s="112"/>
      <c r="FZ32" s="113">
        <v>203.25426324</v>
      </c>
      <c r="GA32" s="113">
        <v>202.56746845999999</v>
      </c>
      <c r="GB32" s="113">
        <v>159.11827650000001</v>
      </c>
      <c r="GC32" s="113">
        <v>167.34815044000001</v>
      </c>
      <c r="GD32" s="112"/>
      <c r="GE32" s="113">
        <v>53.951769409999997</v>
      </c>
      <c r="GF32" s="113">
        <v>63.178814500000001</v>
      </c>
      <c r="GG32" s="113">
        <v>39.507980670000002</v>
      </c>
      <c r="GH32" s="113">
        <v>42.932085319999999</v>
      </c>
      <c r="GI32" s="112"/>
      <c r="GJ32" s="113">
        <v>45.367838630000001</v>
      </c>
      <c r="GK32" s="113">
        <v>38.344706969999997</v>
      </c>
      <c r="GL32" s="113">
        <v>56.887112539999997</v>
      </c>
      <c r="GM32" s="113">
        <v>43.311132389999997</v>
      </c>
      <c r="GN32" s="112"/>
      <c r="GO32" s="113">
        <v>1062.3539340299999</v>
      </c>
      <c r="GP32" s="113">
        <v>998.97258471999999</v>
      </c>
      <c r="GQ32" s="113">
        <v>778.20668337999996</v>
      </c>
      <c r="GR32" s="113">
        <v>702.39125710999997</v>
      </c>
      <c r="GS32" s="112"/>
      <c r="GT32" s="113">
        <v>675.52358099000003</v>
      </c>
      <c r="GU32" s="113">
        <v>672.99656319999997</v>
      </c>
      <c r="GV32" s="113">
        <v>545.60113120999995</v>
      </c>
      <c r="GW32" s="113">
        <v>539.37208838000004</v>
      </c>
      <c r="GX32" s="112"/>
      <c r="GY32" s="112"/>
      <c r="GZ32" s="112"/>
      <c r="HA32" s="112"/>
      <c r="HB32" s="112"/>
      <c r="HC32" s="112"/>
      <c r="HD32" s="115">
        <v>181</v>
      </c>
      <c r="HE32" s="115">
        <v>0</v>
      </c>
      <c r="HF32" s="115">
        <v>9</v>
      </c>
      <c r="HG32" s="115">
        <v>0</v>
      </c>
      <c r="HH32" s="115">
        <v>0</v>
      </c>
      <c r="HI32" s="114">
        <v>42.823156225218078</v>
      </c>
      <c r="HJ32" s="114">
        <v>41.815235008103727</v>
      </c>
      <c r="HK32" s="113">
        <v>31.136638452237001</v>
      </c>
      <c r="HL32" s="112">
        <v>44</v>
      </c>
      <c r="HM32" s="112">
        <v>48</v>
      </c>
      <c r="HN32" s="112">
        <v>46</v>
      </c>
      <c r="HO32" s="112">
        <v>56</v>
      </c>
      <c r="HP32" s="112"/>
      <c r="HQ32" s="112">
        <v>65</v>
      </c>
      <c r="HR32" s="112">
        <v>64</v>
      </c>
      <c r="HS32" s="112">
        <v>74</v>
      </c>
      <c r="HT32" s="112">
        <v>91</v>
      </c>
      <c r="HU32" s="117"/>
    </row>
    <row r="33" spans="1:229" x14ac:dyDescent="0.2">
      <c r="A33" s="93">
        <v>30</v>
      </c>
      <c r="B33" s="98" t="s">
        <v>97</v>
      </c>
      <c r="C33" s="99">
        <v>38576</v>
      </c>
      <c r="D33" s="99">
        <v>38921</v>
      </c>
      <c r="E33" s="99">
        <v>39105</v>
      </c>
      <c r="F33" s="99">
        <v>39442</v>
      </c>
      <c r="G33" s="99">
        <v>37816</v>
      </c>
      <c r="H33" s="99">
        <v>14158</v>
      </c>
      <c r="I33" s="99">
        <v>14416</v>
      </c>
      <c r="J33" s="99">
        <v>14663</v>
      </c>
      <c r="K33" s="99">
        <v>14725</v>
      </c>
      <c r="L33" s="99">
        <v>13972</v>
      </c>
      <c r="M33" s="100">
        <v>14.253962470395336</v>
      </c>
      <c r="N33" s="100">
        <v>14.723701119882504</v>
      </c>
      <c r="O33" s="101">
        <v>15.172161172161172</v>
      </c>
      <c r="P33" s="101">
        <v>16.406887849773621</v>
      </c>
      <c r="Q33" s="102">
        <v>18.720748829953198</v>
      </c>
      <c r="R33" s="100">
        <v>26.303516123155401</v>
      </c>
      <c r="S33" s="100">
        <v>28.184321644942166</v>
      </c>
      <c r="T33" s="100">
        <v>28.069597069597069</v>
      </c>
      <c r="U33" s="100">
        <v>29.967342091590588</v>
      </c>
      <c r="V33" s="100">
        <v>32.549301972078887</v>
      </c>
      <c r="W33" s="100">
        <v>40.557478593550741</v>
      </c>
      <c r="X33" s="100">
        <v>42.908022764824672</v>
      </c>
      <c r="Y33" s="100">
        <v>43.241758241758241</v>
      </c>
      <c r="Z33" s="100">
        <v>46.374229941364213</v>
      </c>
      <c r="AA33" s="100">
        <v>51.270050802032081</v>
      </c>
      <c r="AB33" s="100">
        <v>4.9000000000000004</v>
      </c>
      <c r="AC33" s="100">
        <v>6</v>
      </c>
      <c r="AD33" s="100">
        <v>7</v>
      </c>
      <c r="AE33" s="100">
        <v>10.3</v>
      </c>
      <c r="AF33" s="100">
        <v>8.8000000000000007</v>
      </c>
      <c r="AG33" s="99">
        <v>544.83333333333337</v>
      </c>
      <c r="AH33" s="99">
        <v>610.5</v>
      </c>
      <c r="AI33" s="104">
        <v>693.91666666666663</v>
      </c>
      <c r="AJ33" s="104">
        <v>950.41666666666663</v>
      </c>
      <c r="AK33" s="105">
        <v>1191.6666666666667</v>
      </c>
      <c r="AL33" s="106">
        <v>37516</v>
      </c>
      <c r="AM33" s="106">
        <v>156</v>
      </c>
      <c r="AN33" s="106">
        <v>228</v>
      </c>
      <c r="AO33" s="106">
        <v>295</v>
      </c>
      <c r="AP33" s="106">
        <v>0</v>
      </c>
      <c r="AQ33" s="106">
        <v>516</v>
      </c>
      <c r="AR33" s="106">
        <v>36319</v>
      </c>
      <c r="AS33" s="106">
        <v>245</v>
      </c>
      <c r="AT33" s="106">
        <v>174</v>
      </c>
      <c r="AU33" s="106">
        <v>328</v>
      </c>
      <c r="AV33" s="106">
        <v>616</v>
      </c>
      <c r="AW33" s="106">
        <v>582</v>
      </c>
      <c r="AX33" s="107">
        <v>29489</v>
      </c>
      <c r="AY33" s="107">
        <v>29935</v>
      </c>
      <c r="AZ33" s="107">
        <v>31570</v>
      </c>
      <c r="BA33" s="107">
        <v>33647</v>
      </c>
      <c r="BB33" s="107">
        <v>32838</v>
      </c>
      <c r="BC33" s="107">
        <v>56064</v>
      </c>
      <c r="BD33" s="107">
        <v>55695</v>
      </c>
      <c r="BE33" s="107">
        <v>56430</v>
      </c>
      <c r="BF33" s="108">
        <v>61405</v>
      </c>
      <c r="BG33" s="108">
        <v>55233</v>
      </c>
      <c r="BH33" s="100">
        <v>6.5</v>
      </c>
      <c r="BI33" s="100">
        <v>7.1</v>
      </c>
      <c r="BJ33" s="100">
        <v>7.6</v>
      </c>
      <c r="BK33" s="100">
        <v>7.5</v>
      </c>
      <c r="BL33" s="100">
        <v>9</v>
      </c>
      <c r="BM33" s="100">
        <v>8.6</v>
      </c>
      <c r="BN33" s="109">
        <v>9.5</v>
      </c>
      <c r="BO33" s="109">
        <v>10.199999999999999</v>
      </c>
      <c r="BP33" s="109">
        <v>9.6</v>
      </c>
      <c r="BQ33" s="100">
        <v>12.2</v>
      </c>
      <c r="BR33" s="106">
        <v>6343</v>
      </c>
      <c r="BS33" s="118">
        <v>6325</v>
      </c>
      <c r="BT33" s="118">
        <v>6264</v>
      </c>
      <c r="BU33" s="110">
        <v>6314</v>
      </c>
      <c r="BV33" s="100">
        <v>28.125492669084029</v>
      </c>
      <c r="BW33" s="100">
        <v>31.462450592885379</v>
      </c>
      <c r="BX33" s="100">
        <v>36.94125159642401</v>
      </c>
      <c r="BY33" s="103">
        <v>36.949635730123532</v>
      </c>
      <c r="BZ33" s="100">
        <v>1.2927636764937727</v>
      </c>
      <c r="CA33" s="100">
        <v>1.3122529644268774</v>
      </c>
      <c r="CB33" s="100">
        <v>1.4367816091954022</v>
      </c>
      <c r="CC33" s="103">
        <v>0.99778270509977829</v>
      </c>
      <c r="CD33" s="100">
        <v>10.767775500551789</v>
      </c>
      <c r="CE33" s="100">
        <v>11.446640316205533</v>
      </c>
      <c r="CF33" s="100">
        <v>12.068965517241379</v>
      </c>
      <c r="CG33" s="103">
        <v>12.733607855559075</v>
      </c>
      <c r="CH33" s="100">
        <v>67.210440456769987</v>
      </c>
      <c r="CI33" s="105">
        <v>69.89</v>
      </c>
      <c r="CJ33" s="111">
        <v>72.53</v>
      </c>
      <c r="CK33" s="111">
        <v>77.799607072691558</v>
      </c>
      <c r="CL33" s="112">
        <v>1722</v>
      </c>
      <c r="CM33" s="112">
        <v>1895</v>
      </c>
      <c r="CN33" s="112">
        <v>2235</v>
      </c>
      <c r="CO33" s="112">
        <v>2550</v>
      </c>
      <c r="CP33" s="112"/>
      <c r="CQ33" s="113">
        <v>12.593426845500154</v>
      </c>
      <c r="CR33" s="113">
        <v>12.560565788863187</v>
      </c>
      <c r="CS33" s="113">
        <v>12.701750397817685</v>
      </c>
      <c r="CT33" s="113">
        <v>13.153822346022903</v>
      </c>
      <c r="CU33" s="112"/>
      <c r="CV33" s="114">
        <v>4.1297935103244834</v>
      </c>
      <c r="CW33" s="114">
        <v>4.5503791982665218</v>
      </c>
      <c r="CX33" s="114">
        <v>4.7619047619047619</v>
      </c>
      <c r="CY33" s="114">
        <v>4.7154471544715451</v>
      </c>
      <c r="CZ33" s="112"/>
      <c r="DA33" s="113">
        <v>7.2666666666666666</v>
      </c>
      <c r="DB33" s="113">
        <v>8.043981481481481</v>
      </c>
      <c r="DC33" s="113">
        <v>8.853910477127398</v>
      </c>
      <c r="DD33" s="113">
        <v>8.1057268722466969</v>
      </c>
      <c r="DE33" s="112"/>
      <c r="DF33" s="113">
        <v>78.890876565295173</v>
      </c>
      <c r="DG33" s="113">
        <v>79.340183883180103</v>
      </c>
      <c r="DH33" s="113">
        <v>83.742052679382383</v>
      </c>
      <c r="DI33" s="113">
        <v>87.584291947639827</v>
      </c>
      <c r="DJ33" s="112"/>
      <c r="DK33" s="114">
        <v>21.221281741233373</v>
      </c>
      <c r="DL33" s="114">
        <v>21.466809421841543</v>
      </c>
      <c r="DM33" s="114">
        <v>18.283062645011601</v>
      </c>
      <c r="DN33" s="114">
        <v>16.246056782334385</v>
      </c>
      <c r="DO33" s="112"/>
      <c r="DP33" s="113">
        <v>25.609756097560975</v>
      </c>
      <c r="DQ33" s="113">
        <v>28.759894459102902</v>
      </c>
      <c r="DR33" s="113">
        <v>28.590604026845636</v>
      </c>
      <c r="DS33" s="113">
        <v>32.823529411764703</v>
      </c>
      <c r="DT33" s="112"/>
      <c r="DU33" s="115">
        <v>9</v>
      </c>
      <c r="DV33" s="115">
        <v>14</v>
      </c>
      <c r="DW33" s="115">
        <v>8</v>
      </c>
      <c r="DX33" s="115">
        <v>12</v>
      </c>
      <c r="DY33" s="112"/>
      <c r="DZ33" s="116">
        <v>4.7300000000000004</v>
      </c>
      <c r="EA33" s="116">
        <v>4.049295774647887</v>
      </c>
      <c r="EB33" s="116">
        <v>4.3099999999999996</v>
      </c>
      <c r="EC33" s="116">
        <v>2.9469548133595285</v>
      </c>
      <c r="ED33" s="112"/>
      <c r="EE33" s="113">
        <v>97.005988023952099</v>
      </c>
      <c r="EF33" s="113">
        <v>0.99800399201596801</v>
      </c>
      <c r="EG33" s="113">
        <v>0.39920159680638723</v>
      </c>
      <c r="EH33" s="113">
        <v>1.1976047904191616</v>
      </c>
      <c r="EI33" s="113">
        <v>0.6097560975609756</v>
      </c>
      <c r="EJ33" s="113">
        <v>25.786163522012579</v>
      </c>
      <c r="EK33" s="113"/>
      <c r="EL33" s="115">
        <v>980</v>
      </c>
      <c r="EM33" s="115">
        <v>1109</v>
      </c>
      <c r="EN33" s="115">
        <v>1245</v>
      </c>
      <c r="EO33" s="115">
        <v>1286</v>
      </c>
      <c r="EP33" s="112"/>
      <c r="EQ33" s="114">
        <v>716.69908876830141</v>
      </c>
      <c r="ER33" s="114">
        <v>735.07479999204611</v>
      </c>
      <c r="ES33" s="114">
        <v>707.54716981132071</v>
      </c>
      <c r="ET33" s="114">
        <v>663.36531517590015</v>
      </c>
      <c r="EU33" s="112"/>
      <c r="EV33" s="113">
        <v>764.47243389000005</v>
      </c>
      <c r="EW33" s="113">
        <v>777.75897021000003</v>
      </c>
      <c r="EX33" s="113">
        <v>755.76041988999998</v>
      </c>
      <c r="EY33" s="113">
        <v>706.67253958000003</v>
      </c>
      <c r="EZ33" s="112"/>
      <c r="FA33" s="115">
        <v>298</v>
      </c>
      <c r="FB33" s="115">
        <v>290</v>
      </c>
      <c r="FC33" s="115">
        <v>290</v>
      </c>
      <c r="FD33" s="115">
        <v>246</v>
      </c>
      <c r="FE33" s="112"/>
      <c r="FF33" s="115">
        <v>206</v>
      </c>
      <c r="FG33" s="115">
        <v>244</v>
      </c>
      <c r="FH33" s="115">
        <v>276</v>
      </c>
      <c r="FI33" s="115">
        <v>289</v>
      </c>
      <c r="FJ33" s="112"/>
      <c r="FK33" s="115">
        <v>132</v>
      </c>
      <c r="FL33" s="115">
        <v>108</v>
      </c>
      <c r="FM33" s="115">
        <v>89</v>
      </c>
      <c r="FN33" s="115">
        <v>79</v>
      </c>
      <c r="FO33" s="112"/>
      <c r="FP33" s="115">
        <v>58</v>
      </c>
      <c r="FQ33" s="115">
        <v>62</v>
      </c>
      <c r="FR33" s="115">
        <v>72</v>
      </c>
      <c r="FS33" s="115">
        <v>71</v>
      </c>
      <c r="FT33" s="112"/>
      <c r="FU33" s="113">
        <v>233.74842305000001</v>
      </c>
      <c r="FV33" s="113">
        <v>200.4674057</v>
      </c>
      <c r="FW33" s="113">
        <v>173.15251592000001</v>
      </c>
      <c r="FX33" s="113">
        <v>131.61381556000001</v>
      </c>
      <c r="FY33" s="112"/>
      <c r="FZ33" s="113">
        <v>167.27706798</v>
      </c>
      <c r="GA33" s="113">
        <v>183.557434</v>
      </c>
      <c r="GB33" s="113">
        <v>175.99051928</v>
      </c>
      <c r="GC33" s="113">
        <v>161.73257505999999</v>
      </c>
      <c r="GD33" s="112"/>
      <c r="GE33" s="113">
        <v>100.07224848</v>
      </c>
      <c r="GF33" s="113">
        <v>70.677251569999996</v>
      </c>
      <c r="GG33" s="113">
        <v>52.474402189999999</v>
      </c>
      <c r="GH33" s="113">
        <v>44.741747449999998</v>
      </c>
      <c r="GI33" s="112"/>
      <c r="GJ33" s="113">
        <v>43.6272265899999</v>
      </c>
      <c r="GK33" s="113">
        <v>42.672577650000001</v>
      </c>
      <c r="GL33" s="113">
        <v>41.5399199699999</v>
      </c>
      <c r="GM33" s="113">
        <v>38.464667259999999</v>
      </c>
      <c r="GN33" s="112"/>
      <c r="GO33" s="113">
        <v>945.21281852000004</v>
      </c>
      <c r="GP33" s="113">
        <v>929.43687589000001</v>
      </c>
      <c r="GQ33" s="113">
        <v>832.35942926999996</v>
      </c>
      <c r="GR33" s="113">
        <v>861.64876306999997</v>
      </c>
      <c r="GS33" s="112"/>
      <c r="GT33" s="113">
        <v>624.83486031999996</v>
      </c>
      <c r="GU33" s="113">
        <v>643.06771781999998</v>
      </c>
      <c r="GV33" s="113">
        <v>677.16963901999998</v>
      </c>
      <c r="GW33" s="113">
        <v>581.87475265</v>
      </c>
      <c r="GX33" s="112"/>
      <c r="GY33" s="112"/>
      <c r="GZ33" s="112"/>
      <c r="HA33" s="112"/>
      <c r="HB33" s="112"/>
      <c r="HC33" s="112"/>
      <c r="HD33" s="115">
        <v>256</v>
      </c>
      <c r="HE33" s="115">
        <v>1</v>
      </c>
      <c r="HF33" s="115">
        <v>2</v>
      </c>
      <c r="HG33" s="115">
        <v>2</v>
      </c>
      <c r="HH33" s="115">
        <v>0</v>
      </c>
      <c r="HI33" s="114">
        <v>35.741301059001515</v>
      </c>
      <c r="HJ33" s="114">
        <v>26.067073170731707</v>
      </c>
      <c r="HK33" s="113">
        <v>27.773738548785808</v>
      </c>
      <c r="HL33" s="112">
        <v>70</v>
      </c>
      <c r="HM33" s="112">
        <v>84</v>
      </c>
      <c r="HN33" s="112">
        <v>104</v>
      </c>
      <c r="HO33" s="112">
        <v>116</v>
      </c>
      <c r="HP33" s="112"/>
      <c r="HQ33" s="112">
        <v>109</v>
      </c>
      <c r="HR33" s="112">
        <v>139</v>
      </c>
      <c r="HS33" s="112">
        <v>180</v>
      </c>
      <c r="HT33" s="112">
        <v>184</v>
      </c>
      <c r="HU33" s="117"/>
    </row>
    <row r="34" spans="1:229" x14ac:dyDescent="0.2">
      <c r="A34" s="93">
        <v>31</v>
      </c>
      <c r="B34" s="98" t="s">
        <v>98</v>
      </c>
      <c r="C34" s="99">
        <v>44729</v>
      </c>
      <c r="D34" s="99">
        <v>44542</v>
      </c>
      <c r="E34" s="99">
        <v>44512</v>
      </c>
      <c r="F34" s="99">
        <v>44727</v>
      </c>
      <c r="G34" s="99">
        <v>45058</v>
      </c>
      <c r="H34" s="99">
        <v>18620</v>
      </c>
      <c r="I34" s="99">
        <v>18774</v>
      </c>
      <c r="J34" s="99">
        <v>19039</v>
      </c>
      <c r="K34" s="99">
        <v>19212</v>
      </c>
      <c r="L34" s="99">
        <v>18773</v>
      </c>
      <c r="M34" s="100">
        <v>26.317040861383784</v>
      </c>
      <c r="N34" s="100">
        <v>27.067566179240437</v>
      </c>
      <c r="O34" s="101">
        <v>28.08011049723757</v>
      </c>
      <c r="P34" s="101">
        <v>28.356647015732374</v>
      </c>
      <c r="Q34" s="102">
        <v>30.10745136596671</v>
      </c>
      <c r="R34" s="100">
        <v>25.610543120138583</v>
      </c>
      <c r="S34" s="100">
        <v>25.46830587993562</v>
      </c>
      <c r="T34" s="100">
        <v>25.621546961325969</v>
      </c>
      <c r="U34" s="100">
        <v>27.665957372588689</v>
      </c>
      <c r="V34" s="100">
        <v>28.112929278741486</v>
      </c>
      <c r="W34" s="100">
        <v>51.927583981522361</v>
      </c>
      <c r="X34" s="100">
        <v>52.535872059176057</v>
      </c>
      <c r="Y34" s="100">
        <v>53.701657458563531</v>
      </c>
      <c r="Z34" s="100">
        <v>56.022604388321064</v>
      </c>
      <c r="AA34" s="100">
        <v>58.220380644708193</v>
      </c>
      <c r="AB34" s="100">
        <v>6.1</v>
      </c>
      <c r="AC34" s="100">
        <v>7.3</v>
      </c>
      <c r="AD34" s="100">
        <v>8</v>
      </c>
      <c r="AE34" s="100">
        <v>11.1</v>
      </c>
      <c r="AF34" s="100">
        <v>9.6999999999999993</v>
      </c>
      <c r="AG34" s="99">
        <v>1297.9166666666667</v>
      </c>
      <c r="AH34" s="99">
        <v>1443.9166666666667</v>
      </c>
      <c r="AI34" s="104">
        <v>1614.5</v>
      </c>
      <c r="AJ34" s="104">
        <v>1965.75</v>
      </c>
      <c r="AK34" s="105">
        <v>2301.8333333333335</v>
      </c>
      <c r="AL34" s="106">
        <v>42298</v>
      </c>
      <c r="AM34" s="106">
        <v>93</v>
      </c>
      <c r="AN34" s="106">
        <v>1554</v>
      </c>
      <c r="AO34" s="106">
        <v>153</v>
      </c>
      <c r="AP34" s="106">
        <v>0</v>
      </c>
      <c r="AQ34" s="106">
        <v>346</v>
      </c>
      <c r="AR34" s="106">
        <v>42195</v>
      </c>
      <c r="AS34" s="106">
        <v>144</v>
      </c>
      <c r="AT34" s="106">
        <v>1568</v>
      </c>
      <c r="AU34" s="106">
        <v>154</v>
      </c>
      <c r="AV34" s="106">
        <v>923</v>
      </c>
      <c r="AW34" s="106">
        <v>417</v>
      </c>
      <c r="AX34" s="107">
        <v>26359</v>
      </c>
      <c r="AY34" s="107">
        <v>26984</v>
      </c>
      <c r="AZ34" s="107">
        <v>28050</v>
      </c>
      <c r="BA34" s="107">
        <v>30656</v>
      </c>
      <c r="BB34" s="107">
        <v>31369</v>
      </c>
      <c r="BC34" s="107">
        <v>39989</v>
      </c>
      <c r="BD34" s="107">
        <v>40987</v>
      </c>
      <c r="BE34" s="107">
        <v>43622</v>
      </c>
      <c r="BF34" s="108">
        <v>44311</v>
      </c>
      <c r="BG34" s="108">
        <v>42896</v>
      </c>
      <c r="BH34" s="100">
        <v>11.8</v>
      </c>
      <c r="BI34" s="100">
        <v>12.8</v>
      </c>
      <c r="BJ34" s="100">
        <v>9.8000000000000007</v>
      </c>
      <c r="BK34" s="100">
        <v>12.9</v>
      </c>
      <c r="BL34" s="100">
        <v>13.6</v>
      </c>
      <c r="BM34" s="100">
        <v>17.399999999999999</v>
      </c>
      <c r="BN34" s="109">
        <v>17</v>
      </c>
      <c r="BO34" s="109">
        <v>14.2</v>
      </c>
      <c r="BP34" s="109">
        <v>17.3</v>
      </c>
      <c r="BQ34" s="100">
        <v>20</v>
      </c>
      <c r="BR34" s="106">
        <v>6728</v>
      </c>
      <c r="BS34" s="118">
        <v>6689</v>
      </c>
      <c r="BT34" s="118">
        <v>6602</v>
      </c>
      <c r="BU34" s="110">
        <v>6563</v>
      </c>
      <c r="BV34" s="100">
        <v>43.311533888228297</v>
      </c>
      <c r="BW34" s="100">
        <v>43.145462699955154</v>
      </c>
      <c r="BX34" s="100">
        <v>46.440472584065432</v>
      </c>
      <c r="BY34" s="103">
        <v>45.60414444613744</v>
      </c>
      <c r="BZ34" s="100">
        <v>0.11890606420927466</v>
      </c>
      <c r="CA34" s="100">
        <v>2.9899835550904471E-2</v>
      </c>
      <c r="CB34" s="100">
        <v>0</v>
      </c>
      <c r="CC34" s="103">
        <v>3.0473868657626087E-2</v>
      </c>
      <c r="CD34" s="100">
        <v>15.829369797859691</v>
      </c>
      <c r="CE34" s="100">
        <v>15.637613993123036</v>
      </c>
      <c r="CF34" s="100">
        <v>15.873977582550742</v>
      </c>
      <c r="CG34" s="103">
        <v>15.998781045253695</v>
      </c>
      <c r="CH34" s="100">
        <v>73.282442748091597</v>
      </c>
      <c r="CI34" s="105">
        <v>75.98</v>
      </c>
      <c r="CJ34" s="111">
        <v>77.98</v>
      </c>
      <c r="CK34" s="111">
        <v>81.347150259067362</v>
      </c>
      <c r="CL34" s="112">
        <v>2329</v>
      </c>
      <c r="CM34" s="112">
        <v>2195</v>
      </c>
      <c r="CN34" s="112">
        <v>2344</v>
      </c>
      <c r="CO34" s="112">
        <v>2378</v>
      </c>
      <c r="CP34" s="112"/>
      <c r="CQ34" s="113">
        <v>11.043829159692157</v>
      </c>
      <c r="CR34" s="113">
        <v>10.025119890385932</v>
      </c>
      <c r="CS34" s="113">
        <v>10.600578871201158</v>
      </c>
      <c r="CT34" s="113">
        <v>10.636584842195663</v>
      </c>
      <c r="CU34" s="112"/>
      <c r="CV34" s="114">
        <v>3.8528896672504378</v>
      </c>
      <c r="CW34" s="114">
        <v>3.8985439173320806</v>
      </c>
      <c r="CX34" s="114">
        <v>4.0870724122612172</v>
      </c>
      <c r="CY34" s="114">
        <v>5.1903114186851207</v>
      </c>
      <c r="CZ34" s="112"/>
      <c r="DA34" s="113">
        <v>6.3434760185662711</v>
      </c>
      <c r="DB34" s="113">
        <v>5.9133489461358311</v>
      </c>
      <c r="DC34" s="113">
        <v>6.8389876144318791</v>
      </c>
      <c r="DD34" s="113">
        <v>9.1341077085533264</v>
      </c>
      <c r="DE34" s="112"/>
      <c r="DF34" s="113">
        <v>84.858337203901527</v>
      </c>
      <c r="DG34" s="113">
        <v>89.194805194805198</v>
      </c>
      <c r="DH34" s="113">
        <v>89.848415250344516</v>
      </c>
      <c r="DI34" s="113">
        <v>85.964163822525592</v>
      </c>
      <c r="DJ34" s="112"/>
      <c r="DK34" s="114">
        <v>22.468793342579751</v>
      </c>
      <c r="DL34" s="114">
        <v>22.185430463576157</v>
      </c>
      <c r="DM34" s="114">
        <v>18.816254416961129</v>
      </c>
      <c r="DN34" s="114">
        <v>23.337568826768319</v>
      </c>
      <c r="DO34" s="112"/>
      <c r="DP34" s="113">
        <v>30.871618720480893</v>
      </c>
      <c r="DQ34" s="113">
        <v>33.667425968109342</v>
      </c>
      <c r="DR34" s="113">
        <v>37.585324232081909</v>
      </c>
      <c r="DS34" s="113">
        <v>43.397813288477714</v>
      </c>
      <c r="DT34" s="112"/>
      <c r="DU34" s="115">
        <v>14</v>
      </c>
      <c r="DV34" s="115">
        <v>18</v>
      </c>
      <c r="DW34" s="115">
        <v>18</v>
      </c>
      <c r="DX34" s="115">
        <v>10</v>
      </c>
      <c r="DY34" s="112"/>
      <c r="DZ34" s="116">
        <v>6.56</v>
      </c>
      <c r="EA34" s="116">
        <v>5.9679767103347894</v>
      </c>
      <c r="EB34" s="116">
        <v>6.36</v>
      </c>
      <c r="EC34" s="116">
        <v>4.8359240069084626</v>
      </c>
      <c r="ED34" s="112"/>
      <c r="EE34" s="113">
        <v>90</v>
      </c>
      <c r="EF34" s="113">
        <v>0</v>
      </c>
      <c r="EG34" s="113">
        <v>9.5238095238095237</v>
      </c>
      <c r="EH34" s="113">
        <v>0.23809523809523808</v>
      </c>
      <c r="EI34" s="113">
        <v>1.5706806282722514</v>
      </c>
      <c r="EJ34" s="113">
        <v>33.155380724922729</v>
      </c>
      <c r="EK34" s="113"/>
      <c r="EL34" s="115">
        <v>2189</v>
      </c>
      <c r="EM34" s="115">
        <v>2195</v>
      </c>
      <c r="EN34" s="115">
        <v>2379</v>
      </c>
      <c r="EO34" s="115">
        <v>2308</v>
      </c>
      <c r="EP34" s="112"/>
      <c r="EQ34" s="114">
        <v>1037.9966522355573</v>
      </c>
      <c r="ER34" s="114">
        <v>1002.5119890385932</v>
      </c>
      <c r="ES34" s="114">
        <v>1075.8863965267728</v>
      </c>
      <c r="ET34" s="114">
        <v>1032.3480999069634</v>
      </c>
      <c r="EU34" s="112"/>
      <c r="EV34" s="113">
        <v>935.33236368999997</v>
      </c>
      <c r="EW34" s="113">
        <v>854.09741158999998</v>
      </c>
      <c r="EX34" s="113">
        <v>810.32191510999996</v>
      </c>
      <c r="EY34" s="113">
        <v>735.95125173999998</v>
      </c>
      <c r="EZ34" s="112"/>
      <c r="FA34" s="115">
        <v>680</v>
      </c>
      <c r="FB34" s="115">
        <v>579</v>
      </c>
      <c r="FC34" s="115">
        <v>565</v>
      </c>
      <c r="FD34" s="115">
        <v>544</v>
      </c>
      <c r="FE34" s="112"/>
      <c r="FF34" s="115">
        <v>559</v>
      </c>
      <c r="FG34" s="115">
        <v>550</v>
      </c>
      <c r="FH34" s="115">
        <v>597</v>
      </c>
      <c r="FI34" s="115">
        <v>575</v>
      </c>
      <c r="FJ34" s="112"/>
      <c r="FK34" s="115">
        <v>144</v>
      </c>
      <c r="FL34" s="115">
        <v>143</v>
      </c>
      <c r="FM34" s="115">
        <v>160</v>
      </c>
      <c r="FN34" s="115">
        <v>136</v>
      </c>
      <c r="FO34" s="112"/>
      <c r="FP34" s="115">
        <v>103</v>
      </c>
      <c r="FQ34" s="115">
        <v>112</v>
      </c>
      <c r="FR34" s="115">
        <v>116</v>
      </c>
      <c r="FS34" s="115">
        <v>121</v>
      </c>
      <c r="FT34" s="112"/>
      <c r="FU34" s="113">
        <v>287.66542829000002</v>
      </c>
      <c r="FV34" s="113">
        <v>222.87654825000001</v>
      </c>
      <c r="FW34" s="113">
        <v>185.76223096999999</v>
      </c>
      <c r="FX34" s="113">
        <v>167.62676099999999</v>
      </c>
      <c r="FY34" s="112"/>
      <c r="FZ34" s="113">
        <v>229.47651834000001</v>
      </c>
      <c r="GA34" s="113">
        <v>207.44613258000001</v>
      </c>
      <c r="GB34" s="113">
        <v>203.29102732000001</v>
      </c>
      <c r="GC34" s="113">
        <v>179.28683024</v>
      </c>
      <c r="GD34" s="112"/>
      <c r="GE34" s="113">
        <v>63.129294960000003</v>
      </c>
      <c r="GF34" s="113">
        <v>54.057197440000003</v>
      </c>
      <c r="GG34" s="113">
        <v>51.574605009999999</v>
      </c>
      <c r="GH34" s="113">
        <v>41.185685999999997</v>
      </c>
      <c r="GI34" s="112"/>
      <c r="GJ34" s="113">
        <v>46.354831969999999</v>
      </c>
      <c r="GK34" s="113">
        <v>48.465938459999997</v>
      </c>
      <c r="GL34" s="113">
        <v>48.038678070000003</v>
      </c>
      <c r="GM34" s="113">
        <v>48.570288150000003</v>
      </c>
      <c r="GN34" s="112"/>
      <c r="GO34" s="113">
        <v>1160.52021618</v>
      </c>
      <c r="GP34" s="113">
        <v>986.98256391999996</v>
      </c>
      <c r="GQ34" s="113">
        <v>948.22644837999997</v>
      </c>
      <c r="GR34" s="113">
        <v>877.38142216000006</v>
      </c>
      <c r="GS34" s="112"/>
      <c r="GT34" s="113">
        <v>750.93674571999998</v>
      </c>
      <c r="GU34" s="113">
        <v>739.61680527999897</v>
      </c>
      <c r="GV34" s="113">
        <v>693.14829842999995</v>
      </c>
      <c r="GW34" s="113">
        <v>610.40665594999996</v>
      </c>
      <c r="GX34" s="112"/>
      <c r="GY34" s="112"/>
      <c r="GZ34" s="112"/>
      <c r="HA34" s="112"/>
      <c r="HB34" s="112"/>
      <c r="HC34" s="112"/>
      <c r="HD34" s="115">
        <v>466</v>
      </c>
      <c r="HE34" s="115">
        <v>1</v>
      </c>
      <c r="HF34" s="115">
        <v>12</v>
      </c>
      <c r="HG34" s="115">
        <v>1</v>
      </c>
      <c r="HH34" s="115">
        <v>1</v>
      </c>
      <c r="HI34" s="114">
        <v>38.016953506293348</v>
      </c>
      <c r="HJ34" s="114">
        <v>28.811659192825111</v>
      </c>
      <c r="HK34" s="113">
        <v>29.987452948557088</v>
      </c>
      <c r="HL34" s="112">
        <v>88</v>
      </c>
      <c r="HM34" s="112">
        <v>83</v>
      </c>
      <c r="HN34" s="112">
        <v>92</v>
      </c>
      <c r="HO34" s="112">
        <v>120</v>
      </c>
      <c r="HP34" s="112"/>
      <c r="HQ34" s="112">
        <v>123</v>
      </c>
      <c r="HR34" s="112">
        <v>101</v>
      </c>
      <c r="HS34" s="112">
        <v>127</v>
      </c>
      <c r="HT34" s="112">
        <v>173</v>
      </c>
      <c r="HU34" s="117"/>
    </row>
    <row r="35" spans="1:229" ht="21" customHeight="1" x14ac:dyDescent="0.2">
      <c r="A35" s="93">
        <v>32</v>
      </c>
      <c r="B35" s="98" t="s">
        <v>99</v>
      </c>
      <c r="C35" s="99">
        <v>11150</v>
      </c>
      <c r="D35" s="99">
        <v>10883</v>
      </c>
      <c r="E35" s="99">
        <v>10734</v>
      </c>
      <c r="F35" s="99">
        <v>10786</v>
      </c>
      <c r="G35" s="99">
        <v>10266</v>
      </c>
      <c r="H35" s="99">
        <v>4636</v>
      </c>
      <c r="I35" s="99">
        <v>4627</v>
      </c>
      <c r="J35" s="99">
        <v>4596</v>
      </c>
      <c r="K35" s="99">
        <v>4587</v>
      </c>
      <c r="L35" s="99">
        <v>4429</v>
      </c>
      <c r="M35" s="100">
        <v>30.604233842702932</v>
      </c>
      <c r="N35" s="100">
        <v>31.598727956056667</v>
      </c>
      <c r="O35" s="101">
        <v>32.424508941659333</v>
      </c>
      <c r="P35" s="101">
        <v>34.509156409486643</v>
      </c>
      <c r="Q35" s="102">
        <v>32.295781324063832</v>
      </c>
      <c r="R35" s="100">
        <v>25.711481844946029</v>
      </c>
      <c r="S35" s="100">
        <v>25.715524718126627</v>
      </c>
      <c r="T35" s="100">
        <v>24.91937848138376</v>
      </c>
      <c r="U35" s="100">
        <v>27.394175923146204</v>
      </c>
      <c r="V35" s="100">
        <v>29.909938378890821</v>
      </c>
      <c r="W35" s="100">
        <v>56.315715687648961</v>
      </c>
      <c r="X35" s="100">
        <v>57.314252674183287</v>
      </c>
      <c r="Y35" s="100">
        <v>57.343887423043093</v>
      </c>
      <c r="Z35" s="100">
        <v>61.903332332632843</v>
      </c>
      <c r="AA35" s="100">
        <v>62.205719702954653</v>
      </c>
      <c r="AB35" s="100">
        <v>3.9</v>
      </c>
      <c r="AC35" s="100">
        <v>3.9</v>
      </c>
      <c r="AD35" s="100">
        <v>4.3</v>
      </c>
      <c r="AE35" s="100">
        <v>5.5</v>
      </c>
      <c r="AF35" s="100">
        <v>4.8</v>
      </c>
      <c r="AG35" s="99">
        <v>154.75</v>
      </c>
      <c r="AH35" s="99">
        <v>150.66666666666666</v>
      </c>
      <c r="AI35" s="104">
        <v>161.33333333333334</v>
      </c>
      <c r="AJ35" s="104">
        <v>207.75</v>
      </c>
      <c r="AK35" s="105">
        <v>263.91666666666669</v>
      </c>
      <c r="AL35" s="106">
        <v>10877</v>
      </c>
      <c r="AM35" s="106">
        <v>17</v>
      </c>
      <c r="AN35" s="106">
        <v>13</v>
      </c>
      <c r="AO35" s="106">
        <v>188</v>
      </c>
      <c r="AP35" s="106">
        <v>0</v>
      </c>
      <c r="AQ35" s="106">
        <v>289</v>
      </c>
      <c r="AR35" s="106">
        <v>9830</v>
      </c>
      <c r="AS35" s="106">
        <v>47</v>
      </c>
      <c r="AT35" s="106">
        <v>24</v>
      </c>
      <c r="AU35" s="106">
        <v>141</v>
      </c>
      <c r="AV35" s="106">
        <v>104</v>
      </c>
      <c r="AW35" s="106">
        <v>277</v>
      </c>
      <c r="AX35" s="107">
        <v>30323</v>
      </c>
      <c r="AY35" s="107">
        <v>29911</v>
      </c>
      <c r="AZ35" s="107">
        <v>32095</v>
      </c>
      <c r="BA35" s="107">
        <v>38396</v>
      </c>
      <c r="BB35" s="107">
        <v>39541</v>
      </c>
      <c r="BC35" s="107">
        <v>40225</v>
      </c>
      <c r="BD35" s="107">
        <v>42352</v>
      </c>
      <c r="BE35" s="107">
        <v>43217</v>
      </c>
      <c r="BF35" s="108">
        <v>48552</v>
      </c>
      <c r="BG35" s="108">
        <v>49607</v>
      </c>
      <c r="BH35" s="100">
        <v>9.9</v>
      </c>
      <c r="BI35" s="100">
        <v>8.8000000000000007</v>
      </c>
      <c r="BJ35" s="100">
        <v>9.8000000000000007</v>
      </c>
      <c r="BK35" s="100">
        <v>8.6999999999999993</v>
      </c>
      <c r="BL35" s="100">
        <v>10.8</v>
      </c>
      <c r="BM35" s="100">
        <v>12.7</v>
      </c>
      <c r="BN35" s="109">
        <v>12.1</v>
      </c>
      <c r="BO35" s="109">
        <v>11.8</v>
      </c>
      <c r="BP35" s="109">
        <v>12</v>
      </c>
      <c r="BQ35" s="100">
        <v>14.6</v>
      </c>
      <c r="BR35" s="106">
        <v>1546</v>
      </c>
      <c r="BS35" s="118">
        <v>1483</v>
      </c>
      <c r="BT35" s="118">
        <v>1471</v>
      </c>
      <c r="BU35" s="110">
        <v>1490</v>
      </c>
      <c r="BV35" s="100">
        <v>32.600258732212161</v>
      </c>
      <c r="BW35" s="100">
        <v>31.625084288604182</v>
      </c>
      <c r="BX35" s="100">
        <v>35.418082936777701</v>
      </c>
      <c r="BY35" s="103">
        <v>37.785234899328856</v>
      </c>
      <c r="BZ35" s="100">
        <v>3.5575679172056924</v>
      </c>
      <c r="CA35" s="100">
        <v>3.5738368172623063</v>
      </c>
      <c r="CB35" s="100">
        <v>3.8749150237933381</v>
      </c>
      <c r="CC35" s="103">
        <v>3.8926174496644297</v>
      </c>
      <c r="CD35" s="100">
        <v>14.8124191461837</v>
      </c>
      <c r="CE35" s="100">
        <v>15.711395819285231</v>
      </c>
      <c r="CF35" s="100">
        <v>16.247450713800134</v>
      </c>
      <c r="CG35" s="103">
        <v>17.449664429530202</v>
      </c>
      <c r="CH35" s="100">
        <v>90.780141843971634</v>
      </c>
      <c r="CI35" s="105">
        <v>86.99</v>
      </c>
      <c r="CJ35" s="111">
        <v>92.25</v>
      </c>
      <c r="CK35" s="111">
        <v>95.275590551181097</v>
      </c>
      <c r="CL35" s="112">
        <v>614</v>
      </c>
      <c r="CM35" s="112">
        <v>597</v>
      </c>
      <c r="CN35" s="112">
        <v>541</v>
      </c>
      <c r="CO35" s="112">
        <v>538</v>
      </c>
      <c r="CP35" s="112"/>
      <c r="CQ35" s="113">
        <v>10.504345445835899</v>
      </c>
      <c r="CR35" s="113">
        <v>10.365843071206569</v>
      </c>
      <c r="CS35" s="113">
        <v>9.6550247175771418</v>
      </c>
      <c r="CT35" s="113">
        <v>9.9964696482654816</v>
      </c>
      <c r="CU35" s="112"/>
      <c r="CV35" s="114">
        <v>3.1932773109243699</v>
      </c>
      <c r="CW35" s="114">
        <v>4.1237113402061851</v>
      </c>
      <c r="CX35" s="114">
        <v>5.8601134215500945</v>
      </c>
      <c r="CY35" s="114">
        <v>6.7542213883677302</v>
      </c>
      <c r="CZ35" s="112"/>
      <c r="DA35" s="113">
        <v>6.9518716577540109</v>
      </c>
      <c r="DB35" s="113">
        <v>9.1549295774647881</v>
      </c>
      <c r="DC35" s="113">
        <v>13.034623217922608</v>
      </c>
      <c r="DD35" s="113">
        <v>10.78838174273859</v>
      </c>
      <c r="DE35" s="112"/>
      <c r="DF35" s="113">
        <v>83.501683501683502</v>
      </c>
      <c r="DG35" s="113">
        <v>85.73853989813243</v>
      </c>
      <c r="DH35" s="113">
        <v>88.785046728971963</v>
      </c>
      <c r="DI35" s="113">
        <v>86.38941398865785</v>
      </c>
      <c r="DJ35" s="112"/>
      <c r="DK35" s="114">
        <v>11.390284757118929</v>
      </c>
      <c r="DL35" s="114">
        <v>9.7643097643097647</v>
      </c>
      <c r="DM35" s="114">
        <v>10.986964618249534</v>
      </c>
      <c r="DN35" s="114">
        <v>13.754646840148698</v>
      </c>
      <c r="DO35" s="112"/>
      <c r="DP35" s="113">
        <v>18.270799347471453</v>
      </c>
      <c r="DQ35" s="113">
        <v>22.14765100671141</v>
      </c>
      <c r="DR35" s="113">
        <v>21.626617375231053</v>
      </c>
      <c r="DS35" s="113">
        <v>33.271375464684013</v>
      </c>
      <c r="DT35" s="112"/>
      <c r="DU35" s="115">
        <v>4</v>
      </c>
      <c r="DV35" s="115">
        <v>1</v>
      </c>
      <c r="DW35" s="115">
        <v>2</v>
      </c>
      <c r="DX35" s="115">
        <v>4</v>
      </c>
      <c r="DY35" s="112"/>
      <c r="DZ35" s="116">
        <v>0</v>
      </c>
      <c r="EA35" s="116">
        <v>0</v>
      </c>
      <c r="EB35" s="116">
        <v>1.55</v>
      </c>
      <c r="EC35" s="116">
        <v>1.5748031496062993</v>
      </c>
      <c r="ED35" s="112"/>
      <c r="EE35" s="113">
        <v>90.526315789473685</v>
      </c>
      <c r="EF35" s="113">
        <v>2.1052631578947367</v>
      </c>
      <c r="EG35" s="113">
        <v>0</v>
      </c>
      <c r="EH35" s="113">
        <v>4.2105263157894735</v>
      </c>
      <c r="EI35" s="113">
        <v>3.1578947368421053</v>
      </c>
      <c r="EJ35" s="113">
        <v>20.547945205479451</v>
      </c>
      <c r="EK35" s="113"/>
      <c r="EL35" s="115">
        <v>649</v>
      </c>
      <c r="EM35" s="115">
        <v>639</v>
      </c>
      <c r="EN35" s="115">
        <v>641</v>
      </c>
      <c r="EO35" s="115">
        <v>538</v>
      </c>
      <c r="EP35" s="112"/>
      <c r="EQ35" s="114">
        <v>1110.312735235749</v>
      </c>
      <c r="ER35" s="114">
        <v>1109.5098362648239</v>
      </c>
      <c r="ES35" s="114">
        <v>1143.968732711081</v>
      </c>
      <c r="ET35" s="114">
        <v>999.64696482654824</v>
      </c>
      <c r="EU35" s="112"/>
      <c r="EV35" s="113">
        <v>707.07330293999996</v>
      </c>
      <c r="EW35" s="113">
        <v>685.20470935000003</v>
      </c>
      <c r="EX35" s="113">
        <v>653.96879048000005</v>
      </c>
      <c r="EY35" s="113">
        <v>542.01621894000004</v>
      </c>
      <c r="EZ35" s="112"/>
      <c r="FA35" s="115">
        <v>197</v>
      </c>
      <c r="FB35" s="115">
        <v>181</v>
      </c>
      <c r="FC35" s="115">
        <v>169</v>
      </c>
      <c r="FD35" s="115">
        <v>149</v>
      </c>
      <c r="FE35" s="112"/>
      <c r="FF35" s="115">
        <v>153</v>
      </c>
      <c r="FG35" s="115">
        <v>129</v>
      </c>
      <c r="FH35" s="115">
        <v>146</v>
      </c>
      <c r="FI35" s="115">
        <v>109</v>
      </c>
      <c r="FJ35" s="112"/>
      <c r="FK35" s="115">
        <v>69</v>
      </c>
      <c r="FL35" s="115">
        <v>60</v>
      </c>
      <c r="FM35" s="115">
        <v>46</v>
      </c>
      <c r="FN35" s="115">
        <v>29</v>
      </c>
      <c r="FO35" s="112"/>
      <c r="FP35" s="115">
        <v>21</v>
      </c>
      <c r="FQ35" s="115">
        <v>26</v>
      </c>
      <c r="FR35" s="115">
        <v>27</v>
      </c>
      <c r="FS35" s="115">
        <v>22</v>
      </c>
      <c r="FT35" s="112"/>
      <c r="FU35" s="113">
        <v>202.65753720999999</v>
      </c>
      <c r="FV35" s="113">
        <v>182.33806487999999</v>
      </c>
      <c r="FW35" s="113">
        <v>163.37168474000001</v>
      </c>
      <c r="FX35" s="113">
        <v>133.74172816000001</v>
      </c>
      <c r="FY35" s="112"/>
      <c r="FZ35" s="113">
        <v>179.41986661999999</v>
      </c>
      <c r="GA35" s="113">
        <v>152.54434071</v>
      </c>
      <c r="GB35" s="113">
        <v>172.22365701000001</v>
      </c>
      <c r="GC35" s="113">
        <v>128.68179706999999</v>
      </c>
      <c r="GD35" s="112"/>
      <c r="GE35" s="113">
        <v>67.251546970000007</v>
      </c>
      <c r="GF35" s="113">
        <v>59.642641210000001</v>
      </c>
      <c r="GG35" s="113">
        <v>44.170099710000002</v>
      </c>
      <c r="GH35" s="113">
        <v>26.14605195</v>
      </c>
      <c r="GI35" s="112"/>
      <c r="GJ35" s="113">
        <v>31.803723300000001</v>
      </c>
      <c r="GK35" s="113">
        <v>36.439869369999997</v>
      </c>
      <c r="GL35" s="113">
        <v>34.318008630000001</v>
      </c>
      <c r="GM35" s="113">
        <v>29.526484369999999</v>
      </c>
      <c r="GN35" s="112"/>
      <c r="GO35" s="113">
        <v>915.90967859</v>
      </c>
      <c r="GP35" s="113">
        <v>790.38234956999997</v>
      </c>
      <c r="GQ35" s="113">
        <v>807.29298518999997</v>
      </c>
      <c r="GR35" s="113">
        <v>658.77137692999997</v>
      </c>
      <c r="GS35" s="112"/>
      <c r="GT35" s="113">
        <v>552.35194747000003</v>
      </c>
      <c r="GU35" s="113">
        <v>602.30321258000004</v>
      </c>
      <c r="GV35" s="113">
        <v>532.94754898999997</v>
      </c>
      <c r="GW35" s="113">
        <v>436.15395157</v>
      </c>
      <c r="GX35" s="112"/>
      <c r="GY35" s="112"/>
      <c r="GZ35" s="112"/>
      <c r="HA35" s="112"/>
      <c r="HB35" s="112"/>
      <c r="HC35" s="112"/>
      <c r="HD35" s="115">
        <v>130</v>
      </c>
      <c r="HE35" s="115">
        <v>1</v>
      </c>
      <c r="HF35" s="115">
        <v>0</v>
      </c>
      <c r="HG35" s="115">
        <v>0</v>
      </c>
      <c r="HH35" s="115">
        <v>2</v>
      </c>
      <c r="HI35" s="114">
        <v>25.598219254312742</v>
      </c>
      <c r="HJ35" s="114">
        <v>27.572624322993597</v>
      </c>
      <c r="HK35" s="113">
        <v>14.771048744460856</v>
      </c>
      <c r="HL35" s="112">
        <v>19</v>
      </c>
      <c r="HM35" s="112">
        <v>24</v>
      </c>
      <c r="HN35" s="112">
        <v>31</v>
      </c>
      <c r="HO35" s="112">
        <v>36</v>
      </c>
      <c r="HP35" s="112"/>
      <c r="HQ35" s="112">
        <v>39</v>
      </c>
      <c r="HR35" s="112">
        <v>52</v>
      </c>
      <c r="HS35" s="112">
        <v>64</v>
      </c>
      <c r="HT35" s="112">
        <v>52</v>
      </c>
      <c r="HU35" s="117"/>
    </row>
    <row r="36" spans="1:229" x14ac:dyDescent="0.2">
      <c r="A36" s="93">
        <v>33</v>
      </c>
      <c r="B36" s="98" t="s">
        <v>100</v>
      </c>
      <c r="C36" s="99">
        <v>16276</v>
      </c>
      <c r="D36" s="99">
        <v>16090</v>
      </c>
      <c r="E36" s="99">
        <v>16091</v>
      </c>
      <c r="F36" s="99">
        <v>15899</v>
      </c>
      <c r="G36" s="99">
        <v>16239</v>
      </c>
      <c r="H36" s="99">
        <v>6417</v>
      </c>
      <c r="I36" s="99">
        <v>6491</v>
      </c>
      <c r="J36" s="99">
        <v>6492</v>
      </c>
      <c r="K36" s="99">
        <v>6427</v>
      </c>
      <c r="L36" s="99">
        <v>6413</v>
      </c>
      <c r="M36" s="100">
        <v>21.351080317257725</v>
      </c>
      <c r="N36" s="100">
        <v>22.01766620176662</v>
      </c>
      <c r="O36" s="101">
        <v>22.443287467460021</v>
      </c>
      <c r="P36" s="101">
        <v>24.043557868362726</v>
      </c>
      <c r="Q36" s="102">
        <v>25.503548820257048</v>
      </c>
      <c r="R36" s="100">
        <v>27.030722946485554</v>
      </c>
      <c r="S36" s="100">
        <v>27.587168758716874</v>
      </c>
      <c r="T36" s="100">
        <v>27.156935663815545</v>
      </c>
      <c r="U36" s="100">
        <v>29.170280427869326</v>
      </c>
      <c r="V36" s="100">
        <v>30.251294839823519</v>
      </c>
      <c r="W36" s="100">
        <v>48.381803263743279</v>
      </c>
      <c r="X36" s="100">
        <v>49.604834960483494</v>
      </c>
      <c r="Y36" s="100">
        <v>49.60022313127557</v>
      </c>
      <c r="Z36" s="100">
        <v>53.213838296232055</v>
      </c>
      <c r="AA36" s="100">
        <v>55.754843660080567</v>
      </c>
      <c r="AB36" s="100">
        <v>7</v>
      </c>
      <c r="AC36" s="100">
        <v>8.5</v>
      </c>
      <c r="AD36" s="100">
        <v>10.199999999999999</v>
      </c>
      <c r="AE36" s="100">
        <v>13.5</v>
      </c>
      <c r="AF36" s="100">
        <v>11.9</v>
      </c>
      <c r="AG36" s="99">
        <v>419.41666666666669</v>
      </c>
      <c r="AH36" s="99">
        <v>471.66666666666669</v>
      </c>
      <c r="AI36" s="104">
        <v>522.33333333333337</v>
      </c>
      <c r="AJ36" s="104">
        <v>650.83333333333337</v>
      </c>
      <c r="AK36" s="105">
        <v>777.33333333333337</v>
      </c>
      <c r="AL36" s="106">
        <v>15795</v>
      </c>
      <c r="AM36" s="106">
        <v>34</v>
      </c>
      <c r="AN36" s="106">
        <v>157</v>
      </c>
      <c r="AO36" s="106">
        <v>76</v>
      </c>
      <c r="AP36" s="106">
        <v>0</v>
      </c>
      <c r="AQ36" s="106">
        <v>164</v>
      </c>
      <c r="AR36" s="106">
        <v>15754</v>
      </c>
      <c r="AS36" s="106">
        <v>55</v>
      </c>
      <c r="AT36" s="106">
        <v>90</v>
      </c>
      <c r="AU36" s="106">
        <v>56</v>
      </c>
      <c r="AV36" s="106">
        <v>250</v>
      </c>
      <c r="AW36" s="106">
        <v>214</v>
      </c>
      <c r="AX36" s="107">
        <v>24910</v>
      </c>
      <c r="AY36" s="107">
        <v>25559</v>
      </c>
      <c r="AZ36" s="107">
        <v>26558</v>
      </c>
      <c r="BA36" s="107">
        <v>29264</v>
      </c>
      <c r="BB36" s="107">
        <v>29762</v>
      </c>
      <c r="BC36" s="107">
        <v>41648</v>
      </c>
      <c r="BD36" s="107">
        <v>44254</v>
      </c>
      <c r="BE36" s="107">
        <v>45270</v>
      </c>
      <c r="BF36" s="108">
        <v>45364</v>
      </c>
      <c r="BG36" s="108">
        <v>45963</v>
      </c>
      <c r="BH36" s="100">
        <v>10.5</v>
      </c>
      <c r="BI36" s="100">
        <v>14.9</v>
      </c>
      <c r="BJ36" s="100">
        <v>11.3</v>
      </c>
      <c r="BK36" s="100">
        <v>11.4</v>
      </c>
      <c r="BL36" s="100">
        <v>11.1</v>
      </c>
      <c r="BM36" s="100">
        <v>14.1</v>
      </c>
      <c r="BN36" s="109">
        <v>20.3</v>
      </c>
      <c r="BO36" s="109">
        <v>16.2</v>
      </c>
      <c r="BP36" s="109">
        <v>16.600000000000001</v>
      </c>
      <c r="BQ36" s="100">
        <v>17.600000000000001</v>
      </c>
      <c r="BR36" s="106">
        <v>2574</v>
      </c>
      <c r="BS36" s="118">
        <v>2496</v>
      </c>
      <c r="BT36" s="118">
        <v>2430</v>
      </c>
      <c r="BU36" s="110">
        <v>2403</v>
      </c>
      <c r="BV36" s="100">
        <v>40.209790209790206</v>
      </c>
      <c r="BW36" s="100">
        <v>42.988782051282051</v>
      </c>
      <c r="BX36" s="100">
        <v>39.25925925925926</v>
      </c>
      <c r="BY36" s="103">
        <v>47.648772367873491</v>
      </c>
      <c r="BZ36" s="100">
        <v>0</v>
      </c>
      <c r="CA36" s="100">
        <v>0.1201923076923077</v>
      </c>
      <c r="CB36" s="100">
        <v>0.12345679012345678</v>
      </c>
      <c r="CC36" s="103">
        <v>0.12484394506866417</v>
      </c>
      <c r="CD36" s="100">
        <v>13.636363636363635</v>
      </c>
      <c r="CE36" s="100">
        <v>12.980769230769232</v>
      </c>
      <c r="CF36" s="100">
        <v>13.497942386831276</v>
      </c>
      <c r="CG36" s="103">
        <v>14.148980441115272</v>
      </c>
      <c r="CH36" s="100">
        <v>85.046728971962622</v>
      </c>
      <c r="CI36" s="105">
        <v>83.94</v>
      </c>
      <c r="CJ36" s="111">
        <v>87.5</v>
      </c>
      <c r="CK36" s="111">
        <v>87.254901960784309</v>
      </c>
      <c r="CL36" s="112">
        <v>788</v>
      </c>
      <c r="CM36" s="112">
        <v>779</v>
      </c>
      <c r="CN36" s="112">
        <v>887</v>
      </c>
      <c r="CO36" s="112">
        <v>932</v>
      </c>
      <c r="CP36" s="112"/>
      <c r="CQ36" s="113">
        <v>11.909259902972781</v>
      </c>
      <c r="CR36" s="113">
        <v>10.89876322122111</v>
      </c>
      <c r="CS36" s="113">
        <v>11.248494071396868</v>
      </c>
      <c r="CT36" s="113">
        <v>11.563992803523792</v>
      </c>
      <c r="CU36" s="112"/>
      <c r="CV36" s="114">
        <v>6.1357702349869454</v>
      </c>
      <c r="CW36" s="114">
        <v>4.0575916230366493</v>
      </c>
      <c r="CX36" s="114">
        <v>3.6599763872491144</v>
      </c>
      <c r="CY36" s="114">
        <v>3.2329988851727984</v>
      </c>
      <c r="CZ36" s="112"/>
      <c r="DA36" s="113">
        <v>7.1428571428571432</v>
      </c>
      <c r="DB36" s="113">
        <v>6.5006915629322268</v>
      </c>
      <c r="DC36" s="113">
        <v>9.0265486725663724</v>
      </c>
      <c r="DD36" s="113">
        <v>6.0137457044673539</v>
      </c>
      <c r="DE36" s="112"/>
      <c r="DF36" s="113">
        <v>80.573663624511084</v>
      </c>
      <c r="DG36" s="113">
        <v>81.426648721399729</v>
      </c>
      <c r="DH36" s="113">
        <v>84.041331802525832</v>
      </c>
      <c r="DI36" s="113">
        <v>83.640303358613224</v>
      </c>
      <c r="DJ36" s="112"/>
      <c r="DK36" s="114">
        <v>23.448275862068964</v>
      </c>
      <c r="DL36" s="114">
        <v>27.24867724867725</v>
      </c>
      <c r="DM36" s="114">
        <v>25.028441410693972</v>
      </c>
      <c r="DN36" s="114">
        <v>25.107758620689655</v>
      </c>
      <c r="DO36" s="112"/>
      <c r="DP36" s="113">
        <v>32.741116751269033</v>
      </c>
      <c r="DQ36" s="113">
        <v>35.686777920410783</v>
      </c>
      <c r="DR36" s="113">
        <v>36.076662908680944</v>
      </c>
      <c r="DS36" s="113">
        <v>39.914163090128753</v>
      </c>
      <c r="DT36" s="112"/>
      <c r="DU36" s="115">
        <v>10</v>
      </c>
      <c r="DV36" s="115">
        <v>5</v>
      </c>
      <c r="DW36" s="115">
        <v>5</v>
      </c>
      <c r="DX36" s="115">
        <v>2</v>
      </c>
      <c r="DY36" s="112"/>
      <c r="DZ36" s="116">
        <v>5.61</v>
      </c>
      <c r="EA36" s="116">
        <v>7.7981651376146788</v>
      </c>
      <c r="EB36" s="116">
        <v>4.33</v>
      </c>
      <c r="EC36" s="116">
        <v>2.9411764705882355</v>
      </c>
      <c r="ED36" s="112"/>
      <c r="EE36" s="113">
        <v>98.159509202453989</v>
      </c>
      <c r="EF36" s="113">
        <v>0.61349693251533743</v>
      </c>
      <c r="EG36" s="113">
        <v>0</v>
      </c>
      <c r="EH36" s="113">
        <v>0.61349693251533743</v>
      </c>
      <c r="EI36" s="113">
        <v>2.4844720496894408</v>
      </c>
      <c r="EJ36" s="113">
        <v>33.448673587081892</v>
      </c>
      <c r="EK36" s="113"/>
      <c r="EL36" s="115">
        <v>583</v>
      </c>
      <c r="EM36" s="115">
        <v>657</v>
      </c>
      <c r="EN36" s="115">
        <v>629</v>
      </c>
      <c r="EO36" s="115">
        <v>687</v>
      </c>
      <c r="EP36" s="112"/>
      <c r="EQ36" s="114">
        <v>881.10387353212332</v>
      </c>
      <c r="ER36" s="114">
        <v>919.18965806704352</v>
      </c>
      <c r="ES36" s="114">
        <v>797.66660325914654</v>
      </c>
      <c r="ET36" s="114">
        <v>852.41019914386743</v>
      </c>
      <c r="EU36" s="112"/>
      <c r="EV36" s="113">
        <v>809.88396891000002</v>
      </c>
      <c r="EW36" s="113">
        <v>841.89435032999995</v>
      </c>
      <c r="EX36" s="113">
        <v>725.27098590000003</v>
      </c>
      <c r="EY36" s="113">
        <v>724.88651642000002</v>
      </c>
      <c r="EZ36" s="112"/>
      <c r="FA36" s="115">
        <v>150</v>
      </c>
      <c r="FB36" s="115">
        <v>159</v>
      </c>
      <c r="FC36" s="115">
        <v>137</v>
      </c>
      <c r="FD36" s="115">
        <v>139</v>
      </c>
      <c r="FE36" s="112"/>
      <c r="FF36" s="115">
        <v>149</v>
      </c>
      <c r="FG36" s="115">
        <v>155</v>
      </c>
      <c r="FH36" s="115">
        <v>171</v>
      </c>
      <c r="FI36" s="115">
        <v>175</v>
      </c>
      <c r="FJ36" s="112"/>
      <c r="FK36" s="115">
        <v>54</v>
      </c>
      <c r="FL36" s="115">
        <v>48</v>
      </c>
      <c r="FM36" s="115">
        <v>35</v>
      </c>
      <c r="FN36" s="115">
        <v>43</v>
      </c>
      <c r="FO36" s="112"/>
      <c r="FP36" s="115">
        <v>29</v>
      </c>
      <c r="FQ36" s="115">
        <v>52</v>
      </c>
      <c r="FR36" s="115">
        <v>51</v>
      </c>
      <c r="FS36" s="115">
        <v>32</v>
      </c>
      <c r="FT36" s="112"/>
      <c r="FU36" s="113">
        <v>204.56973083</v>
      </c>
      <c r="FV36" s="113">
        <v>201.19713972</v>
      </c>
      <c r="FW36" s="113">
        <v>157.55678669</v>
      </c>
      <c r="FX36" s="113">
        <v>146.01646435999999</v>
      </c>
      <c r="FY36" s="112"/>
      <c r="FZ36" s="113">
        <v>205.73895139000001</v>
      </c>
      <c r="GA36" s="113">
        <v>198.13394249000001</v>
      </c>
      <c r="GB36" s="113">
        <v>192.62004099999999</v>
      </c>
      <c r="GC36" s="113">
        <v>180.46148008</v>
      </c>
      <c r="GD36" s="112"/>
      <c r="GE36" s="113">
        <v>73.919952519999995</v>
      </c>
      <c r="GF36" s="113">
        <v>60.895477450000001</v>
      </c>
      <c r="GG36" s="113">
        <v>39.94805307</v>
      </c>
      <c r="GH36" s="113">
        <v>45.95417612</v>
      </c>
      <c r="GI36" s="112"/>
      <c r="GJ36" s="113">
        <v>41.312032080000002</v>
      </c>
      <c r="GK36" s="113">
        <v>71.102795909999998</v>
      </c>
      <c r="GL36" s="113">
        <v>62.436033270000003</v>
      </c>
      <c r="GM36" s="113">
        <v>38.043385190000002</v>
      </c>
      <c r="GN36" s="112"/>
      <c r="GO36" s="113">
        <v>1001.28951451</v>
      </c>
      <c r="GP36" s="113">
        <v>979.49195184999996</v>
      </c>
      <c r="GQ36" s="113">
        <v>956.13169748999997</v>
      </c>
      <c r="GR36" s="113">
        <v>838.45089786999995</v>
      </c>
      <c r="GS36" s="112"/>
      <c r="GT36" s="113">
        <v>640.04856942000004</v>
      </c>
      <c r="GU36" s="113">
        <v>710.28728473000001</v>
      </c>
      <c r="GV36" s="113">
        <v>566.81762997999999</v>
      </c>
      <c r="GW36" s="113">
        <v>626.85064698999997</v>
      </c>
      <c r="GX36" s="112"/>
      <c r="GY36" s="112"/>
      <c r="GZ36" s="112"/>
      <c r="HA36" s="112"/>
      <c r="HB36" s="112"/>
      <c r="HC36" s="112"/>
      <c r="HD36" s="115">
        <v>141</v>
      </c>
      <c r="HE36" s="115">
        <v>0</v>
      </c>
      <c r="HF36" s="115">
        <v>2</v>
      </c>
      <c r="HG36" s="115">
        <v>0</v>
      </c>
      <c r="HH36" s="115">
        <v>0</v>
      </c>
      <c r="HI36" s="114">
        <v>42.944785276073617</v>
      </c>
      <c r="HJ36" s="114">
        <v>37.525354969574039</v>
      </c>
      <c r="HK36" s="113">
        <v>33.246414602346803</v>
      </c>
      <c r="HL36" s="112">
        <v>47</v>
      </c>
      <c r="HM36" s="112">
        <v>31</v>
      </c>
      <c r="HN36" s="112">
        <v>31</v>
      </c>
      <c r="HO36" s="112">
        <v>29</v>
      </c>
      <c r="HP36" s="112"/>
      <c r="HQ36" s="112">
        <v>50</v>
      </c>
      <c r="HR36" s="112">
        <v>47</v>
      </c>
      <c r="HS36" s="112">
        <v>51</v>
      </c>
      <c r="HT36" s="112">
        <v>35</v>
      </c>
      <c r="HU36" s="117"/>
    </row>
    <row r="37" spans="1:229" x14ac:dyDescent="0.2">
      <c r="A37" s="93">
        <v>34</v>
      </c>
      <c r="B37" s="98" t="s">
        <v>101</v>
      </c>
      <c r="C37" s="99">
        <v>41088</v>
      </c>
      <c r="D37" s="99">
        <v>40784</v>
      </c>
      <c r="E37" s="99">
        <v>40679</v>
      </c>
      <c r="F37" s="99">
        <v>41123</v>
      </c>
      <c r="G37" s="99">
        <v>42239</v>
      </c>
      <c r="H37" s="99">
        <v>16729</v>
      </c>
      <c r="I37" s="99">
        <v>16826</v>
      </c>
      <c r="J37" s="99">
        <v>16819</v>
      </c>
      <c r="K37" s="99">
        <v>16819</v>
      </c>
      <c r="L37" s="99">
        <v>16732</v>
      </c>
      <c r="M37" s="100">
        <v>23.342165167742657</v>
      </c>
      <c r="N37" s="100">
        <v>23.660613367493031</v>
      </c>
      <c r="O37" s="101">
        <v>24.042247122955786</v>
      </c>
      <c r="P37" s="101">
        <v>25.15358361774744</v>
      </c>
      <c r="Q37" s="102">
        <v>25.22056923474473</v>
      </c>
      <c r="R37" s="100">
        <v>29.988431540844125</v>
      </c>
      <c r="S37" s="100">
        <v>29.997739431843872</v>
      </c>
      <c r="T37" s="100">
        <v>29.951544518473654</v>
      </c>
      <c r="U37" s="100">
        <v>30.792567311338644</v>
      </c>
      <c r="V37" s="100">
        <v>30.706190704714089</v>
      </c>
      <c r="W37" s="100">
        <v>53.330596708586789</v>
      </c>
      <c r="X37" s="100">
        <v>53.658352799336896</v>
      </c>
      <c r="Y37" s="100">
        <v>53.993791641429432</v>
      </c>
      <c r="Z37" s="100">
        <v>55.94615092908608</v>
      </c>
      <c r="AA37" s="100">
        <v>55.926759939458819</v>
      </c>
      <c r="AB37" s="100">
        <v>3.9</v>
      </c>
      <c r="AC37" s="100">
        <v>4.3</v>
      </c>
      <c r="AD37" s="100">
        <v>5</v>
      </c>
      <c r="AE37" s="100">
        <v>6.9</v>
      </c>
      <c r="AF37" s="100">
        <v>6.3</v>
      </c>
      <c r="AG37" s="99">
        <v>1177</v>
      </c>
      <c r="AH37" s="99">
        <v>1205</v>
      </c>
      <c r="AI37" s="104">
        <v>1271.4166666666667</v>
      </c>
      <c r="AJ37" s="104">
        <v>1658.75</v>
      </c>
      <c r="AK37" s="105">
        <v>1948.5</v>
      </c>
      <c r="AL37" s="106">
        <v>40133</v>
      </c>
      <c r="AM37" s="106">
        <v>378</v>
      </c>
      <c r="AN37" s="106">
        <v>189</v>
      </c>
      <c r="AO37" s="106">
        <v>220</v>
      </c>
      <c r="AP37" s="106">
        <v>0</v>
      </c>
      <c r="AQ37" s="106">
        <v>3572</v>
      </c>
      <c r="AR37" s="106">
        <v>39206</v>
      </c>
      <c r="AS37" s="106">
        <v>984</v>
      </c>
      <c r="AT37" s="106">
        <v>130</v>
      </c>
      <c r="AU37" s="106">
        <v>191</v>
      </c>
      <c r="AV37" s="106">
        <v>507</v>
      </c>
      <c r="AW37" s="106">
        <v>4710</v>
      </c>
      <c r="AX37" s="107">
        <v>32085</v>
      </c>
      <c r="AY37" s="107">
        <v>32856</v>
      </c>
      <c r="AZ37" s="107">
        <v>34725</v>
      </c>
      <c r="BA37" s="107">
        <v>38571</v>
      </c>
      <c r="BB37" s="107">
        <v>38789</v>
      </c>
      <c r="BC37" s="107">
        <v>45357</v>
      </c>
      <c r="BD37" s="107">
        <v>47209</v>
      </c>
      <c r="BE37" s="107">
        <v>46136</v>
      </c>
      <c r="BF37" s="108">
        <v>50632</v>
      </c>
      <c r="BG37" s="108">
        <v>46519</v>
      </c>
      <c r="BH37" s="100">
        <v>9.6999999999999993</v>
      </c>
      <c r="BI37" s="100">
        <v>10.6</v>
      </c>
      <c r="BJ37" s="100">
        <v>11</v>
      </c>
      <c r="BK37" s="100">
        <v>10.7</v>
      </c>
      <c r="BL37" s="100">
        <v>11.3</v>
      </c>
      <c r="BM37" s="100">
        <v>13.2</v>
      </c>
      <c r="BN37" s="109">
        <v>14.4</v>
      </c>
      <c r="BO37" s="109">
        <v>14.2</v>
      </c>
      <c r="BP37" s="109">
        <v>13.8</v>
      </c>
      <c r="BQ37" s="100">
        <v>17</v>
      </c>
      <c r="BR37" s="106">
        <v>5777</v>
      </c>
      <c r="BS37" s="118">
        <v>5693</v>
      </c>
      <c r="BT37" s="118">
        <v>5648</v>
      </c>
      <c r="BU37" s="110">
        <v>5558</v>
      </c>
      <c r="BV37" s="100">
        <v>40.263112342046043</v>
      </c>
      <c r="BW37" s="100">
        <v>41.524679430880028</v>
      </c>
      <c r="BX37" s="100">
        <v>44.989376770538243</v>
      </c>
      <c r="BY37" s="103">
        <v>45.555955379632962</v>
      </c>
      <c r="BZ37" s="100">
        <v>10.005193006750909</v>
      </c>
      <c r="CA37" s="100">
        <v>11.118917969436151</v>
      </c>
      <c r="CB37" s="100">
        <v>10.428470254957507</v>
      </c>
      <c r="CC37" s="103">
        <v>11.011155091759626</v>
      </c>
      <c r="CD37" s="100">
        <v>12.601696382205297</v>
      </c>
      <c r="CE37" s="100">
        <v>12.243105568241701</v>
      </c>
      <c r="CF37" s="100">
        <v>12.464589235127479</v>
      </c>
      <c r="CG37" s="103">
        <v>13.09823677581864</v>
      </c>
      <c r="CH37" s="100">
        <v>72.366148531951637</v>
      </c>
      <c r="CI37" s="105">
        <v>70.739999999999995</v>
      </c>
      <c r="CJ37" s="111">
        <v>74.25</v>
      </c>
      <c r="CK37" s="111">
        <v>69.680851063829792</v>
      </c>
      <c r="CL37" s="112">
        <v>2766</v>
      </c>
      <c r="CM37" s="112">
        <v>2620</v>
      </c>
      <c r="CN37" s="112">
        <v>2828</v>
      </c>
      <c r="CO37" s="112">
        <v>2942</v>
      </c>
      <c r="CP37" s="112"/>
      <c r="CQ37" s="113">
        <v>13.811009861440519</v>
      </c>
      <c r="CR37" s="113">
        <v>12.74759279712352</v>
      </c>
      <c r="CS37" s="113">
        <v>13.759615431398975</v>
      </c>
      <c r="CT37" s="113">
        <v>14.287587476264248</v>
      </c>
      <c r="CU37" s="112"/>
      <c r="CV37" s="114">
        <v>3.4228928965771073</v>
      </c>
      <c r="CW37" s="114">
        <v>3.4847298355520753</v>
      </c>
      <c r="CX37" s="114">
        <v>4.1046131492916818</v>
      </c>
      <c r="CY37" s="114">
        <v>4.1928721174004195</v>
      </c>
      <c r="CZ37" s="112"/>
      <c r="DA37" s="113">
        <v>6.1793519216277319</v>
      </c>
      <c r="DB37" s="113">
        <v>5.5739058629232039</v>
      </c>
      <c r="DC37" s="113">
        <v>7.0668693009118542</v>
      </c>
      <c r="DD37" s="113">
        <v>6.4492753623188408</v>
      </c>
      <c r="DE37" s="112"/>
      <c r="DF37" s="113">
        <v>78.038067349926791</v>
      </c>
      <c r="DG37" s="113">
        <v>81.772639691714829</v>
      </c>
      <c r="DH37" s="113">
        <v>84.446022727272734</v>
      </c>
      <c r="DI37" s="113">
        <v>85.403198366791429</v>
      </c>
      <c r="DJ37" s="112"/>
      <c r="DK37" s="114">
        <v>10.733844468784227</v>
      </c>
      <c r="DL37" s="114">
        <v>10.841983852364475</v>
      </c>
      <c r="DM37" s="114">
        <v>9.5339736748488075</v>
      </c>
      <c r="DN37" s="114">
        <v>10.997616615594143</v>
      </c>
      <c r="DO37" s="112"/>
      <c r="DP37" s="113">
        <v>26.970354302241503</v>
      </c>
      <c r="DQ37" s="113">
        <v>28.893129770992367</v>
      </c>
      <c r="DR37" s="113">
        <v>33.569154580827735</v>
      </c>
      <c r="DS37" s="113">
        <v>38.783140720598233</v>
      </c>
      <c r="DT37" s="112"/>
      <c r="DU37" s="115">
        <v>19</v>
      </c>
      <c r="DV37" s="115">
        <v>22</v>
      </c>
      <c r="DW37" s="115">
        <v>6</v>
      </c>
      <c r="DX37" s="115">
        <v>15</v>
      </c>
      <c r="DY37" s="112"/>
      <c r="DZ37" s="116">
        <v>6.91</v>
      </c>
      <c r="EA37" s="116">
        <v>5.8510638297872344</v>
      </c>
      <c r="EB37" s="116">
        <v>4.51</v>
      </c>
      <c r="EC37" s="116">
        <v>8.8652482269503547</v>
      </c>
      <c r="ED37" s="112"/>
      <c r="EE37" s="113">
        <v>90.415913200723324</v>
      </c>
      <c r="EF37" s="113">
        <v>6.3291139240506329</v>
      </c>
      <c r="EG37" s="113">
        <v>0.18083182640144665</v>
      </c>
      <c r="EH37" s="113">
        <v>1.2658227848101267</v>
      </c>
      <c r="EI37" s="113">
        <v>21.48014440433213</v>
      </c>
      <c r="EJ37" s="113">
        <v>45.057162071284466</v>
      </c>
      <c r="EK37" s="113"/>
      <c r="EL37" s="115">
        <v>1777</v>
      </c>
      <c r="EM37" s="115">
        <v>1851</v>
      </c>
      <c r="EN37" s="115">
        <v>1819</v>
      </c>
      <c r="EO37" s="115">
        <v>1775</v>
      </c>
      <c r="EP37" s="112"/>
      <c r="EQ37" s="114">
        <v>887.27999001373109</v>
      </c>
      <c r="ER37" s="114">
        <v>900.60283463647465</v>
      </c>
      <c r="ES37" s="114">
        <v>885.03325564762156</v>
      </c>
      <c r="ET37" s="114">
        <v>862.01454012131342</v>
      </c>
      <c r="EU37" s="112"/>
      <c r="EV37" s="113">
        <v>765.96214859999998</v>
      </c>
      <c r="EW37" s="113">
        <v>748.70627011999898</v>
      </c>
      <c r="EX37" s="113">
        <v>677.90094124999996</v>
      </c>
      <c r="EY37" s="113">
        <v>624.75163624000004</v>
      </c>
      <c r="EZ37" s="112"/>
      <c r="FA37" s="115">
        <v>551</v>
      </c>
      <c r="FB37" s="115">
        <v>492</v>
      </c>
      <c r="FC37" s="115">
        <v>394</v>
      </c>
      <c r="FD37" s="115">
        <v>399</v>
      </c>
      <c r="FE37" s="112"/>
      <c r="FF37" s="115">
        <v>409</v>
      </c>
      <c r="FG37" s="115">
        <v>423</v>
      </c>
      <c r="FH37" s="115">
        <v>437</v>
      </c>
      <c r="FI37" s="115">
        <v>395</v>
      </c>
      <c r="FJ37" s="112"/>
      <c r="FK37" s="115">
        <v>151</v>
      </c>
      <c r="FL37" s="115">
        <v>140</v>
      </c>
      <c r="FM37" s="115">
        <v>148</v>
      </c>
      <c r="FN37" s="115">
        <v>138</v>
      </c>
      <c r="FO37" s="112"/>
      <c r="FP37" s="115">
        <v>106</v>
      </c>
      <c r="FQ37" s="115">
        <v>79</v>
      </c>
      <c r="FR37" s="115">
        <v>97</v>
      </c>
      <c r="FS37" s="115">
        <v>104</v>
      </c>
      <c r="FT37" s="112"/>
      <c r="FU37" s="113">
        <v>228.67149721000001</v>
      </c>
      <c r="FV37" s="113">
        <v>194.55582099</v>
      </c>
      <c r="FW37" s="113">
        <v>143.50337901</v>
      </c>
      <c r="FX37" s="113">
        <v>132.04469466</v>
      </c>
      <c r="FY37" s="112"/>
      <c r="FZ37" s="113">
        <v>186.23764542999999</v>
      </c>
      <c r="GA37" s="113">
        <v>180.35548663</v>
      </c>
      <c r="GB37" s="113">
        <v>173.04549666</v>
      </c>
      <c r="GC37" s="113">
        <v>147.84949237000001</v>
      </c>
      <c r="GD37" s="112"/>
      <c r="GE37" s="113">
        <v>60.872434169999998</v>
      </c>
      <c r="GF37" s="113">
        <v>53.252752469999997</v>
      </c>
      <c r="GG37" s="113">
        <v>52.565970409999998</v>
      </c>
      <c r="GH37" s="113">
        <v>44.78772361</v>
      </c>
      <c r="GI37" s="112"/>
      <c r="GJ37" s="113">
        <v>50.013680749999999</v>
      </c>
      <c r="GK37" s="113">
        <v>35.476906739999997</v>
      </c>
      <c r="GL37" s="113">
        <v>42.608408709999999</v>
      </c>
      <c r="GM37" s="113">
        <v>43.766059990000002</v>
      </c>
      <c r="GN37" s="112"/>
      <c r="GO37" s="113">
        <v>970.46881255999995</v>
      </c>
      <c r="GP37" s="113">
        <v>883.19990884000003</v>
      </c>
      <c r="GQ37" s="113">
        <v>801.97540392999997</v>
      </c>
      <c r="GR37" s="113">
        <v>747.50553084000001</v>
      </c>
      <c r="GS37" s="112"/>
      <c r="GT37" s="113">
        <v>610.69309010999996</v>
      </c>
      <c r="GU37" s="113">
        <v>639.77525555</v>
      </c>
      <c r="GV37" s="113">
        <v>578.39058456999999</v>
      </c>
      <c r="GW37" s="113">
        <v>522.58558310000001</v>
      </c>
      <c r="GX37" s="112"/>
      <c r="GY37" s="112"/>
      <c r="GZ37" s="112"/>
      <c r="HA37" s="112"/>
      <c r="HB37" s="112"/>
      <c r="HC37" s="112"/>
      <c r="HD37" s="115">
        <v>387</v>
      </c>
      <c r="HE37" s="115">
        <v>0</v>
      </c>
      <c r="HF37" s="115">
        <v>2</v>
      </c>
      <c r="HG37" s="115">
        <v>0</v>
      </c>
      <c r="HH37" s="115">
        <v>5</v>
      </c>
      <c r="HI37" s="114">
        <v>45.011664608206395</v>
      </c>
      <c r="HJ37" s="114">
        <v>38.352941176470587</v>
      </c>
      <c r="HK37" s="113">
        <v>42.45220830586684</v>
      </c>
      <c r="HL37" s="112">
        <v>93</v>
      </c>
      <c r="HM37" s="112">
        <v>89</v>
      </c>
      <c r="HN37" s="112">
        <v>113</v>
      </c>
      <c r="HO37" s="112">
        <v>120</v>
      </c>
      <c r="HP37" s="112"/>
      <c r="HQ37" s="112">
        <v>164</v>
      </c>
      <c r="HR37" s="112">
        <v>135</v>
      </c>
      <c r="HS37" s="112">
        <v>186</v>
      </c>
      <c r="HT37" s="112">
        <v>178</v>
      </c>
      <c r="HU37" s="117"/>
    </row>
    <row r="38" spans="1:229" x14ac:dyDescent="0.2">
      <c r="A38" s="93">
        <v>35</v>
      </c>
      <c r="B38" s="98" t="s">
        <v>102</v>
      </c>
      <c r="C38" s="99">
        <v>4691</v>
      </c>
      <c r="D38" s="99">
        <v>4505</v>
      </c>
      <c r="E38" s="99">
        <v>4462</v>
      </c>
      <c r="F38" s="99">
        <v>4374</v>
      </c>
      <c r="G38" s="99">
        <v>4552</v>
      </c>
      <c r="H38" s="99">
        <v>2006</v>
      </c>
      <c r="I38" s="99">
        <v>1999</v>
      </c>
      <c r="J38" s="99">
        <v>1989</v>
      </c>
      <c r="K38" s="99">
        <v>1949</v>
      </c>
      <c r="L38" s="99">
        <v>1986</v>
      </c>
      <c r="M38" s="100">
        <v>38.198198198198199</v>
      </c>
      <c r="N38" s="100">
        <v>38.628026412325752</v>
      </c>
      <c r="O38" s="101">
        <v>38.956714761376247</v>
      </c>
      <c r="P38" s="101">
        <v>39.320200849748936</v>
      </c>
      <c r="Q38" s="102">
        <v>37.789203084832906</v>
      </c>
      <c r="R38" s="100">
        <v>30.846846846846848</v>
      </c>
      <c r="S38" s="100">
        <v>26.632428466617753</v>
      </c>
      <c r="T38" s="100">
        <v>26.119126896041433</v>
      </c>
      <c r="U38" s="100">
        <v>29.625337968327539</v>
      </c>
      <c r="V38" s="100">
        <v>29.379360998898274</v>
      </c>
      <c r="W38" s="100">
        <v>69.045045045045043</v>
      </c>
      <c r="X38" s="100">
        <v>65.260454878943506</v>
      </c>
      <c r="Y38" s="100">
        <v>65.075841657417683</v>
      </c>
      <c r="Z38" s="100">
        <v>68.945538818076471</v>
      </c>
      <c r="AA38" s="100">
        <v>67.168564083731184</v>
      </c>
      <c r="AB38" s="100">
        <v>5.5</v>
      </c>
      <c r="AC38" s="100">
        <v>5.8</v>
      </c>
      <c r="AD38" s="100">
        <v>5.6</v>
      </c>
      <c r="AE38" s="100">
        <v>7.4</v>
      </c>
      <c r="AF38" s="100">
        <v>7.2</v>
      </c>
      <c r="AG38" s="99">
        <v>67.833333333333329</v>
      </c>
      <c r="AH38" s="99">
        <v>62.583333333333336</v>
      </c>
      <c r="AI38" s="104">
        <v>64.083333333333329</v>
      </c>
      <c r="AJ38" s="104">
        <v>67.333333333333329</v>
      </c>
      <c r="AK38" s="105">
        <v>79.833333333333329</v>
      </c>
      <c r="AL38" s="106">
        <v>4604</v>
      </c>
      <c r="AM38" s="106">
        <v>8</v>
      </c>
      <c r="AN38" s="106">
        <v>22</v>
      </c>
      <c r="AO38" s="106">
        <v>16</v>
      </c>
      <c r="AP38" s="106">
        <v>0</v>
      </c>
      <c r="AQ38" s="106">
        <v>71</v>
      </c>
      <c r="AR38" s="106">
        <v>4484</v>
      </c>
      <c r="AS38" s="106">
        <v>11</v>
      </c>
      <c r="AT38" s="106">
        <v>4</v>
      </c>
      <c r="AU38" s="106">
        <v>16</v>
      </c>
      <c r="AV38" s="106">
        <v>25</v>
      </c>
      <c r="AW38" s="106">
        <v>69</v>
      </c>
      <c r="AX38" s="107">
        <v>27766</v>
      </c>
      <c r="AY38" s="107">
        <v>28798</v>
      </c>
      <c r="AZ38" s="107">
        <v>31322</v>
      </c>
      <c r="BA38" s="107">
        <v>52127</v>
      </c>
      <c r="BB38" s="107">
        <v>39072</v>
      </c>
      <c r="BC38" s="107">
        <v>38089</v>
      </c>
      <c r="BD38" s="107">
        <v>41713</v>
      </c>
      <c r="BE38" s="107">
        <v>39591</v>
      </c>
      <c r="BF38" s="108">
        <v>43387</v>
      </c>
      <c r="BG38" s="108">
        <v>45404</v>
      </c>
      <c r="BH38" s="100">
        <v>9.8000000000000007</v>
      </c>
      <c r="BI38" s="100">
        <v>9.3000000000000007</v>
      </c>
      <c r="BJ38" s="100">
        <v>9.9</v>
      </c>
      <c r="BK38" s="100">
        <v>10.5</v>
      </c>
      <c r="BL38" s="100">
        <v>10</v>
      </c>
      <c r="BM38" s="100">
        <v>13.4</v>
      </c>
      <c r="BN38" s="109">
        <v>13.6</v>
      </c>
      <c r="BO38" s="109">
        <v>14.8</v>
      </c>
      <c r="BP38" s="109">
        <v>14</v>
      </c>
      <c r="BQ38" s="100">
        <v>15.6</v>
      </c>
      <c r="BR38" s="106">
        <v>755</v>
      </c>
      <c r="BS38" s="118">
        <v>738</v>
      </c>
      <c r="BT38" s="118">
        <v>715</v>
      </c>
      <c r="BU38" s="110">
        <v>719</v>
      </c>
      <c r="BV38" s="100">
        <v>39.47019867549669</v>
      </c>
      <c r="BW38" s="100">
        <v>38.482384823848236</v>
      </c>
      <c r="BX38" s="100">
        <v>40.27972027972028</v>
      </c>
      <c r="BY38" s="103">
        <v>39.916550764951324</v>
      </c>
      <c r="BZ38" s="100">
        <v>0</v>
      </c>
      <c r="CA38" s="100">
        <v>0</v>
      </c>
      <c r="CB38" s="100">
        <v>0</v>
      </c>
      <c r="CC38" s="103">
        <v>0</v>
      </c>
      <c r="CD38" s="100">
        <v>18.14569536423841</v>
      </c>
      <c r="CE38" s="100">
        <v>18.56368563685637</v>
      </c>
      <c r="CF38" s="100">
        <v>17.762237762237763</v>
      </c>
      <c r="CG38" s="103">
        <v>16.82892906815021</v>
      </c>
      <c r="CH38" s="100">
        <v>91.025641025641022</v>
      </c>
      <c r="CI38" s="105">
        <v>95.77</v>
      </c>
      <c r="CJ38" s="111">
        <v>96.3</v>
      </c>
      <c r="CK38" s="111">
        <v>91.666666666666671</v>
      </c>
      <c r="CL38" s="112">
        <v>285</v>
      </c>
      <c r="CM38" s="112">
        <v>285</v>
      </c>
      <c r="CN38" s="112">
        <v>211</v>
      </c>
      <c r="CO38" s="112">
        <v>213</v>
      </c>
      <c r="CP38" s="112"/>
      <c r="CQ38" s="113">
        <v>10.243692042268709</v>
      </c>
      <c r="CR38" s="113">
        <v>10.730825708799276</v>
      </c>
      <c r="CS38" s="113">
        <v>8.5063495263051809</v>
      </c>
      <c r="CT38" s="113">
        <v>9.4314558979808716</v>
      </c>
      <c r="CU38" s="112"/>
      <c r="CV38" s="114">
        <v>3.6630036630036629</v>
      </c>
      <c r="CW38" s="114">
        <v>4.395604395604396</v>
      </c>
      <c r="CX38" s="114">
        <v>6.435643564356436</v>
      </c>
      <c r="CY38" s="114">
        <v>3.3816425120772946</v>
      </c>
      <c r="CZ38" s="112"/>
      <c r="DA38" s="113">
        <v>5.7377049180327866</v>
      </c>
      <c r="DB38" s="113">
        <v>4.9382716049382713</v>
      </c>
      <c r="DC38" s="113">
        <v>6.666666666666667</v>
      </c>
      <c r="DD38" s="113">
        <v>7.9787234042553195</v>
      </c>
      <c r="DE38" s="112"/>
      <c r="DF38" s="113">
        <v>78.700361010830321</v>
      </c>
      <c r="DG38" s="113">
        <v>81.549815498154985</v>
      </c>
      <c r="DH38" s="113">
        <v>82.692307692307693</v>
      </c>
      <c r="DI38" s="113">
        <v>81.188118811881182</v>
      </c>
      <c r="DJ38" s="112"/>
      <c r="DK38" s="114">
        <v>11.428571428571429</v>
      </c>
      <c r="DL38" s="114">
        <v>10.357142857142858</v>
      </c>
      <c r="DM38" s="114">
        <v>10</v>
      </c>
      <c r="DN38" s="114">
        <v>9.5693779904306222</v>
      </c>
      <c r="DO38" s="112"/>
      <c r="DP38" s="113">
        <v>14.736842105263158</v>
      </c>
      <c r="DQ38" s="113">
        <v>17.894736842105264</v>
      </c>
      <c r="DR38" s="113">
        <v>19.431279620853079</v>
      </c>
      <c r="DS38" s="113">
        <v>15.96244131455399</v>
      </c>
      <c r="DT38" s="112"/>
      <c r="DU38" s="115">
        <v>4</v>
      </c>
      <c r="DV38" s="115">
        <v>2</v>
      </c>
      <c r="DW38" s="115">
        <v>1</v>
      </c>
      <c r="DX38" s="115">
        <v>0</v>
      </c>
      <c r="DY38" s="112"/>
      <c r="DZ38" s="116">
        <v>2.56</v>
      </c>
      <c r="EA38" s="116">
        <v>0</v>
      </c>
      <c r="EB38" s="116">
        <v>3.7</v>
      </c>
      <c r="EC38" s="116">
        <v>2.0833333333333335</v>
      </c>
      <c r="ED38" s="112"/>
      <c r="EE38" s="113">
        <v>97.777777777777771</v>
      </c>
      <c r="EF38" s="113">
        <v>0</v>
      </c>
      <c r="EG38" s="113">
        <v>0</v>
      </c>
      <c r="EH38" s="113">
        <v>2.2222222222222223</v>
      </c>
      <c r="EI38" s="113">
        <v>0</v>
      </c>
      <c r="EJ38" s="113" t="s">
        <v>46</v>
      </c>
      <c r="EK38" s="113"/>
      <c r="EL38" s="115">
        <v>439</v>
      </c>
      <c r="EM38" s="115">
        <v>388</v>
      </c>
      <c r="EN38" s="115">
        <v>361</v>
      </c>
      <c r="EO38" s="115">
        <v>356</v>
      </c>
      <c r="EP38" s="112"/>
      <c r="EQ38" s="114">
        <v>1577.8880023003378</v>
      </c>
      <c r="ER38" s="114">
        <v>1460.8983771979367</v>
      </c>
      <c r="ES38" s="114">
        <v>1455.3517436000807</v>
      </c>
      <c r="ET38" s="114">
        <v>1576.3372298972724</v>
      </c>
      <c r="EU38" s="112"/>
      <c r="EV38" s="113">
        <v>940.39683573000002</v>
      </c>
      <c r="EW38" s="113">
        <v>853.85912200999996</v>
      </c>
      <c r="EX38" s="113">
        <v>777.74997570000005</v>
      </c>
      <c r="EY38" s="113">
        <v>763.05286371</v>
      </c>
      <c r="EZ38" s="112"/>
      <c r="FA38" s="115">
        <v>171</v>
      </c>
      <c r="FB38" s="115">
        <v>139</v>
      </c>
      <c r="FC38" s="115">
        <v>117</v>
      </c>
      <c r="FD38" s="115">
        <v>90</v>
      </c>
      <c r="FE38" s="112"/>
      <c r="FF38" s="115">
        <v>78</v>
      </c>
      <c r="FG38" s="115">
        <v>82</v>
      </c>
      <c r="FH38" s="115">
        <v>64</v>
      </c>
      <c r="FI38" s="115">
        <v>74</v>
      </c>
      <c r="FJ38" s="112"/>
      <c r="FK38" s="115">
        <v>34</v>
      </c>
      <c r="FL38" s="115">
        <v>33</v>
      </c>
      <c r="FM38" s="115">
        <v>36</v>
      </c>
      <c r="FN38" s="115">
        <v>22</v>
      </c>
      <c r="FO38" s="112"/>
      <c r="FP38" s="115">
        <v>14</v>
      </c>
      <c r="FQ38" s="115">
        <v>13</v>
      </c>
      <c r="FR38" s="115">
        <v>17</v>
      </c>
      <c r="FS38" s="115">
        <v>14</v>
      </c>
      <c r="FT38" s="112"/>
      <c r="FU38" s="113">
        <v>343.63743937999999</v>
      </c>
      <c r="FV38" s="113">
        <v>293.70251374999998</v>
      </c>
      <c r="FW38" s="113">
        <v>224.66623267</v>
      </c>
      <c r="FX38" s="113">
        <v>189.692958769999</v>
      </c>
      <c r="FY38" s="112"/>
      <c r="FZ38" s="113">
        <v>187.05838764999999</v>
      </c>
      <c r="GA38" s="113">
        <v>195.41483181000001</v>
      </c>
      <c r="GB38" s="113">
        <v>158.30084459</v>
      </c>
      <c r="GC38" s="113">
        <v>175.30083529000001</v>
      </c>
      <c r="GD38" s="112"/>
      <c r="GE38" s="113">
        <v>62.844155890000003</v>
      </c>
      <c r="GF38" s="113">
        <v>59.841824559999999</v>
      </c>
      <c r="GG38" s="113">
        <v>63.44765529</v>
      </c>
      <c r="GH38" s="113">
        <v>37.776776839999997</v>
      </c>
      <c r="GI38" s="112"/>
      <c r="GJ38" s="113" t="s">
        <v>46</v>
      </c>
      <c r="GK38" s="113" t="s">
        <v>46</v>
      </c>
      <c r="GL38" s="113" t="s">
        <v>46</v>
      </c>
      <c r="GM38" s="113" t="s">
        <v>46</v>
      </c>
      <c r="GN38" s="112"/>
      <c r="GO38" s="113">
        <v>1162.7535175800001</v>
      </c>
      <c r="GP38" s="113">
        <v>993.39264423999998</v>
      </c>
      <c r="GQ38" s="113">
        <v>985.86539095000001</v>
      </c>
      <c r="GR38" s="113">
        <v>1025.6201595800001</v>
      </c>
      <c r="GS38" s="112"/>
      <c r="GT38" s="113">
        <v>757.01394631999995</v>
      </c>
      <c r="GU38" s="113">
        <v>735.22729362999996</v>
      </c>
      <c r="GV38" s="113">
        <v>602.58013758000004</v>
      </c>
      <c r="GW38" s="113">
        <v>553.11228007</v>
      </c>
      <c r="GX38" s="112"/>
      <c r="GY38" s="112"/>
      <c r="GZ38" s="112"/>
      <c r="HA38" s="112"/>
      <c r="HB38" s="112"/>
      <c r="HC38" s="112"/>
      <c r="HD38" s="115">
        <v>66</v>
      </c>
      <c r="HE38" s="115">
        <v>0</v>
      </c>
      <c r="HF38" s="115">
        <v>0</v>
      </c>
      <c r="HG38" s="115">
        <v>0</v>
      </c>
      <c r="HH38" s="115">
        <v>0</v>
      </c>
      <c r="HI38" s="114">
        <v>24.937655860349128</v>
      </c>
      <c r="HJ38" s="114" t="s">
        <v>46</v>
      </c>
      <c r="HK38" s="113" t="s">
        <v>46</v>
      </c>
      <c r="HL38" s="112">
        <v>10</v>
      </c>
      <c r="HM38" s="112">
        <v>12</v>
      </c>
      <c r="HN38" s="112">
        <v>13</v>
      </c>
      <c r="HO38" s="112">
        <v>7</v>
      </c>
      <c r="HP38" s="112"/>
      <c r="HQ38" s="112">
        <v>14</v>
      </c>
      <c r="HR38" s="112">
        <v>12</v>
      </c>
      <c r="HS38" s="112">
        <v>13</v>
      </c>
      <c r="HT38" s="112">
        <v>15</v>
      </c>
      <c r="HU38" s="117"/>
    </row>
    <row r="39" spans="1:229" x14ac:dyDescent="0.2">
      <c r="A39" s="93">
        <v>36</v>
      </c>
      <c r="B39" s="98" t="s">
        <v>103</v>
      </c>
      <c r="C39" s="99">
        <v>13658</v>
      </c>
      <c r="D39" s="99">
        <v>13459</v>
      </c>
      <c r="E39" s="99">
        <v>13251</v>
      </c>
      <c r="F39" s="99">
        <v>13128</v>
      </c>
      <c r="G39" s="99">
        <v>13311</v>
      </c>
      <c r="H39" s="99">
        <v>6004</v>
      </c>
      <c r="I39" s="99">
        <v>6026</v>
      </c>
      <c r="J39" s="99">
        <v>5975</v>
      </c>
      <c r="K39" s="99">
        <v>5937</v>
      </c>
      <c r="L39" s="99">
        <v>5874</v>
      </c>
      <c r="M39" s="100">
        <v>30.289175905817807</v>
      </c>
      <c r="N39" s="100">
        <v>30.521949533356381</v>
      </c>
      <c r="O39" s="101">
        <v>31.329113924050635</v>
      </c>
      <c r="P39" s="101">
        <v>32.185015658877376</v>
      </c>
      <c r="Q39" s="102">
        <v>30.700306531478425</v>
      </c>
      <c r="R39" s="100">
        <v>25.820093724997147</v>
      </c>
      <c r="S39" s="100">
        <v>24.553519990782348</v>
      </c>
      <c r="T39" s="100">
        <v>23.9803094233474</v>
      </c>
      <c r="U39" s="100">
        <v>25.945555287882438</v>
      </c>
      <c r="V39" s="100">
        <v>26.232020749823153</v>
      </c>
      <c r="W39" s="100">
        <v>56.10926963081495</v>
      </c>
      <c r="X39" s="100">
        <v>55.075469524138718</v>
      </c>
      <c r="Y39" s="100">
        <v>55.309423347398038</v>
      </c>
      <c r="Z39" s="100">
        <v>58.130570946759818</v>
      </c>
      <c r="AA39" s="100">
        <v>56.932327281301582</v>
      </c>
      <c r="AB39" s="100">
        <v>6.6</v>
      </c>
      <c r="AC39" s="100">
        <v>7.1</v>
      </c>
      <c r="AD39" s="100">
        <v>7.8</v>
      </c>
      <c r="AE39" s="100">
        <v>9.6999999999999993</v>
      </c>
      <c r="AF39" s="100">
        <v>8.6</v>
      </c>
      <c r="AG39" s="99">
        <v>491</v>
      </c>
      <c r="AH39" s="99">
        <v>500.58333333333331</v>
      </c>
      <c r="AI39" s="104">
        <v>502.16666666666669</v>
      </c>
      <c r="AJ39" s="104">
        <v>577.83333333333337</v>
      </c>
      <c r="AK39" s="105">
        <v>676.66666666666663</v>
      </c>
      <c r="AL39" s="106">
        <v>13052</v>
      </c>
      <c r="AM39" s="106">
        <v>60</v>
      </c>
      <c r="AN39" s="106">
        <v>340</v>
      </c>
      <c r="AO39" s="106">
        <v>38</v>
      </c>
      <c r="AP39" s="106">
        <v>0</v>
      </c>
      <c r="AQ39" s="106">
        <v>109</v>
      </c>
      <c r="AR39" s="106">
        <v>12593</v>
      </c>
      <c r="AS39" s="106">
        <v>78</v>
      </c>
      <c r="AT39" s="106">
        <v>311</v>
      </c>
      <c r="AU39" s="106">
        <v>47</v>
      </c>
      <c r="AV39" s="106">
        <v>257</v>
      </c>
      <c r="AW39" s="106">
        <v>147</v>
      </c>
      <c r="AX39" s="107">
        <v>29830</v>
      </c>
      <c r="AY39" s="107">
        <v>29351</v>
      </c>
      <c r="AZ39" s="107">
        <v>30603</v>
      </c>
      <c r="BA39" s="107">
        <v>32631</v>
      </c>
      <c r="BB39" s="107">
        <v>34398</v>
      </c>
      <c r="BC39" s="107">
        <v>38652</v>
      </c>
      <c r="BD39" s="107">
        <v>39963</v>
      </c>
      <c r="BE39" s="107">
        <v>41964</v>
      </c>
      <c r="BF39" s="108">
        <v>39130</v>
      </c>
      <c r="BG39" s="108">
        <v>40431</v>
      </c>
      <c r="BH39" s="100">
        <v>13.4</v>
      </c>
      <c r="BI39" s="100">
        <v>13.8</v>
      </c>
      <c r="BJ39" s="100">
        <v>13.2</v>
      </c>
      <c r="BK39" s="100">
        <v>13</v>
      </c>
      <c r="BL39" s="100">
        <v>12.9</v>
      </c>
      <c r="BM39" s="100">
        <v>18.3</v>
      </c>
      <c r="BN39" s="109">
        <v>18.399999999999999</v>
      </c>
      <c r="BO39" s="109">
        <v>19</v>
      </c>
      <c r="BP39" s="109">
        <v>18.8</v>
      </c>
      <c r="BQ39" s="100">
        <v>19</v>
      </c>
      <c r="BR39" s="106">
        <v>2036</v>
      </c>
      <c r="BS39" s="118">
        <v>1998</v>
      </c>
      <c r="BT39" s="118">
        <v>1970</v>
      </c>
      <c r="BU39" s="110">
        <v>1974</v>
      </c>
      <c r="BV39" s="100">
        <v>37.573673870333991</v>
      </c>
      <c r="BW39" s="100">
        <v>38.138138138138139</v>
      </c>
      <c r="BX39" s="100">
        <v>38.730964467005073</v>
      </c>
      <c r="BY39" s="103">
        <v>40.476190476190474</v>
      </c>
      <c r="BZ39" s="100">
        <v>0.39292730844793711</v>
      </c>
      <c r="CA39" s="100">
        <v>0.10010010010010009</v>
      </c>
      <c r="CB39" s="100">
        <v>0.25380710659898476</v>
      </c>
      <c r="CC39" s="103">
        <v>0.303951367781155</v>
      </c>
      <c r="CD39" s="100">
        <v>14.636542239685657</v>
      </c>
      <c r="CE39" s="100">
        <v>15.365365365365365</v>
      </c>
      <c r="CF39" s="100">
        <v>14.619289340101522</v>
      </c>
      <c r="CG39" s="103">
        <v>14.539007092198581</v>
      </c>
      <c r="CH39" s="100">
        <v>85.161290322580641</v>
      </c>
      <c r="CI39" s="105">
        <v>83.33</v>
      </c>
      <c r="CJ39" s="111">
        <v>80.459999999999994</v>
      </c>
      <c r="CK39" s="111">
        <v>81.538461538461533</v>
      </c>
      <c r="CL39" s="112">
        <v>877</v>
      </c>
      <c r="CM39" s="112">
        <v>762</v>
      </c>
      <c r="CN39" s="112">
        <v>645</v>
      </c>
      <c r="CO39" s="112">
        <v>594</v>
      </c>
      <c r="CP39" s="112"/>
      <c r="CQ39" s="113">
        <v>10.880083368483735</v>
      </c>
      <c r="CR39" s="113">
        <v>9.9832302693637978</v>
      </c>
      <c r="CS39" s="113">
        <v>9.2299766746325904</v>
      </c>
      <c r="CT39" s="113">
        <v>8.8912838475010112</v>
      </c>
      <c r="CU39" s="112"/>
      <c r="CV39" s="114">
        <v>4.9883990719257545</v>
      </c>
      <c r="CW39" s="114">
        <v>5.3619302949061662</v>
      </c>
      <c r="CX39" s="114">
        <v>4.4657097288676235</v>
      </c>
      <c r="CY39" s="114">
        <v>3.1358885017421603</v>
      </c>
      <c r="CZ39" s="112"/>
      <c r="DA39" s="113">
        <v>10.021786492374728</v>
      </c>
      <c r="DB39" s="113">
        <v>7.3504273504273501</v>
      </c>
      <c r="DC39" s="113">
        <v>7.9044117647058822</v>
      </c>
      <c r="DD39" s="113">
        <v>7.0103092783505154</v>
      </c>
      <c r="DE39" s="112"/>
      <c r="DF39" s="113">
        <v>70.682730923694777</v>
      </c>
      <c r="DG39" s="113">
        <v>89.176829268292678</v>
      </c>
      <c r="DH39" s="113">
        <v>79.153605015673975</v>
      </c>
      <c r="DI39" s="113">
        <v>79.145299145299148</v>
      </c>
      <c r="DJ39" s="112"/>
      <c r="DK39" s="114">
        <v>17.311233885819522</v>
      </c>
      <c r="DL39" s="114">
        <v>11.288180610889775</v>
      </c>
      <c r="DM39" s="114">
        <v>16.831683168316832</v>
      </c>
      <c r="DN39" s="114">
        <v>23.418803418803417</v>
      </c>
      <c r="DO39" s="112"/>
      <c r="DP39" s="113">
        <v>33.485714285714288</v>
      </c>
      <c r="DQ39" s="113">
        <v>29.133858267716537</v>
      </c>
      <c r="DR39" s="113">
        <v>37.209302325581397</v>
      </c>
      <c r="DS39" s="113">
        <v>45.025295109612145</v>
      </c>
      <c r="DT39" s="112"/>
      <c r="DU39" s="115">
        <v>9</v>
      </c>
      <c r="DV39" s="115">
        <v>6</v>
      </c>
      <c r="DW39" s="115">
        <v>6</v>
      </c>
      <c r="DX39" s="115">
        <v>2</v>
      </c>
      <c r="DY39" s="112"/>
      <c r="DZ39" s="116">
        <v>1.29</v>
      </c>
      <c r="EA39" s="116">
        <v>3.763440860215054</v>
      </c>
      <c r="EB39" s="116">
        <v>6.32</v>
      </c>
      <c r="EC39" s="116">
        <v>4.1025641025641022</v>
      </c>
      <c r="ED39" s="112"/>
      <c r="EE39" s="113">
        <v>94.594594594594597</v>
      </c>
      <c r="EF39" s="113">
        <v>0</v>
      </c>
      <c r="EG39" s="113">
        <v>5.4054054054054053</v>
      </c>
      <c r="EH39" s="113">
        <v>0</v>
      </c>
      <c r="EI39" s="113">
        <v>0</v>
      </c>
      <c r="EJ39" s="113">
        <v>29.275092936802974</v>
      </c>
      <c r="EK39" s="113"/>
      <c r="EL39" s="115">
        <v>823</v>
      </c>
      <c r="EM39" s="115">
        <v>846</v>
      </c>
      <c r="EN39" s="115">
        <v>768</v>
      </c>
      <c r="EO39" s="115">
        <v>799</v>
      </c>
      <c r="EP39" s="112"/>
      <c r="EQ39" s="114">
        <v>1021.0158052750415</v>
      </c>
      <c r="ER39" s="114">
        <v>1108.3743842364531</v>
      </c>
      <c r="ES39" s="114">
        <v>1099.0111761422991</v>
      </c>
      <c r="ET39" s="114">
        <v>1195.9824569281661</v>
      </c>
      <c r="EU39" s="112"/>
      <c r="EV39" s="113">
        <v>931.29873637000003</v>
      </c>
      <c r="EW39" s="113">
        <v>916.24622610999995</v>
      </c>
      <c r="EX39" s="113">
        <v>767.26341405999995</v>
      </c>
      <c r="EY39" s="113">
        <v>745.15046380000001</v>
      </c>
      <c r="EZ39" s="112"/>
      <c r="FA39" s="115">
        <v>279</v>
      </c>
      <c r="FB39" s="115">
        <v>263</v>
      </c>
      <c r="FC39" s="115">
        <v>214</v>
      </c>
      <c r="FD39" s="115">
        <v>176</v>
      </c>
      <c r="FE39" s="112"/>
      <c r="FF39" s="115">
        <v>208</v>
      </c>
      <c r="FG39" s="115">
        <v>178</v>
      </c>
      <c r="FH39" s="115">
        <v>200</v>
      </c>
      <c r="FI39" s="115">
        <v>209</v>
      </c>
      <c r="FJ39" s="112"/>
      <c r="FK39" s="115">
        <v>76</v>
      </c>
      <c r="FL39" s="115">
        <v>71</v>
      </c>
      <c r="FM39" s="115">
        <v>71</v>
      </c>
      <c r="FN39" s="115">
        <v>48</v>
      </c>
      <c r="FO39" s="112"/>
      <c r="FP39" s="115">
        <v>42</v>
      </c>
      <c r="FQ39" s="115">
        <v>34</v>
      </c>
      <c r="FR39" s="115">
        <v>33</v>
      </c>
      <c r="FS39" s="115">
        <v>40</v>
      </c>
      <c r="FT39" s="112"/>
      <c r="FU39" s="113">
        <v>314.14268652999999</v>
      </c>
      <c r="FV39" s="113">
        <v>280.60446531000002</v>
      </c>
      <c r="FW39" s="113">
        <v>206.29356084</v>
      </c>
      <c r="FX39" s="113">
        <v>161.21842792000001</v>
      </c>
      <c r="FY39" s="112"/>
      <c r="FZ39" s="113">
        <v>228.55995286999999</v>
      </c>
      <c r="GA39" s="113">
        <v>190.05721743000001</v>
      </c>
      <c r="GB39" s="113">
        <v>201.90310292000001</v>
      </c>
      <c r="GC39" s="113">
        <v>197.93557478</v>
      </c>
      <c r="GD39" s="112"/>
      <c r="GE39" s="113">
        <v>86.570114520000004</v>
      </c>
      <c r="GF39" s="113">
        <v>75.90308924</v>
      </c>
      <c r="GG39" s="113">
        <v>64.772138549999994</v>
      </c>
      <c r="GH39" s="113">
        <v>42.728824449999998</v>
      </c>
      <c r="GI39" s="112"/>
      <c r="GJ39" s="113">
        <v>50.497489389999998</v>
      </c>
      <c r="GK39" s="113">
        <v>40.229838239999999</v>
      </c>
      <c r="GL39" s="113">
        <v>42.654660049999997</v>
      </c>
      <c r="GM39" s="113">
        <v>42.920586790000002</v>
      </c>
      <c r="GN39" s="112"/>
      <c r="GO39" s="113">
        <v>1160.14462557</v>
      </c>
      <c r="GP39" s="113">
        <v>1053.36612719</v>
      </c>
      <c r="GQ39" s="113">
        <v>955.04143644999999</v>
      </c>
      <c r="GR39" s="113">
        <v>926.14451870000005</v>
      </c>
      <c r="GS39" s="112"/>
      <c r="GT39" s="113">
        <v>741.95150564000005</v>
      </c>
      <c r="GU39" s="113">
        <v>796.94728026999996</v>
      </c>
      <c r="GV39" s="113">
        <v>625.27816504999998</v>
      </c>
      <c r="GW39" s="113">
        <v>603.48265280999999</v>
      </c>
      <c r="GX39" s="112"/>
      <c r="GY39" s="112"/>
      <c r="GZ39" s="112"/>
      <c r="HA39" s="112"/>
      <c r="HB39" s="112"/>
      <c r="HC39" s="112"/>
      <c r="HD39" s="115">
        <v>164</v>
      </c>
      <c r="HE39" s="115">
        <v>0</v>
      </c>
      <c r="HF39" s="115">
        <v>1</v>
      </c>
      <c r="HG39" s="115">
        <v>0</v>
      </c>
      <c r="HH39" s="115">
        <v>0</v>
      </c>
      <c r="HI39" s="114">
        <v>41.271000730460187</v>
      </c>
      <c r="HJ39" s="114">
        <v>29.202279202279204</v>
      </c>
      <c r="HK39" s="113">
        <v>28.558875219683657</v>
      </c>
      <c r="HL39" s="112">
        <v>43</v>
      </c>
      <c r="HM39" s="112">
        <v>40</v>
      </c>
      <c r="HN39" s="112">
        <v>28</v>
      </c>
      <c r="HO39" s="112">
        <v>18</v>
      </c>
      <c r="HP39" s="112"/>
      <c r="HQ39" s="112">
        <v>46</v>
      </c>
      <c r="HR39" s="112">
        <v>43</v>
      </c>
      <c r="HS39" s="112">
        <v>43</v>
      </c>
      <c r="HT39" s="112">
        <v>34</v>
      </c>
      <c r="HU39" s="117"/>
    </row>
    <row r="40" spans="1:229" ht="21" customHeight="1" x14ac:dyDescent="0.2">
      <c r="A40" s="93">
        <v>37</v>
      </c>
      <c r="B40" s="98" t="s">
        <v>104</v>
      </c>
      <c r="C40" s="99">
        <v>7464</v>
      </c>
      <c r="D40" s="99">
        <v>7258</v>
      </c>
      <c r="E40" s="99">
        <v>7165</v>
      </c>
      <c r="F40" s="99">
        <v>7110</v>
      </c>
      <c r="G40" s="99">
        <v>7259</v>
      </c>
      <c r="H40" s="99">
        <v>3192</v>
      </c>
      <c r="I40" s="99">
        <v>3186</v>
      </c>
      <c r="J40" s="99">
        <v>3176</v>
      </c>
      <c r="K40" s="99">
        <v>3162</v>
      </c>
      <c r="L40" s="99">
        <v>3155</v>
      </c>
      <c r="M40" s="100">
        <v>36.534264513312962</v>
      </c>
      <c r="N40" s="100">
        <v>36.548336682295158</v>
      </c>
      <c r="O40" s="101">
        <v>36.453868711933232</v>
      </c>
      <c r="P40" s="101">
        <v>37.316561844863735</v>
      </c>
      <c r="Q40" s="102">
        <v>40.158213122382506</v>
      </c>
      <c r="R40" s="100">
        <v>26.364033173286771</v>
      </c>
      <c r="S40" s="100">
        <v>25.496762670238894</v>
      </c>
      <c r="T40" s="100">
        <v>25.174825174825177</v>
      </c>
      <c r="U40" s="100">
        <v>28.30188679245283</v>
      </c>
      <c r="V40" s="100">
        <v>28.734295020939971</v>
      </c>
      <c r="W40" s="100">
        <v>62.898297686599733</v>
      </c>
      <c r="X40" s="100">
        <v>62.045099352534052</v>
      </c>
      <c r="Y40" s="100">
        <v>61.628693886758398</v>
      </c>
      <c r="Z40" s="100">
        <v>65.618448637316561</v>
      </c>
      <c r="AA40" s="100">
        <v>68.892508143322473</v>
      </c>
      <c r="AB40" s="100">
        <v>3.8</v>
      </c>
      <c r="AC40" s="100">
        <v>4.3</v>
      </c>
      <c r="AD40" s="100">
        <v>4.9000000000000004</v>
      </c>
      <c r="AE40" s="100">
        <v>6.4</v>
      </c>
      <c r="AF40" s="100">
        <v>5.9</v>
      </c>
      <c r="AG40" s="99">
        <v>96.5</v>
      </c>
      <c r="AH40" s="99">
        <v>88.416666666666671</v>
      </c>
      <c r="AI40" s="104">
        <v>93.166666666666671</v>
      </c>
      <c r="AJ40" s="104">
        <v>137.33333333333334</v>
      </c>
      <c r="AK40" s="105">
        <v>170.83333333333334</v>
      </c>
      <c r="AL40" s="106">
        <v>7378</v>
      </c>
      <c r="AM40" s="106">
        <v>16</v>
      </c>
      <c r="AN40" s="106">
        <v>18</v>
      </c>
      <c r="AO40" s="106">
        <v>27</v>
      </c>
      <c r="AP40" s="106">
        <v>0</v>
      </c>
      <c r="AQ40" s="106">
        <v>46</v>
      </c>
      <c r="AR40" s="106">
        <v>7087</v>
      </c>
      <c r="AS40" s="106">
        <v>17</v>
      </c>
      <c r="AT40" s="106">
        <v>17</v>
      </c>
      <c r="AU40" s="106">
        <v>32</v>
      </c>
      <c r="AV40" s="106">
        <v>61</v>
      </c>
      <c r="AW40" s="106">
        <v>108</v>
      </c>
      <c r="AX40" s="107">
        <v>29829</v>
      </c>
      <c r="AY40" s="107">
        <v>30050</v>
      </c>
      <c r="AZ40" s="107">
        <v>33041</v>
      </c>
      <c r="BA40" s="107">
        <v>38179</v>
      </c>
      <c r="BB40" s="107">
        <v>42274</v>
      </c>
      <c r="BC40" s="107">
        <v>38041</v>
      </c>
      <c r="BD40" s="107">
        <v>39331</v>
      </c>
      <c r="BE40" s="107">
        <v>40293</v>
      </c>
      <c r="BF40" s="108">
        <v>43335</v>
      </c>
      <c r="BG40" s="108">
        <v>44782</v>
      </c>
      <c r="BH40" s="100">
        <v>9.1</v>
      </c>
      <c r="BI40" s="100">
        <v>9.4</v>
      </c>
      <c r="BJ40" s="100">
        <v>10.6</v>
      </c>
      <c r="BK40" s="100">
        <v>8.9</v>
      </c>
      <c r="BL40" s="100">
        <v>8.8000000000000007</v>
      </c>
      <c r="BM40" s="100">
        <v>10.5</v>
      </c>
      <c r="BN40" s="109">
        <v>11.7</v>
      </c>
      <c r="BO40" s="109">
        <v>12.4</v>
      </c>
      <c r="BP40" s="109">
        <v>11.1</v>
      </c>
      <c r="BQ40" s="100">
        <v>12.1</v>
      </c>
      <c r="BR40" s="106">
        <v>1515</v>
      </c>
      <c r="BS40" s="118">
        <v>1461</v>
      </c>
      <c r="BT40" s="118">
        <v>1363</v>
      </c>
      <c r="BU40" s="110">
        <v>1337</v>
      </c>
      <c r="BV40" s="100">
        <v>36.831683168316829</v>
      </c>
      <c r="BW40" s="100">
        <v>37.9192334017796</v>
      </c>
      <c r="BX40" s="100">
        <v>38.738077769625825</v>
      </c>
      <c r="BY40" s="103">
        <v>39.715781600598355</v>
      </c>
      <c r="BZ40" s="100">
        <v>2.3102310231023102</v>
      </c>
      <c r="CA40" s="100">
        <v>2.1218343600273788</v>
      </c>
      <c r="CB40" s="100">
        <v>2.5678650036683788</v>
      </c>
      <c r="CC40" s="103">
        <v>1.9446522064323111</v>
      </c>
      <c r="CD40" s="100">
        <v>15.577557755775578</v>
      </c>
      <c r="CE40" s="100">
        <v>15.331964407939767</v>
      </c>
      <c r="CF40" s="100">
        <v>15.920763022743948</v>
      </c>
      <c r="CG40" s="103">
        <v>16.454749439042633</v>
      </c>
      <c r="CH40" s="100">
        <v>90</v>
      </c>
      <c r="CI40" s="105">
        <v>89.23</v>
      </c>
      <c r="CJ40" s="111">
        <v>98.17</v>
      </c>
      <c r="CK40" s="111">
        <v>93.07692307692308</v>
      </c>
      <c r="CL40" s="112">
        <v>436</v>
      </c>
      <c r="CM40" s="112">
        <v>395</v>
      </c>
      <c r="CN40" s="112">
        <v>328</v>
      </c>
      <c r="CO40" s="112">
        <v>350</v>
      </c>
      <c r="CP40" s="112"/>
      <c r="CQ40" s="113">
        <v>10.149212039386391</v>
      </c>
      <c r="CR40" s="113">
        <v>9.8182993214188059</v>
      </c>
      <c r="CS40" s="113">
        <v>8.3859586326796709</v>
      </c>
      <c r="CT40" s="113">
        <v>9.653574580759047</v>
      </c>
      <c r="CU40" s="112"/>
      <c r="CV40" s="114">
        <v>3.2710280373831777</v>
      </c>
      <c r="CW40" s="114">
        <v>1.8181818181818181</v>
      </c>
      <c r="CX40" s="114">
        <v>4.1139240506329111</v>
      </c>
      <c r="CY40" s="114">
        <v>3.4582132564841497</v>
      </c>
      <c r="CZ40" s="112"/>
      <c r="DA40" s="113">
        <v>6.9767441860465116</v>
      </c>
      <c r="DB40" s="113">
        <v>4.838709677419355</v>
      </c>
      <c r="DC40" s="113">
        <v>8.053691275167786</v>
      </c>
      <c r="DD40" s="113">
        <v>7.308970099667774</v>
      </c>
      <c r="DE40" s="112"/>
      <c r="DF40" s="113">
        <v>84.633569739952719</v>
      </c>
      <c r="DG40" s="113">
        <v>87.596899224806208</v>
      </c>
      <c r="DH40" s="113">
        <v>86.915887850467286</v>
      </c>
      <c r="DI40" s="113">
        <v>89.020771513353111</v>
      </c>
      <c r="DJ40" s="112"/>
      <c r="DK40" s="114">
        <v>15.085158150851582</v>
      </c>
      <c r="DL40" s="114">
        <v>13.589743589743589</v>
      </c>
      <c r="DM40" s="114">
        <v>8.5889570552147241</v>
      </c>
      <c r="DN40" s="114">
        <v>16.76300578034682</v>
      </c>
      <c r="DO40" s="112"/>
      <c r="DP40" s="113">
        <v>10.779816513761467</v>
      </c>
      <c r="DQ40" s="113">
        <v>17.721518987341771</v>
      </c>
      <c r="DR40" s="113">
        <v>20.183486238532112</v>
      </c>
      <c r="DS40" s="113">
        <v>34</v>
      </c>
      <c r="DT40" s="112"/>
      <c r="DU40" s="115">
        <v>1</v>
      </c>
      <c r="DV40" s="115">
        <v>1</v>
      </c>
      <c r="DW40" s="115">
        <v>2</v>
      </c>
      <c r="DX40" s="115">
        <v>3</v>
      </c>
      <c r="DY40" s="112"/>
      <c r="DZ40" s="116">
        <v>1.33</v>
      </c>
      <c r="EA40" s="116">
        <v>1.5384615384615385</v>
      </c>
      <c r="EB40" s="116">
        <v>0</v>
      </c>
      <c r="EC40" s="116">
        <v>0.76923076923076927</v>
      </c>
      <c r="ED40" s="112"/>
      <c r="EE40" s="113">
        <v>94.20289855072464</v>
      </c>
      <c r="EF40" s="113">
        <v>0</v>
      </c>
      <c r="EG40" s="113">
        <v>0</v>
      </c>
      <c r="EH40" s="113">
        <v>2.8985507246376812</v>
      </c>
      <c r="EI40" s="113">
        <v>5.7971014492753623</v>
      </c>
      <c r="EJ40" s="113" t="s">
        <v>46</v>
      </c>
      <c r="EK40" s="113"/>
      <c r="EL40" s="115">
        <v>591</v>
      </c>
      <c r="EM40" s="115">
        <v>602</v>
      </c>
      <c r="EN40" s="115">
        <v>537</v>
      </c>
      <c r="EO40" s="115">
        <v>483</v>
      </c>
      <c r="EP40" s="112"/>
      <c r="EQ40" s="114">
        <v>1375.7303475406784</v>
      </c>
      <c r="ER40" s="114">
        <v>1496.3585294921827</v>
      </c>
      <c r="ES40" s="114">
        <v>1372.9450566307878</v>
      </c>
      <c r="ET40" s="114">
        <v>1332.1932921447485</v>
      </c>
      <c r="EU40" s="112"/>
      <c r="EV40" s="113">
        <v>788.74201832999995</v>
      </c>
      <c r="EW40" s="113">
        <v>783.79544396999995</v>
      </c>
      <c r="EX40" s="113">
        <v>680.39485478999995</v>
      </c>
      <c r="EY40" s="113">
        <v>646.43072543999995</v>
      </c>
      <c r="EZ40" s="112"/>
      <c r="FA40" s="115">
        <v>208</v>
      </c>
      <c r="FB40" s="115">
        <v>160</v>
      </c>
      <c r="FC40" s="115">
        <v>153</v>
      </c>
      <c r="FD40" s="115">
        <v>153</v>
      </c>
      <c r="FE40" s="112"/>
      <c r="FF40" s="115">
        <v>134</v>
      </c>
      <c r="FG40" s="115">
        <v>146</v>
      </c>
      <c r="FH40" s="115">
        <v>118</v>
      </c>
      <c r="FI40" s="115">
        <v>107</v>
      </c>
      <c r="FJ40" s="112"/>
      <c r="FK40" s="115">
        <v>46</v>
      </c>
      <c r="FL40" s="115">
        <v>46</v>
      </c>
      <c r="FM40" s="115">
        <v>20</v>
      </c>
      <c r="FN40" s="115">
        <v>18</v>
      </c>
      <c r="FO40" s="112"/>
      <c r="FP40" s="115">
        <v>25</v>
      </c>
      <c r="FQ40" s="115">
        <v>27</v>
      </c>
      <c r="FR40" s="115">
        <v>35</v>
      </c>
      <c r="FS40" s="115">
        <v>25</v>
      </c>
      <c r="FT40" s="112"/>
      <c r="FU40" s="113">
        <v>258.35038173999999</v>
      </c>
      <c r="FV40" s="113">
        <v>194.88183375</v>
      </c>
      <c r="FW40" s="113">
        <v>176.28192196000001</v>
      </c>
      <c r="FX40" s="113">
        <v>185.91554135999999</v>
      </c>
      <c r="FY40" s="112"/>
      <c r="FZ40" s="113">
        <v>189.43799824999999</v>
      </c>
      <c r="GA40" s="113">
        <v>217.47665064</v>
      </c>
      <c r="GB40" s="113">
        <v>163.02257632999999</v>
      </c>
      <c r="GC40" s="113">
        <v>156.14577213000001</v>
      </c>
      <c r="GD40" s="112"/>
      <c r="GE40" s="113">
        <v>52.61071029</v>
      </c>
      <c r="GF40" s="113">
        <v>53.32032057</v>
      </c>
      <c r="GG40" s="113" t="s">
        <v>46</v>
      </c>
      <c r="GH40" s="113" t="s">
        <v>46</v>
      </c>
      <c r="GI40" s="112"/>
      <c r="GJ40" s="113">
        <v>57.411499489999997</v>
      </c>
      <c r="GK40" s="113">
        <v>55.728659700000001</v>
      </c>
      <c r="GL40" s="113">
        <v>60.70796842</v>
      </c>
      <c r="GM40" s="113">
        <v>47.194991280000004</v>
      </c>
      <c r="GN40" s="112"/>
      <c r="GO40" s="113">
        <v>1073.6481352799999</v>
      </c>
      <c r="GP40" s="113">
        <v>929.26396288000001</v>
      </c>
      <c r="GQ40" s="113">
        <v>822.41555493999999</v>
      </c>
      <c r="GR40" s="113">
        <v>788.96222079999995</v>
      </c>
      <c r="GS40" s="112"/>
      <c r="GT40" s="113">
        <v>539.46622745000002</v>
      </c>
      <c r="GU40" s="113">
        <v>657.37173153000003</v>
      </c>
      <c r="GV40" s="113">
        <v>546.71531527000002</v>
      </c>
      <c r="GW40" s="113">
        <v>525.78054674999998</v>
      </c>
      <c r="GX40" s="112"/>
      <c r="GY40" s="112"/>
      <c r="GZ40" s="112"/>
      <c r="HA40" s="112"/>
      <c r="HB40" s="112"/>
      <c r="HC40" s="112"/>
      <c r="HD40" s="115">
        <v>102</v>
      </c>
      <c r="HE40" s="115">
        <v>0</v>
      </c>
      <c r="HF40" s="115">
        <v>0</v>
      </c>
      <c r="HG40" s="115">
        <v>0</v>
      </c>
      <c r="HH40" s="115">
        <v>0</v>
      </c>
      <c r="HI40" s="114">
        <v>17.699115044247787</v>
      </c>
      <c r="HJ40" s="114">
        <v>22.488755622188904</v>
      </c>
      <c r="HK40" s="113">
        <v>17.373175816539263</v>
      </c>
      <c r="HL40" s="112">
        <v>14</v>
      </c>
      <c r="HM40" s="112">
        <v>7</v>
      </c>
      <c r="HN40" s="112">
        <v>13</v>
      </c>
      <c r="HO40" s="112">
        <v>12</v>
      </c>
      <c r="HP40" s="112"/>
      <c r="HQ40" s="112">
        <v>27</v>
      </c>
      <c r="HR40" s="112">
        <v>18</v>
      </c>
      <c r="HS40" s="112">
        <v>24</v>
      </c>
      <c r="HT40" s="112">
        <v>22</v>
      </c>
      <c r="HU40" s="117"/>
    </row>
    <row r="41" spans="1:229" x14ac:dyDescent="0.2">
      <c r="A41" s="93">
        <v>38</v>
      </c>
      <c r="B41" s="98" t="s">
        <v>105</v>
      </c>
      <c r="C41" s="99">
        <v>10966</v>
      </c>
      <c r="D41" s="99">
        <v>10741</v>
      </c>
      <c r="E41" s="99">
        <v>10609</v>
      </c>
      <c r="F41" s="99">
        <v>10610</v>
      </c>
      <c r="G41" s="99">
        <v>10866</v>
      </c>
      <c r="H41" s="99">
        <v>4787</v>
      </c>
      <c r="I41" s="99">
        <v>4816</v>
      </c>
      <c r="J41" s="99">
        <v>4808</v>
      </c>
      <c r="K41" s="99">
        <v>4782</v>
      </c>
      <c r="L41" s="99">
        <v>4825</v>
      </c>
      <c r="M41" s="100">
        <v>31.356051044734258</v>
      </c>
      <c r="N41" s="100">
        <v>31.892438918606331</v>
      </c>
      <c r="O41" s="101">
        <v>32.141810723703486</v>
      </c>
      <c r="P41" s="101">
        <v>32.849391406364568</v>
      </c>
      <c r="Q41" s="102">
        <v>35.970370370370368</v>
      </c>
      <c r="R41" s="100">
        <v>22.423222549432058</v>
      </c>
      <c r="S41" s="100">
        <v>23.391643776203559</v>
      </c>
      <c r="T41" s="100">
        <v>23.278640492235571</v>
      </c>
      <c r="U41" s="100">
        <v>22.745270567531897</v>
      </c>
      <c r="V41" s="100">
        <v>25.007407407407406</v>
      </c>
      <c r="W41" s="100">
        <v>53.77927359416632</v>
      </c>
      <c r="X41" s="100">
        <v>55.284082694809889</v>
      </c>
      <c r="Y41" s="100">
        <v>55.42045121593906</v>
      </c>
      <c r="Z41" s="100">
        <v>55.594661973896464</v>
      </c>
      <c r="AA41" s="100">
        <v>60.977777777777774</v>
      </c>
      <c r="AB41" s="100">
        <v>4.0999999999999996</v>
      </c>
      <c r="AC41" s="100">
        <v>4.5999999999999996</v>
      </c>
      <c r="AD41" s="100">
        <v>5.3</v>
      </c>
      <c r="AE41" s="100">
        <v>9.5</v>
      </c>
      <c r="AF41" s="100">
        <v>7.9</v>
      </c>
      <c r="AG41" s="99">
        <v>187.5</v>
      </c>
      <c r="AH41" s="99">
        <v>189.16666666666666</v>
      </c>
      <c r="AI41" s="104">
        <v>195.83333333333334</v>
      </c>
      <c r="AJ41" s="104">
        <v>265.91666666666669</v>
      </c>
      <c r="AK41" s="105">
        <v>310.25</v>
      </c>
      <c r="AL41" s="106">
        <v>10717</v>
      </c>
      <c r="AM41" s="106">
        <v>12</v>
      </c>
      <c r="AN41" s="106">
        <v>90</v>
      </c>
      <c r="AO41" s="106">
        <v>28</v>
      </c>
      <c r="AP41" s="106">
        <v>0</v>
      </c>
      <c r="AQ41" s="106">
        <v>67</v>
      </c>
      <c r="AR41" s="106">
        <v>10616</v>
      </c>
      <c r="AS41" s="106">
        <v>16</v>
      </c>
      <c r="AT41" s="106">
        <v>51</v>
      </c>
      <c r="AU41" s="106">
        <v>31</v>
      </c>
      <c r="AV41" s="106">
        <v>137</v>
      </c>
      <c r="AW41" s="106">
        <v>80</v>
      </c>
      <c r="AX41" s="107">
        <v>32655</v>
      </c>
      <c r="AY41" s="107">
        <v>34221</v>
      </c>
      <c r="AZ41" s="107">
        <v>35163</v>
      </c>
      <c r="BA41" s="107">
        <v>38421</v>
      </c>
      <c r="BB41" s="107">
        <v>38471</v>
      </c>
      <c r="BC41" s="107">
        <v>43250</v>
      </c>
      <c r="BD41" s="107">
        <v>45011</v>
      </c>
      <c r="BE41" s="107">
        <v>46506</v>
      </c>
      <c r="BF41" s="108">
        <v>49698</v>
      </c>
      <c r="BG41" s="108">
        <v>48698</v>
      </c>
      <c r="BH41" s="100">
        <v>9.1999999999999993</v>
      </c>
      <c r="BI41" s="100">
        <v>9.1</v>
      </c>
      <c r="BJ41" s="100">
        <v>8.5</v>
      </c>
      <c r="BK41" s="100">
        <v>9.6999999999999993</v>
      </c>
      <c r="BL41" s="100">
        <v>11.4</v>
      </c>
      <c r="BM41" s="100">
        <v>13</v>
      </c>
      <c r="BN41" s="109">
        <v>13.9</v>
      </c>
      <c r="BO41" s="109">
        <v>13.1</v>
      </c>
      <c r="BP41" s="109">
        <v>14</v>
      </c>
      <c r="BQ41" s="100">
        <v>16</v>
      </c>
      <c r="BR41" s="106">
        <v>1469</v>
      </c>
      <c r="BS41" s="118">
        <v>1435</v>
      </c>
      <c r="BT41" s="118">
        <v>1421</v>
      </c>
      <c r="BU41" s="110">
        <v>1389</v>
      </c>
      <c r="BV41" s="100">
        <v>30.633083730428861</v>
      </c>
      <c r="BW41" s="100">
        <v>30.243902439024389</v>
      </c>
      <c r="BX41" s="100">
        <v>34.975369458128078</v>
      </c>
      <c r="BY41" s="103">
        <v>32.829373650107989</v>
      </c>
      <c r="BZ41" s="100">
        <v>0</v>
      </c>
      <c r="CA41" s="100">
        <v>0</v>
      </c>
      <c r="CB41" s="100">
        <v>0</v>
      </c>
      <c r="CC41" s="103">
        <v>0</v>
      </c>
      <c r="CD41" s="100">
        <v>15.112321307011573</v>
      </c>
      <c r="CE41" s="100">
        <v>15.470383275261323</v>
      </c>
      <c r="CF41" s="100">
        <v>17.311752287121745</v>
      </c>
      <c r="CG41" s="103">
        <v>18.286537077033838</v>
      </c>
      <c r="CH41" s="100">
        <v>67.2</v>
      </c>
      <c r="CI41" s="105">
        <v>85</v>
      </c>
      <c r="CJ41" s="111">
        <v>82.76</v>
      </c>
      <c r="CK41" s="111">
        <v>88.495575221238937</v>
      </c>
      <c r="CL41" s="112">
        <v>513</v>
      </c>
      <c r="CM41" s="112">
        <v>514</v>
      </c>
      <c r="CN41" s="112">
        <v>486</v>
      </c>
      <c r="CO41" s="112">
        <v>577</v>
      </c>
      <c r="CP41" s="112"/>
      <c r="CQ41" s="113">
        <v>9.7511832576175177</v>
      </c>
      <c r="CR41" s="113">
        <v>9.5517728387720204</v>
      </c>
      <c r="CS41" s="113">
        <v>8.7234348075818495</v>
      </c>
      <c r="CT41" s="113">
        <v>10.726502082093992</v>
      </c>
      <c r="CU41" s="112"/>
      <c r="CV41" s="114">
        <v>3.4068136272545089</v>
      </c>
      <c r="CW41" s="114">
        <v>3.7254901960784315</v>
      </c>
      <c r="CX41" s="114">
        <v>4.7619047619047619</v>
      </c>
      <c r="CY41" s="114">
        <v>6.0218978102189782</v>
      </c>
      <c r="CZ41" s="112"/>
      <c r="DA41" s="113">
        <v>6</v>
      </c>
      <c r="DB41" s="113">
        <v>6.391752577319588</v>
      </c>
      <c r="DC41" s="113">
        <v>7.9726651480637809</v>
      </c>
      <c r="DD41" s="113">
        <v>11.281070745697896</v>
      </c>
      <c r="DE41" s="112"/>
      <c r="DF41" s="113">
        <v>83.838383838383834</v>
      </c>
      <c r="DG41" s="113">
        <v>83.870967741935488</v>
      </c>
      <c r="DH41" s="113">
        <v>84.854771784232369</v>
      </c>
      <c r="DI41" s="113">
        <v>85.431654676258987</v>
      </c>
      <c r="DJ41" s="112"/>
      <c r="DK41" s="114">
        <v>20.79002079002079</v>
      </c>
      <c r="DL41" s="114">
        <v>20.825147347740668</v>
      </c>
      <c r="DM41" s="114">
        <v>20.703933747412009</v>
      </c>
      <c r="DN41" s="114">
        <v>13.774597495527727</v>
      </c>
      <c r="DO41" s="112"/>
      <c r="DP41" s="113">
        <v>21.09375</v>
      </c>
      <c r="DQ41" s="113">
        <v>26.653696498054476</v>
      </c>
      <c r="DR41" s="113">
        <v>28.395061728395063</v>
      </c>
      <c r="DS41" s="113">
        <v>28.769497400346619</v>
      </c>
      <c r="DT41" s="112"/>
      <c r="DU41" s="115">
        <v>1</v>
      </c>
      <c r="DV41" s="115">
        <v>2</v>
      </c>
      <c r="DW41" s="115">
        <v>6</v>
      </c>
      <c r="DX41" s="115">
        <v>4</v>
      </c>
      <c r="DY41" s="112"/>
      <c r="DZ41" s="116">
        <v>5.6</v>
      </c>
      <c r="EA41" s="116">
        <v>6.4285714285714288</v>
      </c>
      <c r="EB41" s="116">
        <v>7.59</v>
      </c>
      <c r="EC41" s="116">
        <v>3.5398230088495577</v>
      </c>
      <c r="ED41" s="112"/>
      <c r="EE41" s="113">
        <v>97.65625</v>
      </c>
      <c r="EF41" s="113">
        <v>0</v>
      </c>
      <c r="EG41" s="113">
        <v>0.78125</v>
      </c>
      <c r="EH41" s="113">
        <v>0</v>
      </c>
      <c r="EI41" s="113">
        <v>0.78125</v>
      </c>
      <c r="EJ41" s="113">
        <v>32.692307692307693</v>
      </c>
      <c r="EK41" s="113"/>
      <c r="EL41" s="115">
        <v>599</v>
      </c>
      <c r="EM41" s="115">
        <v>624</v>
      </c>
      <c r="EN41" s="115">
        <v>693</v>
      </c>
      <c r="EO41" s="115">
        <v>719</v>
      </c>
      <c r="EP41" s="112"/>
      <c r="EQ41" s="114">
        <v>1138.5884544469577</v>
      </c>
      <c r="ER41" s="114">
        <v>1159.5926559131792</v>
      </c>
      <c r="ES41" s="114">
        <v>1243.89718552556</v>
      </c>
      <c r="ET41" s="114">
        <v>1336.6299821534801</v>
      </c>
      <c r="EU41" s="112"/>
      <c r="EV41" s="113">
        <v>913.95354401999998</v>
      </c>
      <c r="EW41" s="113">
        <v>835.02797720000001</v>
      </c>
      <c r="EX41" s="113">
        <v>820.46024374000001</v>
      </c>
      <c r="EY41" s="113">
        <v>808.14900776000002</v>
      </c>
      <c r="EZ41" s="112"/>
      <c r="FA41" s="115">
        <v>176</v>
      </c>
      <c r="FB41" s="115">
        <v>147</v>
      </c>
      <c r="FC41" s="115">
        <v>159</v>
      </c>
      <c r="FD41" s="115">
        <v>125</v>
      </c>
      <c r="FE41" s="112"/>
      <c r="FF41" s="115">
        <v>166</v>
      </c>
      <c r="FG41" s="115">
        <v>152</v>
      </c>
      <c r="FH41" s="115">
        <v>154</v>
      </c>
      <c r="FI41" s="115">
        <v>162</v>
      </c>
      <c r="FJ41" s="112"/>
      <c r="FK41" s="115">
        <v>43</v>
      </c>
      <c r="FL41" s="115">
        <v>56</v>
      </c>
      <c r="FM41" s="115">
        <v>52</v>
      </c>
      <c r="FN41" s="115">
        <v>37</v>
      </c>
      <c r="FO41" s="112"/>
      <c r="FP41" s="115">
        <v>16</v>
      </c>
      <c r="FQ41" s="115">
        <v>14</v>
      </c>
      <c r="FR41" s="115">
        <v>22</v>
      </c>
      <c r="FS41" s="115">
        <v>26</v>
      </c>
      <c r="FT41" s="112"/>
      <c r="FU41" s="113">
        <v>261.96801289000001</v>
      </c>
      <c r="FV41" s="113">
        <v>197.94454239999999</v>
      </c>
      <c r="FW41" s="113">
        <v>187.05189249</v>
      </c>
      <c r="FX41" s="113">
        <v>135.21439763999999</v>
      </c>
      <c r="FY41" s="112"/>
      <c r="FZ41" s="113">
        <v>241.34531052</v>
      </c>
      <c r="GA41" s="113">
        <v>200.27610093999999</v>
      </c>
      <c r="GB41" s="113">
        <v>179.21543613</v>
      </c>
      <c r="GC41" s="113">
        <v>182.32852389999999</v>
      </c>
      <c r="GD41" s="112"/>
      <c r="GE41" s="113">
        <v>65.874747769999999</v>
      </c>
      <c r="GF41" s="113">
        <v>75.102298989999994</v>
      </c>
      <c r="GG41" s="113">
        <v>57.729233720000003</v>
      </c>
      <c r="GH41" s="113">
        <v>38.68074146</v>
      </c>
      <c r="GI41" s="112"/>
      <c r="GJ41" s="113" t="s">
        <v>46</v>
      </c>
      <c r="GK41" s="113" t="s">
        <v>46</v>
      </c>
      <c r="GL41" s="113">
        <v>34.954350310000002</v>
      </c>
      <c r="GM41" s="113">
        <v>38.163708409999998</v>
      </c>
      <c r="GN41" s="112"/>
      <c r="GO41" s="113">
        <v>1162.30821212</v>
      </c>
      <c r="GP41" s="113">
        <v>1047.07640006</v>
      </c>
      <c r="GQ41" s="113">
        <v>1027.5623707300001</v>
      </c>
      <c r="GR41" s="113">
        <v>1050.07845101</v>
      </c>
      <c r="GS41" s="112"/>
      <c r="GT41" s="113">
        <v>727.06112251000002</v>
      </c>
      <c r="GU41" s="113">
        <v>665.50323346000005</v>
      </c>
      <c r="GV41" s="113">
        <v>662.70747935999998</v>
      </c>
      <c r="GW41" s="113">
        <v>599.98815126</v>
      </c>
      <c r="GX41" s="112"/>
      <c r="GY41" s="112"/>
      <c r="GZ41" s="112"/>
      <c r="HA41" s="112"/>
      <c r="HB41" s="112"/>
      <c r="HC41" s="112"/>
      <c r="HD41" s="115">
        <v>157</v>
      </c>
      <c r="HE41" s="115">
        <v>0</v>
      </c>
      <c r="HF41" s="115">
        <v>1</v>
      </c>
      <c r="HG41" s="115">
        <v>0</v>
      </c>
      <c r="HH41" s="115">
        <v>0</v>
      </c>
      <c r="HI41" s="114">
        <v>26.109660574412533</v>
      </c>
      <c r="HJ41" s="114">
        <v>29.616724738675959</v>
      </c>
      <c r="HK41" s="113">
        <v>22.813688212927758</v>
      </c>
      <c r="HL41" s="112">
        <v>17</v>
      </c>
      <c r="HM41" s="112">
        <v>19</v>
      </c>
      <c r="HN41" s="112">
        <v>22</v>
      </c>
      <c r="HO41" s="112">
        <v>33</v>
      </c>
      <c r="HP41" s="112"/>
      <c r="HQ41" s="112">
        <v>27</v>
      </c>
      <c r="HR41" s="112">
        <v>31</v>
      </c>
      <c r="HS41" s="112">
        <v>35</v>
      </c>
      <c r="HT41" s="112">
        <v>59</v>
      </c>
      <c r="HU41" s="117"/>
    </row>
    <row r="42" spans="1:229" x14ac:dyDescent="0.2">
      <c r="A42" s="93">
        <v>39</v>
      </c>
      <c r="B42" s="98" t="s">
        <v>106</v>
      </c>
      <c r="C42" s="99">
        <v>4327</v>
      </c>
      <c r="D42" s="99">
        <v>4095</v>
      </c>
      <c r="E42" s="99">
        <v>3985</v>
      </c>
      <c r="F42" s="99">
        <v>3880</v>
      </c>
      <c r="G42" s="99">
        <v>4045</v>
      </c>
      <c r="H42" s="99">
        <v>1908</v>
      </c>
      <c r="I42" s="99">
        <v>1892</v>
      </c>
      <c r="J42" s="99">
        <v>1888</v>
      </c>
      <c r="K42" s="99">
        <v>1851</v>
      </c>
      <c r="L42" s="99">
        <v>1784</v>
      </c>
      <c r="M42" s="100">
        <v>30.247578040904198</v>
      </c>
      <c r="N42" s="100">
        <v>32.14149866869532</v>
      </c>
      <c r="O42" s="101">
        <v>33.359344518142805</v>
      </c>
      <c r="P42" s="101">
        <v>34.869494290375201</v>
      </c>
      <c r="Q42" s="102">
        <v>31.760154738878143</v>
      </c>
      <c r="R42" s="100">
        <v>25.008970218873337</v>
      </c>
      <c r="S42" s="100">
        <v>23.621148725751237</v>
      </c>
      <c r="T42" s="100">
        <v>22.122512680452594</v>
      </c>
      <c r="U42" s="100">
        <v>23.368678629690049</v>
      </c>
      <c r="V42" s="100">
        <v>24.719535783365572</v>
      </c>
      <c r="W42" s="100">
        <v>55.256548259777539</v>
      </c>
      <c r="X42" s="100">
        <v>55.76264739444656</v>
      </c>
      <c r="Y42" s="100">
        <v>55.481857198595399</v>
      </c>
      <c r="Z42" s="100">
        <v>58.238172920065253</v>
      </c>
      <c r="AA42" s="100">
        <v>56.479690522243715</v>
      </c>
      <c r="AB42" s="100" t="s">
        <v>170</v>
      </c>
      <c r="AC42" s="100">
        <v>5.3</v>
      </c>
      <c r="AD42" s="100">
        <v>6.2</v>
      </c>
      <c r="AE42" s="100">
        <v>7.8</v>
      </c>
      <c r="AF42" s="100">
        <v>6.4</v>
      </c>
      <c r="AG42" s="99">
        <v>58.5</v>
      </c>
      <c r="AH42" s="99">
        <v>60.25</v>
      </c>
      <c r="AI42" s="104">
        <v>69.833333333333329</v>
      </c>
      <c r="AJ42" s="104">
        <v>107.25</v>
      </c>
      <c r="AK42" s="105">
        <v>136.83333333333334</v>
      </c>
      <c r="AL42" s="106">
        <v>4158</v>
      </c>
      <c r="AM42" s="106">
        <v>18</v>
      </c>
      <c r="AN42" s="106">
        <v>91</v>
      </c>
      <c r="AO42" s="106">
        <v>14</v>
      </c>
      <c r="AP42" s="106">
        <v>0</v>
      </c>
      <c r="AQ42" s="106">
        <v>30</v>
      </c>
      <c r="AR42" s="106">
        <v>3874</v>
      </c>
      <c r="AS42" s="106">
        <v>14</v>
      </c>
      <c r="AT42" s="106">
        <v>28</v>
      </c>
      <c r="AU42" s="106">
        <v>33</v>
      </c>
      <c r="AV42" s="106">
        <v>83</v>
      </c>
      <c r="AW42" s="106">
        <v>35</v>
      </c>
      <c r="AX42" s="107">
        <v>24677</v>
      </c>
      <c r="AY42" s="107">
        <v>25304</v>
      </c>
      <c r="AZ42" s="107">
        <v>25389</v>
      </c>
      <c r="BA42" s="107">
        <v>30559</v>
      </c>
      <c r="BB42" s="107">
        <v>30922</v>
      </c>
      <c r="BC42" s="107">
        <v>37403</v>
      </c>
      <c r="BD42" s="107">
        <v>39846</v>
      </c>
      <c r="BE42" s="107">
        <v>40436</v>
      </c>
      <c r="BF42" s="108">
        <v>40435</v>
      </c>
      <c r="BG42" s="108">
        <v>40118</v>
      </c>
      <c r="BH42" s="100">
        <v>10</v>
      </c>
      <c r="BI42" s="100">
        <v>10.9</v>
      </c>
      <c r="BJ42" s="100">
        <v>11.2</v>
      </c>
      <c r="BK42" s="100">
        <v>12.1</v>
      </c>
      <c r="BL42" s="100">
        <v>11.7</v>
      </c>
      <c r="BM42" s="100">
        <v>13.1</v>
      </c>
      <c r="BN42" s="109">
        <v>14.5</v>
      </c>
      <c r="BO42" s="109">
        <v>15.3</v>
      </c>
      <c r="BP42" s="109">
        <v>18</v>
      </c>
      <c r="BQ42" s="100">
        <v>16.600000000000001</v>
      </c>
      <c r="BR42" s="106">
        <v>550</v>
      </c>
      <c r="BS42" s="118">
        <v>536</v>
      </c>
      <c r="BT42" s="118">
        <v>551</v>
      </c>
      <c r="BU42" s="110">
        <v>523</v>
      </c>
      <c r="BV42" s="100">
        <v>38.545454545454547</v>
      </c>
      <c r="BW42" s="100">
        <v>43.283582089552233</v>
      </c>
      <c r="BX42" s="100">
        <v>48.820326678765881</v>
      </c>
      <c r="BY42" s="103">
        <v>48.948374760994263</v>
      </c>
      <c r="BZ42" s="100">
        <v>0</v>
      </c>
      <c r="CA42" s="100">
        <v>0</v>
      </c>
      <c r="CB42" s="100">
        <v>0</v>
      </c>
      <c r="CC42" s="103">
        <v>0</v>
      </c>
      <c r="CD42" s="100">
        <v>13.636363636363635</v>
      </c>
      <c r="CE42" s="100">
        <v>15.671641791044777</v>
      </c>
      <c r="CF42" s="100">
        <v>15.789473684210526</v>
      </c>
      <c r="CG42" s="103">
        <v>16.061185468451242</v>
      </c>
      <c r="CH42" s="100">
        <v>87.5</v>
      </c>
      <c r="CI42" s="105">
        <v>94</v>
      </c>
      <c r="CJ42" s="111">
        <v>98.18</v>
      </c>
      <c r="CK42" s="111">
        <v>85.714285714285708</v>
      </c>
      <c r="CL42" s="112">
        <v>277</v>
      </c>
      <c r="CM42" s="112">
        <v>183</v>
      </c>
      <c r="CN42" s="112">
        <v>201</v>
      </c>
      <c r="CO42" s="112">
        <v>183</v>
      </c>
      <c r="CP42" s="112"/>
      <c r="CQ42" s="113">
        <v>12.753222836095764</v>
      </c>
      <c r="CR42" s="113">
        <v>8.0112069342905929</v>
      </c>
      <c r="CS42" s="113">
        <v>9.1139929264532515</v>
      </c>
      <c r="CT42" s="113">
        <v>9.0005902026362392</v>
      </c>
      <c r="CU42" s="112"/>
      <c r="CV42" s="114">
        <v>3.7174721189591078</v>
      </c>
      <c r="CW42" s="114">
        <v>2.2857142857142856</v>
      </c>
      <c r="CX42" s="114">
        <v>6.1538461538461542</v>
      </c>
      <c r="CY42" s="114">
        <v>3.3898305084745761</v>
      </c>
      <c r="CZ42" s="112"/>
      <c r="DA42" s="113">
        <v>7.0038910505836576</v>
      </c>
      <c r="DB42" s="113">
        <v>3.5087719298245612</v>
      </c>
      <c r="DC42" s="113">
        <v>10.778443113772456</v>
      </c>
      <c r="DD42" s="113">
        <v>6.962025316455696</v>
      </c>
      <c r="DE42" s="112"/>
      <c r="DF42" s="113">
        <v>85.18518518518519</v>
      </c>
      <c r="DG42" s="113">
        <v>82.681564245810051</v>
      </c>
      <c r="DH42" s="113">
        <v>80.612244897959187</v>
      </c>
      <c r="DI42" s="113">
        <v>77.348066298342545</v>
      </c>
      <c r="DJ42" s="112"/>
      <c r="DK42" s="114">
        <v>12.653061224489797</v>
      </c>
      <c r="DL42" s="114">
        <v>7.7922077922077921</v>
      </c>
      <c r="DM42" s="114">
        <v>14.07035175879397</v>
      </c>
      <c r="DN42" s="114">
        <v>14.835164835164836</v>
      </c>
      <c r="DO42" s="112"/>
      <c r="DP42" s="113">
        <v>24.548736462093864</v>
      </c>
      <c r="DQ42" s="113">
        <v>27.3224043715847</v>
      </c>
      <c r="DR42" s="113">
        <v>32.338308457711442</v>
      </c>
      <c r="DS42" s="113">
        <v>29.508196721311474</v>
      </c>
      <c r="DT42" s="112"/>
      <c r="DU42" s="115">
        <v>2</v>
      </c>
      <c r="DV42" s="115">
        <v>0</v>
      </c>
      <c r="DW42" s="115">
        <v>3</v>
      </c>
      <c r="DX42" s="115">
        <v>2</v>
      </c>
      <c r="DY42" s="112"/>
      <c r="DZ42" s="116">
        <v>2.08</v>
      </c>
      <c r="EA42" s="116">
        <v>2</v>
      </c>
      <c r="EB42" s="116">
        <v>0</v>
      </c>
      <c r="EC42" s="116">
        <v>0</v>
      </c>
      <c r="ED42" s="112"/>
      <c r="EE42" s="113">
        <v>96</v>
      </c>
      <c r="EF42" s="113">
        <v>0</v>
      </c>
      <c r="EG42" s="113">
        <v>0</v>
      </c>
      <c r="EH42" s="113">
        <v>4</v>
      </c>
      <c r="EI42" s="113">
        <v>0</v>
      </c>
      <c r="EJ42" s="113" t="s">
        <v>46</v>
      </c>
      <c r="EK42" s="113"/>
      <c r="EL42" s="115">
        <v>206</v>
      </c>
      <c r="EM42" s="115">
        <v>219</v>
      </c>
      <c r="EN42" s="115">
        <v>234</v>
      </c>
      <c r="EO42" s="115">
        <v>213</v>
      </c>
      <c r="EP42" s="112"/>
      <c r="EQ42" s="114">
        <v>948.43462246777165</v>
      </c>
      <c r="ER42" s="114">
        <v>958.71820689051356</v>
      </c>
      <c r="ES42" s="114">
        <v>1061.0320123333636</v>
      </c>
      <c r="ET42" s="114">
        <v>1047.6096793232343</v>
      </c>
      <c r="EU42" s="112"/>
      <c r="EV42" s="113">
        <v>791.21044145999997</v>
      </c>
      <c r="EW42" s="113">
        <v>787.50653417000001</v>
      </c>
      <c r="EX42" s="113">
        <v>739.34953500999995</v>
      </c>
      <c r="EY42" s="113">
        <v>635.92599299000005</v>
      </c>
      <c r="EZ42" s="112"/>
      <c r="FA42" s="115">
        <v>80</v>
      </c>
      <c r="FB42" s="115">
        <v>50</v>
      </c>
      <c r="FC42" s="115">
        <v>58</v>
      </c>
      <c r="FD42" s="115">
        <v>65</v>
      </c>
      <c r="FE42" s="112"/>
      <c r="FF42" s="115">
        <v>48</v>
      </c>
      <c r="FG42" s="115">
        <v>56</v>
      </c>
      <c r="FH42" s="115">
        <v>58</v>
      </c>
      <c r="FI42" s="115">
        <v>54</v>
      </c>
      <c r="FJ42" s="112"/>
      <c r="FK42" s="115">
        <v>10</v>
      </c>
      <c r="FL42" s="115">
        <v>29</v>
      </c>
      <c r="FM42" s="115">
        <v>23</v>
      </c>
      <c r="FN42" s="115">
        <v>11</v>
      </c>
      <c r="FO42" s="112"/>
      <c r="FP42" s="115">
        <v>8</v>
      </c>
      <c r="FQ42" s="115">
        <v>15</v>
      </c>
      <c r="FR42" s="115">
        <v>15</v>
      </c>
      <c r="FS42" s="115">
        <v>15</v>
      </c>
      <c r="FT42" s="112"/>
      <c r="FU42" s="113">
        <v>300.83696629999997</v>
      </c>
      <c r="FV42" s="113">
        <v>175.73068943999999</v>
      </c>
      <c r="FW42" s="113">
        <v>170.94164362999999</v>
      </c>
      <c r="FX42" s="113">
        <v>185.61328982000001</v>
      </c>
      <c r="FY42" s="112"/>
      <c r="FZ42" s="113">
        <v>183.10232384</v>
      </c>
      <c r="GA42" s="113">
        <v>198.05490932000001</v>
      </c>
      <c r="GB42" s="113">
        <v>179.76567831</v>
      </c>
      <c r="GC42" s="113">
        <v>164.16089013000001</v>
      </c>
      <c r="GD42" s="112"/>
      <c r="GE42" s="113" t="s">
        <v>46</v>
      </c>
      <c r="GF42" s="113">
        <v>100.18528841</v>
      </c>
      <c r="GG42" s="113">
        <v>68.882386170000004</v>
      </c>
      <c r="GH42" s="113" t="s">
        <v>46</v>
      </c>
      <c r="GI42" s="112"/>
      <c r="GJ42" s="113" t="s">
        <v>46</v>
      </c>
      <c r="GK42" s="113" t="s">
        <v>46</v>
      </c>
      <c r="GL42" s="113" t="s">
        <v>46</v>
      </c>
      <c r="GM42" s="113" t="s">
        <v>46</v>
      </c>
      <c r="GN42" s="112"/>
      <c r="GO42" s="113">
        <v>982.19187521000003</v>
      </c>
      <c r="GP42" s="113">
        <v>923.20726182999999</v>
      </c>
      <c r="GQ42" s="113">
        <v>848.49302338999996</v>
      </c>
      <c r="GR42" s="113">
        <v>744.62359900000001</v>
      </c>
      <c r="GS42" s="112"/>
      <c r="GT42" s="113">
        <v>637.72239894999996</v>
      </c>
      <c r="GU42" s="113">
        <v>656.24388729999998</v>
      </c>
      <c r="GV42" s="113">
        <v>635.2668827</v>
      </c>
      <c r="GW42" s="113">
        <v>536.50763877999998</v>
      </c>
      <c r="GX42" s="112"/>
      <c r="GY42" s="112"/>
      <c r="GZ42" s="112"/>
      <c r="HA42" s="112"/>
      <c r="HB42" s="112"/>
      <c r="HC42" s="112"/>
      <c r="HD42" s="115">
        <v>39</v>
      </c>
      <c r="HE42" s="115">
        <v>0</v>
      </c>
      <c r="HF42" s="115">
        <v>2</v>
      </c>
      <c r="HG42" s="115">
        <v>0</v>
      </c>
      <c r="HH42" s="115">
        <v>0</v>
      </c>
      <c r="HI42" s="114">
        <v>38.155802861685217</v>
      </c>
      <c r="HJ42" s="114">
        <v>32.808398950131235</v>
      </c>
      <c r="HK42" s="113" t="s">
        <v>46</v>
      </c>
      <c r="HL42" s="112">
        <v>10</v>
      </c>
      <c r="HM42" s="112">
        <v>4</v>
      </c>
      <c r="HN42" s="112">
        <v>12</v>
      </c>
      <c r="HO42" s="112">
        <v>6</v>
      </c>
      <c r="HP42" s="112"/>
      <c r="HQ42" s="112">
        <v>18</v>
      </c>
      <c r="HR42" s="112">
        <v>6</v>
      </c>
      <c r="HS42" s="112">
        <v>18</v>
      </c>
      <c r="HT42" s="112">
        <v>11</v>
      </c>
      <c r="HU42" s="117"/>
    </row>
    <row r="43" spans="1:229" x14ac:dyDescent="0.2">
      <c r="A43" s="93">
        <v>40</v>
      </c>
      <c r="B43" s="98" t="s">
        <v>107</v>
      </c>
      <c r="C43" s="99">
        <v>27895</v>
      </c>
      <c r="D43" s="99">
        <v>28034</v>
      </c>
      <c r="E43" s="99">
        <v>28042</v>
      </c>
      <c r="F43" s="99">
        <v>28059</v>
      </c>
      <c r="G43" s="99">
        <v>27703</v>
      </c>
      <c r="H43" s="99">
        <v>10947</v>
      </c>
      <c r="I43" s="99">
        <v>10991</v>
      </c>
      <c r="J43" s="99">
        <v>11034</v>
      </c>
      <c r="K43" s="99">
        <v>11055</v>
      </c>
      <c r="L43" s="99">
        <v>10758</v>
      </c>
      <c r="M43" s="100">
        <v>20.315403812456857</v>
      </c>
      <c r="N43" s="100">
        <v>20.762485295690301</v>
      </c>
      <c r="O43" s="101">
        <v>21.305326331582897</v>
      </c>
      <c r="P43" s="101">
        <v>22.24950884086444</v>
      </c>
      <c r="Q43" s="102">
        <v>22.238380222607528</v>
      </c>
      <c r="R43" s="100">
        <v>27.802261986937822</v>
      </c>
      <c r="S43" s="100">
        <v>29.135921291840443</v>
      </c>
      <c r="T43" s="100">
        <v>28.957239309827461</v>
      </c>
      <c r="U43" s="100">
        <v>30.877537655533725</v>
      </c>
      <c r="V43" s="100">
        <v>32.708764472285921</v>
      </c>
      <c r="W43" s="100">
        <v>48.117665799394679</v>
      </c>
      <c r="X43" s="100">
        <v>49.898406587530744</v>
      </c>
      <c r="Y43" s="100">
        <v>50.262565641410347</v>
      </c>
      <c r="Z43" s="100">
        <v>53.127046496398165</v>
      </c>
      <c r="AA43" s="100">
        <v>54.947144694893453</v>
      </c>
      <c r="AB43" s="100" t="s">
        <v>172</v>
      </c>
      <c r="AC43" s="100">
        <v>6.2</v>
      </c>
      <c r="AD43" s="100">
        <v>7.4</v>
      </c>
      <c r="AE43" s="100">
        <v>10.9</v>
      </c>
      <c r="AF43" s="100">
        <v>9.6</v>
      </c>
      <c r="AG43" s="99">
        <v>361.5</v>
      </c>
      <c r="AH43" s="99">
        <v>376.66666666666669</v>
      </c>
      <c r="AI43" s="104">
        <v>409.25</v>
      </c>
      <c r="AJ43" s="104">
        <v>504.33333333333331</v>
      </c>
      <c r="AK43" s="105">
        <v>588</v>
      </c>
      <c r="AL43" s="106">
        <v>27421</v>
      </c>
      <c r="AM43" s="106">
        <v>70</v>
      </c>
      <c r="AN43" s="106">
        <v>101</v>
      </c>
      <c r="AO43" s="106">
        <v>114</v>
      </c>
      <c r="AP43" s="106">
        <v>0</v>
      </c>
      <c r="AQ43" s="106">
        <v>1161</v>
      </c>
      <c r="AR43" s="106">
        <v>26443</v>
      </c>
      <c r="AS43" s="106">
        <v>94</v>
      </c>
      <c r="AT43" s="106">
        <v>81</v>
      </c>
      <c r="AU43" s="106">
        <v>166</v>
      </c>
      <c r="AV43" s="106">
        <v>309</v>
      </c>
      <c r="AW43" s="106">
        <v>1444</v>
      </c>
      <c r="AX43" s="107">
        <v>29813</v>
      </c>
      <c r="AY43" s="107">
        <v>30118</v>
      </c>
      <c r="AZ43" s="107">
        <v>30834</v>
      </c>
      <c r="BA43" s="107">
        <v>34042</v>
      </c>
      <c r="BB43" s="107">
        <v>33763</v>
      </c>
      <c r="BC43" s="107">
        <v>51965</v>
      </c>
      <c r="BD43" s="107">
        <v>52695</v>
      </c>
      <c r="BE43" s="107">
        <v>55984</v>
      </c>
      <c r="BF43" s="108">
        <v>56755</v>
      </c>
      <c r="BG43" s="108">
        <v>53213</v>
      </c>
      <c r="BH43" s="100">
        <v>7.4</v>
      </c>
      <c r="BI43" s="100">
        <v>5.9</v>
      </c>
      <c r="BJ43" s="100">
        <v>7.5</v>
      </c>
      <c r="BK43" s="100">
        <v>7.7</v>
      </c>
      <c r="BL43" s="100">
        <v>8.4</v>
      </c>
      <c r="BM43" s="100">
        <v>8.8000000000000007</v>
      </c>
      <c r="BN43" s="109">
        <v>7.8</v>
      </c>
      <c r="BO43" s="109">
        <v>9.1</v>
      </c>
      <c r="BP43" s="109">
        <v>9.8000000000000007</v>
      </c>
      <c r="BQ43" s="100">
        <v>10.7</v>
      </c>
      <c r="BR43" s="106">
        <v>4557</v>
      </c>
      <c r="BS43" s="118">
        <v>4388</v>
      </c>
      <c r="BT43" s="118">
        <v>4364</v>
      </c>
      <c r="BU43" s="110">
        <v>4314</v>
      </c>
      <c r="BV43" s="100">
        <v>28.439763001974981</v>
      </c>
      <c r="BW43" s="100">
        <v>27.438468550592525</v>
      </c>
      <c r="BX43" s="100">
        <v>32.057745187901013</v>
      </c>
      <c r="BY43" s="103">
        <v>32.985628187297173</v>
      </c>
      <c r="BZ43" s="100">
        <v>5.9688391485626511</v>
      </c>
      <c r="CA43" s="100">
        <v>5.4694621695533279</v>
      </c>
      <c r="CB43" s="100">
        <v>5.3391384051329052</v>
      </c>
      <c r="CC43" s="103">
        <v>4.6824292999536397</v>
      </c>
      <c r="CD43" s="100">
        <v>17.116524028966428</v>
      </c>
      <c r="CE43" s="100">
        <v>16.522333637192343</v>
      </c>
      <c r="CF43" s="100">
        <v>15.284142988084326</v>
      </c>
      <c r="CG43" s="103">
        <v>15.136764024107556</v>
      </c>
      <c r="CH43" s="100">
        <v>84.948979591836732</v>
      </c>
      <c r="CI43" s="105">
        <v>81.39</v>
      </c>
      <c r="CJ43" s="111">
        <v>76.81</v>
      </c>
      <c r="CK43" s="111">
        <v>84.514435695538054</v>
      </c>
      <c r="CL43" s="112">
        <v>1606</v>
      </c>
      <c r="CM43" s="112">
        <v>1546</v>
      </c>
      <c r="CN43" s="112">
        <v>1688</v>
      </c>
      <c r="CO43" s="112">
        <v>1799</v>
      </c>
      <c r="CP43" s="112"/>
      <c r="CQ43" s="113">
        <v>13.451262207481113</v>
      </c>
      <c r="CR43" s="113">
        <v>12.288371353628488</v>
      </c>
      <c r="CS43" s="113">
        <v>12.674861274844755</v>
      </c>
      <c r="CT43" s="113">
        <v>12.874553612961863</v>
      </c>
      <c r="CU43" s="112"/>
      <c r="CV43" s="114">
        <v>4.0592783505154637</v>
      </c>
      <c r="CW43" s="114">
        <v>3.6617842876165114</v>
      </c>
      <c r="CX43" s="114">
        <v>4.5759609517998783</v>
      </c>
      <c r="CY43" s="114">
        <v>4.3403769274700172</v>
      </c>
      <c r="CZ43" s="112"/>
      <c r="DA43" s="113">
        <v>6.3829787234042552</v>
      </c>
      <c r="DB43" s="113">
        <v>7.5836431226765804</v>
      </c>
      <c r="DC43" s="113">
        <v>8.4112149532710276</v>
      </c>
      <c r="DD43" s="113">
        <v>7.5539568345323742</v>
      </c>
      <c r="DE43" s="112"/>
      <c r="DF43" s="113">
        <v>82.836787564766837</v>
      </c>
      <c r="DG43" s="113">
        <v>82.617874736101342</v>
      </c>
      <c r="DH43" s="113">
        <v>84.694494857834243</v>
      </c>
      <c r="DI43" s="113">
        <v>88.733183856502237</v>
      </c>
      <c r="DJ43" s="112"/>
      <c r="DK43" s="114">
        <v>13.581890812250332</v>
      </c>
      <c r="DL43" s="114">
        <v>15.096952908587257</v>
      </c>
      <c r="DM43" s="114">
        <v>11.300121506682867</v>
      </c>
      <c r="DN43" s="114">
        <v>8.561835478455512</v>
      </c>
      <c r="DO43" s="112"/>
      <c r="DP43" s="113">
        <v>21.446384039900249</v>
      </c>
      <c r="DQ43" s="113">
        <v>23.868046571798189</v>
      </c>
      <c r="DR43" s="113">
        <v>28.199052132701421</v>
      </c>
      <c r="DS43" s="113">
        <v>30.572540300166761</v>
      </c>
      <c r="DT43" s="112"/>
      <c r="DU43" s="115">
        <v>10</v>
      </c>
      <c r="DV43" s="115">
        <v>4</v>
      </c>
      <c r="DW43" s="115">
        <v>6</v>
      </c>
      <c r="DX43" s="115">
        <v>4</v>
      </c>
      <c r="DY43" s="112"/>
      <c r="DZ43" s="116">
        <v>5.36</v>
      </c>
      <c r="EA43" s="116">
        <v>5.2109181141439205</v>
      </c>
      <c r="EB43" s="116">
        <v>5.51</v>
      </c>
      <c r="EC43" s="116">
        <v>3.4120734908136483</v>
      </c>
      <c r="ED43" s="112"/>
      <c r="EE43" s="113">
        <v>89.766081871345023</v>
      </c>
      <c r="EF43" s="113">
        <v>0.58479532163742687</v>
      </c>
      <c r="EG43" s="113">
        <v>0</v>
      </c>
      <c r="EH43" s="113">
        <v>1.7543859649122806</v>
      </c>
      <c r="EI43" s="113">
        <v>7.8947368421052628</v>
      </c>
      <c r="EJ43" s="113">
        <v>22.910479422995333</v>
      </c>
      <c r="EK43" s="113"/>
      <c r="EL43" s="115">
        <v>1034</v>
      </c>
      <c r="EM43" s="115">
        <v>1076</v>
      </c>
      <c r="EN43" s="115">
        <v>1068</v>
      </c>
      <c r="EO43" s="115">
        <v>1010</v>
      </c>
      <c r="EP43" s="112"/>
      <c r="EQ43" s="114">
        <v>866.04016952275663</v>
      </c>
      <c r="ER43" s="114">
        <v>855.25792862252604</v>
      </c>
      <c r="ES43" s="114">
        <v>801.94027497240518</v>
      </c>
      <c r="ET43" s="114">
        <v>722.80706776495174</v>
      </c>
      <c r="EU43" s="112"/>
      <c r="EV43" s="113">
        <v>745.44691166999905</v>
      </c>
      <c r="EW43" s="113">
        <v>714.53365798000004</v>
      </c>
      <c r="EX43" s="113">
        <v>676.89062577000004</v>
      </c>
      <c r="EY43" s="113">
        <v>606.15821040000003</v>
      </c>
      <c r="EZ43" s="112"/>
      <c r="FA43" s="115">
        <v>337</v>
      </c>
      <c r="FB43" s="115">
        <v>294</v>
      </c>
      <c r="FC43" s="115">
        <v>282</v>
      </c>
      <c r="FD43" s="115">
        <v>246</v>
      </c>
      <c r="FE43" s="112"/>
      <c r="FF43" s="115">
        <v>249</v>
      </c>
      <c r="FG43" s="115">
        <v>252</v>
      </c>
      <c r="FH43" s="115">
        <v>268</v>
      </c>
      <c r="FI43" s="115">
        <v>265</v>
      </c>
      <c r="FJ43" s="112"/>
      <c r="FK43" s="115">
        <v>83</v>
      </c>
      <c r="FL43" s="115">
        <v>86</v>
      </c>
      <c r="FM43" s="115">
        <v>57</v>
      </c>
      <c r="FN43" s="115">
        <v>54</v>
      </c>
      <c r="FO43" s="112"/>
      <c r="FP43" s="115">
        <v>57</v>
      </c>
      <c r="FQ43" s="115">
        <v>54</v>
      </c>
      <c r="FR43" s="115">
        <v>55</v>
      </c>
      <c r="FS43" s="115">
        <v>47</v>
      </c>
      <c r="FT43" s="112"/>
      <c r="FU43" s="113">
        <v>236.07790936999999</v>
      </c>
      <c r="FV43" s="113">
        <v>191.71305853999999</v>
      </c>
      <c r="FW43" s="113">
        <v>172.46507266</v>
      </c>
      <c r="FX43" s="113">
        <v>143.63400533999999</v>
      </c>
      <c r="FY43" s="112"/>
      <c r="FZ43" s="113">
        <v>184.58498319</v>
      </c>
      <c r="GA43" s="113">
        <v>174.551157969999</v>
      </c>
      <c r="GB43" s="113">
        <v>177.33708174</v>
      </c>
      <c r="GC43" s="113">
        <v>164.49875951999999</v>
      </c>
      <c r="GD43" s="112"/>
      <c r="GE43" s="113">
        <v>57.422088940000002</v>
      </c>
      <c r="GF43" s="113">
        <v>54.136601990000003</v>
      </c>
      <c r="GG43" s="113">
        <v>33.5998491</v>
      </c>
      <c r="GH43" s="113">
        <v>31.32326334</v>
      </c>
      <c r="GI43" s="112"/>
      <c r="GJ43" s="113">
        <v>42.246254839999999</v>
      </c>
      <c r="GK43" s="113">
        <v>38.47665001</v>
      </c>
      <c r="GL43" s="113">
        <v>39.321432510000001</v>
      </c>
      <c r="GM43" s="113">
        <v>30.43129716</v>
      </c>
      <c r="GN43" s="112"/>
      <c r="GO43" s="113">
        <v>935.38637905999997</v>
      </c>
      <c r="GP43" s="113">
        <v>903.14231658000006</v>
      </c>
      <c r="GQ43" s="113">
        <v>851.74397163000003</v>
      </c>
      <c r="GR43" s="113">
        <v>766.13711286</v>
      </c>
      <c r="GS43" s="112"/>
      <c r="GT43" s="113">
        <v>599.56425430000002</v>
      </c>
      <c r="GU43" s="113">
        <v>561.70140258000004</v>
      </c>
      <c r="GV43" s="113">
        <v>540.49450954999998</v>
      </c>
      <c r="GW43" s="113">
        <v>482.86827585999998</v>
      </c>
      <c r="GX43" s="112"/>
      <c r="GY43" s="112"/>
      <c r="GZ43" s="112"/>
      <c r="HA43" s="112"/>
      <c r="HB43" s="112"/>
      <c r="HC43" s="112"/>
      <c r="HD43" s="115">
        <v>197</v>
      </c>
      <c r="HE43" s="115">
        <v>0</v>
      </c>
      <c r="HF43" s="115">
        <v>0</v>
      </c>
      <c r="HG43" s="115">
        <v>1</v>
      </c>
      <c r="HH43" s="115">
        <v>6</v>
      </c>
      <c r="HI43" s="114">
        <v>33.401849948612536</v>
      </c>
      <c r="HJ43" s="114">
        <v>31.431646932185146</v>
      </c>
      <c r="HK43" s="113">
        <v>24.611143925969678</v>
      </c>
      <c r="HL43" s="112">
        <v>63</v>
      </c>
      <c r="HM43" s="112">
        <v>55</v>
      </c>
      <c r="HN43" s="112">
        <v>75</v>
      </c>
      <c r="HO43" s="112">
        <v>76</v>
      </c>
      <c r="HP43" s="112"/>
      <c r="HQ43" s="112">
        <v>90</v>
      </c>
      <c r="HR43" s="112">
        <v>102</v>
      </c>
      <c r="HS43" s="112">
        <v>126</v>
      </c>
      <c r="HT43" s="112">
        <v>126</v>
      </c>
      <c r="HU43" s="117"/>
    </row>
    <row r="44" spans="1:229" x14ac:dyDescent="0.2">
      <c r="A44" s="93">
        <v>41</v>
      </c>
      <c r="B44" s="98" t="s">
        <v>108</v>
      </c>
      <c r="C44" s="99">
        <v>5963</v>
      </c>
      <c r="D44" s="99">
        <v>5877</v>
      </c>
      <c r="E44" s="99">
        <v>5837</v>
      </c>
      <c r="F44" s="99">
        <v>5723</v>
      </c>
      <c r="G44" s="99">
        <v>5896</v>
      </c>
      <c r="H44" s="99">
        <v>2586</v>
      </c>
      <c r="I44" s="99">
        <v>2581</v>
      </c>
      <c r="J44" s="99">
        <v>2570</v>
      </c>
      <c r="K44" s="99">
        <v>2556</v>
      </c>
      <c r="L44" s="99">
        <v>2574</v>
      </c>
      <c r="M44" s="100">
        <v>42.811501597444092</v>
      </c>
      <c r="N44" s="100">
        <v>42.798714577855684</v>
      </c>
      <c r="O44" s="101">
        <v>43.465405085748074</v>
      </c>
      <c r="P44" s="101">
        <v>43.8039457459926</v>
      </c>
      <c r="Q44" s="102">
        <v>43.078758949880665</v>
      </c>
      <c r="R44" s="100">
        <v>30.380482137670633</v>
      </c>
      <c r="S44" s="100">
        <v>28.892784107508035</v>
      </c>
      <c r="T44" s="100">
        <v>29.124778237729153</v>
      </c>
      <c r="U44" s="100">
        <v>32.614056720098645</v>
      </c>
      <c r="V44" s="100">
        <v>32.816229116945109</v>
      </c>
      <c r="W44" s="100">
        <v>73.191983735114732</v>
      </c>
      <c r="X44" s="100">
        <v>71.691498685363726</v>
      </c>
      <c r="Y44" s="100">
        <v>72.590183323477234</v>
      </c>
      <c r="Z44" s="100">
        <v>76.418002466091252</v>
      </c>
      <c r="AA44" s="100">
        <v>75.894988066825775</v>
      </c>
      <c r="AB44" s="100" t="s">
        <v>176</v>
      </c>
      <c r="AC44" s="100">
        <v>4.5999999999999996</v>
      </c>
      <c r="AD44" s="100">
        <v>5</v>
      </c>
      <c r="AE44" s="100">
        <v>6.1</v>
      </c>
      <c r="AF44" s="100">
        <v>5.3</v>
      </c>
      <c r="AG44" s="99">
        <v>92.333333333333329</v>
      </c>
      <c r="AH44" s="99">
        <v>82.333333333333329</v>
      </c>
      <c r="AI44" s="104">
        <v>82.25</v>
      </c>
      <c r="AJ44" s="104">
        <v>84.25</v>
      </c>
      <c r="AK44" s="105">
        <v>101.91666666666667</v>
      </c>
      <c r="AL44" s="106">
        <v>5917</v>
      </c>
      <c r="AM44" s="106">
        <v>5</v>
      </c>
      <c r="AN44" s="106">
        <v>19</v>
      </c>
      <c r="AO44" s="106">
        <v>15</v>
      </c>
      <c r="AP44" s="106">
        <v>0</v>
      </c>
      <c r="AQ44" s="106">
        <v>55</v>
      </c>
      <c r="AR44" s="106">
        <v>5777</v>
      </c>
      <c r="AS44" s="106">
        <v>8</v>
      </c>
      <c r="AT44" s="106">
        <v>9</v>
      </c>
      <c r="AU44" s="106">
        <v>14</v>
      </c>
      <c r="AV44" s="106">
        <v>45</v>
      </c>
      <c r="AW44" s="106">
        <v>72</v>
      </c>
      <c r="AX44" s="107">
        <v>29359</v>
      </c>
      <c r="AY44" s="107">
        <v>29190</v>
      </c>
      <c r="AZ44" s="107">
        <v>32723</v>
      </c>
      <c r="BA44" s="107">
        <v>34680</v>
      </c>
      <c r="BB44" s="107">
        <v>37211</v>
      </c>
      <c r="BC44" s="107">
        <v>35083</v>
      </c>
      <c r="BD44" s="107">
        <v>38548</v>
      </c>
      <c r="BE44" s="107">
        <v>38112</v>
      </c>
      <c r="BF44" s="108">
        <v>43000</v>
      </c>
      <c r="BG44" s="108">
        <v>41263</v>
      </c>
      <c r="BH44" s="100">
        <v>10.199999999999999</v>
      </c>
      <c r="BI44" s="100">
        <v>9.6999999999999993</v>
      </c>
      <c r="BJ44" s="100">
        <v>12.5</v>
      </c>
      <c r="BK44" s="100">
        <v>10</v>
      </c>
      <c r="BL44" s="100">
        <v>9.1999999999999993</v>
      </c>
      <c r="BM44" s="100">
        <v>12.2</v>
      </c>
      <c r="BN44" s="109">
        <v>12.6</v>
      </c>
      <c r="BO44" s="109">
        <v>14.3</v>
      </c>
      <c r="BP44" s="109">
        <v>13.1</v>
      </c>
      <c r="BQ44" s="100">
        <v>12.7</v>
      </c>
      <c r="BR44" s="106">
        <v>1071</v>
      </c>
      <c r="BS44" s="118">
        <v>983</v>
      </c>
      <c r="BT44" s="118">
        <v>950</v>
      </c>
      <c r="BU44" s="110">
        <v>944</v>
      </c>
      <c r="BV44" s="100">
        <v>36.507936507936506</v>
      </c>
      <c r="BW44" s="100">
        <v>38.453713123092577</v>
      </c>
      <c r="BX44" s="100">
        <v>39.368421052631582</v>
      </c>
      <c r="BY44" s="103">
        <v>39.08898305084746</v>
      </c>
      <c r="BZ44" s="100">
        <v>0.46685340802987862</v>
      </c>
      <c r="CA44" s="100">
        <v>0.71210579857578837</v>
      </c>
      <c r="CB44" s="100">
        <v>0.73684210526315785</v>
      </c>
      <c r="CC44" s="103">
        <v>0</v>
      </c>
      <c r="CD44" s="100">
        <v>13.725490196078432</v>
      </c>
      <c r="CE44" s="100">
        <v>14.547304170905392</v>
      </c>
      <c r="CF44" s="100">
        <v>15.473684210526315</v>
      </c>
      <c r="CG44" s="103">
        <v>15.572033898305085</v>
      </c>
      <c r="CH44" s="100">
        <v>90.322580645161295</v>
      </c>
      <c r="CI44" s="105">
        <v>81.010000000000005</v>
      </c>
      <c r="CJ44" s="111">
        <v>73.2</v>
      </c>
      <c r="CK44" s="111">
        <v>81.17647058823529</v>
      </c>
      <c r="CL44" s="112">
        <v>337</v>
      </c>
      <c r="CM44" s="112">
        <v>346</v>
      </c>
      <c r="CN44" s="112">
        <v>341</v>
      </c>
      <c r="CO44" s="112">
        <v>333</v>
      </c>
      <c r="CP44" s="112"/>
      <c r="CQ44" s="113">
        <v>9.879511008179179</v>
      </c>
      <c r="CR44" s="113">
        <v>10.629473748886364</v>
      </c>
      <c r="CS44" s="113">
        <v>11.019550815963807</v>
      </c>
      <c r="CT44" s="113">
        <v>11.366739486619334</v>
      </c>
      <c r="CU44" s="112"/>
      <c r="CV44" s="114">
        <v>4.5731707317073171</v>
      </c>
      <c r="CW44" s="114">
        <v>6.2314540059347179</v>
      </c>
      <c r="CX44" s="114">
        <v>6.3063063063063067</v>
      </c>
      <c r="CY44" s="114">
        <v>5.3797468354430382</v>
      </c>
      <c r="CZ44" s="112"/>
      <c r="DA44" s="113">
        <v>6.8181818181818183</v>
      </c>
      <c r="DB44" s="113">
        <v>8.6816720257234721</v>
      </c>
      <c r="DC44" s="113">
        <v>9.1803278688524586</v>
      </c>
      <c r="DD44" s="113">
        <v>11.929824561403509</v>
      </c>
      <c r="DE44" s="112"/>
      <c r="DF44" s="113">
        <v>84.662576687116569</v>
      </c>
      <c r="DG44" s="113">
        <v>83.333333333333329</v>
      </c>
      <c r="DH44" s="113">
        <v>82.30088495575221</v>
      </c>
      <c r="DI44" s="113">
        <v>82.608695652173907</v>
      </c>
      <c r="DJ44" s="112"/>
      <c r="DK44" s="114">
        <v>14.375</v>
      </c>
      <c r="DL44" s="114">
        <v>17.888563049853371</v>
      </c>
      <c r="DM44" s="114">
        <v>12.979351032448378</v>
      </c>
      <c r="DN44" s="114">
        <v>15.615615615615615</v>
      </c>
      <c r="DO44" s="112"/>
      <c r="DP44" s="113">
        <v>16.91394658753709</v>
      </c>
      <c r="DQ44" s="113">
        <v>16.811594202898551</v>
      </c>
      <c r="DR44" s="113">
        <v>14.956011730205278</v>
      </c>
      <c r="DS44" s="113">
        <v>21.921921921921921</v>
      </c>
      <c r="DT44" s="112"/>
      <c r="DU44" s="115">
        <v>1</v>
      </c>
      <c r="DV44" s="115">
        <v>0</v>
      </c>
      <c r="DW44" s="115">
        <v>1</v>
      </c>
      <c r="DX44" s="115">
        <v>1</v>
      </c>
      <c r="DY44" s="112"/>
      <c r="DZ44" s="116">
        <v>1.08</v>
      </c>
      <c r="EA44" s="116">
        <v>2.5316455696202533</v>
      </c>
      <c r="EB44" s="116">
        <v>0</v>
      </c>
      <c r="EC44" s="116">
        <v>4.7058823529411766</v>
      </c>
      <c r="ED44" s="112"/>
      <c r="EE44" s="113">
        <v>100</v>
      </c>
      <c r="EF44" s="113">
        <v>0</v>
      </c>
      <c r="EG44" s="113">
        <v>0</v>
      </c>
      <c r="EH44" s="113">
        <v>0</v>
      </c>
      <c r="EI44" s="113">
        <v>0</v>
      </c>
      <c r="EJ44" s="113" t="s">
        <v>46</v>
      </c>
      <c r="EK44" s="113"/>
      <c r="EL44" s="115">
        <v>547</v>
      </c>
      <c r="EM44" s="115">
        <v>502</v>
      </c>
      <c r="EN44" s="115">
        <v>514</v>
      </c>
      <c r="EO44" s="115">
        <v>434</v>
      </c>
      <c r="EP44" s="112"/>
      <c r="EQ44" s="114">
        <v>1603.5882853038609</v>
      </c>
      <c r="ER44" s="114">
        <v>1542.1953242603913</v>
      </c>
      <c r="ES44" s="114">
        <v>1661.011471966392</v>
      </c>
      <c r="ET44" s="114">
        <v>1481.4309120699072</v>
      </c>
      <c r="EU44" s="112"/>
      <c r="EV44" s="113">
        <v>842.99169668000002</v>
      </c>
      <c r="EW44" s="113">
        <v>757.15761347</v>
      </c>
      <c r="EX44" s="113">
        <v>793.12275432000001</v>
      </c>
      <c r="EY44" s="113">
        <v>657.30105206999997</v>
      </c>
      <c r="EZ44" s="112"/>
      <c r="FA44" s="115">
        <v>152</v>
      </c>
      <c r="FB44" s="115">
        <v>132</v>
      </c>
      <c r="FC44" s="115">
        <v>116</v>
      </c>
      <c r="FD44" s="115">
        <v>116</v>
      </c>
      <c r="FE44" s="112"/>
      <c r="FF44" s="115">
        <v>165</v>
      </c>
      <c r="FG44" s="115">
        <v>108</v>
      </c>
      <c r="FH44" s="115">
        <v>113</v>
      </c>
      <c r="FI44" s="115">
        <v>96</v>
      </c>
      <c r="FJ44" s="112"/>
      <c r="FK44" s="115">
        <v>56</v>
      </c>
      <c r="FL44" s="115">
        <v>68</v>
      </c>
      <c r="FM44" s="115">
        <v>48</v>
      </c>
      <c r="FN44" s="115">
        <v>36</v>
      </c>
      <c r="FO44" s="112"/>
      <c r="FP44" s="115">
        <v>20</v>
      </c>
      <c r="FQ44" s="115">
        <v>23</v>
      </c>
      <c r="FR44" s="115">
        <v>33</v>
      </c>
      <c r="FS44" s="115">
        <v>16</v>
      </c>
      <c r="FT44" s="112"/>
      <c r="FU44" s="113">
        <v>215.46916607</v>
      </c>
      <c r="FV44" s="113">
        <v>193.51026404999999</v>
      </c>
      <c r="FW44" s="113">
        <v>159.67112746000001</v>
      </c>
      <c r="FX44" s="113">
        <v>169.66576979999999</v>
      </c>
      <c r="FY44" s="112"/>
      <c r="FZ44" s="113">
        <v>272.46338098000001</v>
      </c>
      <c r="GA44" s="113">
        <v>184.41754435999999</v>
      </c>
      <c r="GB44" s="113">
        <v>197.08648678</v>
      </c>
      <c r="GC44" s="113">
        <v>163.42842938999999</v>
      </c>
      <c r="GD44" s="112"/>
      <c r="GE44" s="113">
        <v>70.917187400000003</v>
      </c>
      <c r="GF44" s="113">
        <v>91.187154949999993</v>
      </c>
      <c r="GG44" s="113">
        <v>65.165458430000001</v>
      </c>
      <c r="GH44" s="113">
        <v>45.873683589999999</v>
      </c>
      <c r="GI44" s="112"/>
      <c r="GJ44" s="113" t="s">
        <v>46</v>
      </c>
      <c r="GK44" s="113">
        <v>53.482036119999997</v>
      </c>
      <c r="GL44" s="113">
        <v>79.550531039999996</v>
      </c>
      <c r="GM44" s="113" t="s">
        <v>46</v>
      </c>
      <c r="GN44" s="112"/>
      <c r="GO44" s="113">
        <v>1068.6017871199999</v>
      </c>
      <c r="GP44" s="113">
        <v>918.33563217000005</v>
      </c>
      <c r="GQ44" s="113">
        <v>1044.47644702</v>
      </c>
      <c r="GR44" s="113">
        <v>816.33667222999998</v>
      </c>
      <c r="GS44" s="112"/>
      <c r="GT44" s="113">
        <v>672.57837486999995</v>
      </c>
      <c r="GU44" s="113">
        <v>632.35487494999995</v>
      </c>
      <c r="GV44" s="113">
        <v>599.59745207000003</v>
      </c>
      <c r="GW44" s="113">
        <v>526.41733612999997</v>
      </c>
      <c r="GX44" s="112"/>
      <c r="GY44" s="112"/>
      <c r="GZ44" s="112"/>
      <c r="HA44" s="112"/>
      <c r="HB44" s="112"/>
      <c r="HC44" s="112"/>
      <c r="HD44" s="115">
        <v>89</v>
      </c>
      <c r="HE44" s="115">
        <v>0</v>
      </c>
      <c r="HF44" s="115">
        <v>0</v>
      </c>
      <c r="HG44" s="115">
        <v>0</v>
      </c>
      <c r="HH44" s="115">
        <v>0</v>
      </c>
      <c r="HI44" s="114">
        <v>20.590868397493285</v>
      </c>
      <c r="HJ44" s="114">
        <v>19.524617996604416</v>
      </c>
      <c r="HK44" s="113" t="s">
        <v>46</v>
      </c>
      <c r="HL44" s="112">
        <v>15</v>
      </c>
      <c r="HM44" s="112">
        <v>21</v>
      </c>
      <c r="HN44" s="112">
        <v>21</v>
      </c>
      <c r="HO44" s="112">
        <v>17</v>
      </c>
      <c r="HP44" s="112"/>
      <c r="HQ44" s="112">
        <v>21</v>
      </c>
      <c r="HR44" s="112">
        <v>27</v>
      </c>
      <c r="HS44" s="112">
        <v>28</v>
      </c>
      <c r="HT44" s="112">
        <v>34</v>
      </c>
      <c r="HU44" s="117"/>
    </row>
    <row r="45" spans="1:229" ht="21" customHeight="1" x14ac:dyDescent="0.2">
      <c r="A45" s="93">
        <v>42</v>
      </c>
      <c r="B45" s="98" t="s">
        <v>109</v>
      </c>
      <c r="C45" s="99">
        <v>24640</v>
      </c>
      <c r="D45" s="99">
        <v>24695</v>
      </c>
      <c r="E45" s="99">
        <v>24844</v>
      </c>
      <c r="F45" s="99">
        <v>25074</v>
      </c>
      <c r="G45" s="99">
        <v>25857</v>
      </c>
      <c r="H45" s="99">
        <v>9895</v>
      </c>
      <c r="I45" s="99">
        <v>9933</v>
      </c>
      <c r="J45" s="99">
        <v>9943</v>
      </c>
      <c r="K45" s="99">
        <v>10055</v>
      </c>
      <c r="L45" s="99">
        <v>10227</v>
      </c>
      <c r="M45" s="100">
        <v>22.160068846815832</v>
      </c>
      <c r="N45" s="100">
        <v>22.247369708832885</v>
      </c>
      <c r="O45" s="101">
        <v>22.565320665083135</v>
      </c>
      <c r="P45" s="101">
        <v>22.135179449808707</v>
      </c>
      <c r="Q45" s="102">
        <v>20.563314439315139</v>
      </c>
      <c r="R45" s="100">
        <v>29.302925989672978</v>
      </c>
      <c r="S45" s="100">
        <v>28.810863714215806</v>
      </c>
      <c r="T45" s="100">
        <v>28.747183141482431</v>
      </c>
      <c r="U45" s="100">
        <v>30.132993259245765</v>
      </c>
      <c r="V45" s="100">
        <v>30.532343832174369</v>
      </c>
      <c r="W45" s="100">
        <v>51.462994836488818</v>
      </c>
      <c r="X45" s="100">
        <v>51.058233423048691</v>
      </c>
      <c r="Y45" s="100">
        <v>51.312503806565566</v>
      </c>
      <c r="Z45" s="100">
        <v>52.268172709054475</v>
      </c>
      <c r="AA45" s="100">
        <v>51.095658271489512</v>
      </c>
      <c r="AB45" s="100" t="s">
        <v>179</v>
      </c>
      <c r="AC45" s="100">
        <v>3.8</v>
      </c>
      <c r="AD45" s="100">
        <v>4.4000000000000004</v>
      </c>
      <c r="AE45" s="100">
        <v>6</v>
      </c>
      <c r="AF45" s="100">
        <v>5.5</v>
      </c>
      <c r="AG45" s="99">
        <v>476.58333333333331</v>
      </c>
      <c r="AH45" s="99">
        <v>502.08333333333331</v>
      </c>
      <c r="AI45" s="104">
        <v>531.5</v>
      </c>
      <c r="AJ45" s="104">
        <v>704.58333333333337</v>
      </c>
      <c r="AK45" s="105">
        <v>852.16666666666663</v>
      </c>
      <c r="AL45" s="106">
        <v>23555</v>
      </c>
      <c r="AM45" s="106">
        <v>332</v>
      </c>
      <c r="AN45" s="106">
        <v>90</v>
      </c>
      <c r="AO45" s="106">
        <v>477</v>
      </c>
      <c r="AP45" s="106">
        <v>0</v>
      </c>
      <c r="AQ45" s="106">
        <v>1168</v>
      </c>
      <c r="AR45" s="106">
        <v>23360</v>
      </c>
      <c r="AS45" s="106">
        <v>587</v>
      </c>
      <c r="AT45" s="106">
        <v>114</v>
      </c>
      <c r="AU45" s="106">
        <v>686</v>
      </c>
      <c r="AV45" s="106">
        <v>402</v>
      </c>
      <c r="AW45" s="106">
        <v>1541</v>
      </c>
      <c r="AX45" s="107">
        <v>31838</v>
      </c>
      <c r="AY45" s="107">
        <v>32162</v>
      </c>
      <c r="AZ45" s="107">
        <v>34358</v>
      </c>
      <c r="BA45" s="107">
        <v>38212</v>
      </c>
      <c r="BB45" s="107">
        <v>38187</v>
      </c>
      <c r="BC45" s="107">
        <v>42124</v>
      </c>
      <c r="BD45" s="107">
        <v>45022</v>
      </c>
      <c r="BE45" s="107">
        <v>47244</v>
      </c>
      <c r="BF45" s="108">
        <v>45984</v>
      </c>
      <c r="BG45" s="108">
        <v>46783</v>
      </c>
      <c r="BH45" s="100">
        <v>9.8000000000000007</v>
      </c>
      <c r="BI45" s="100">
        <v>10.4</v>
      </c>
      <c r="BJ45" s="100">
        <v>11.3</v>
      </c>
      <c r="BK45" s="100">
        <v>10.5</v>
      </c>
      <c r="BL45" s="100">
        <v>11.7</v>
      </c>
      <c r="BM45" s="100">
        <v>11</v>
      </c>
      <c r="BN45" s="109">
        <v>11.5</v>
      </c>
      <c r="BO45" s="109">
        <v>11.8</v>
      </c>
      <c r="BP45" s="109">
        <v>11.5</v>
      </c>
      <c r="BQ45" s="100">
        <v>13.5</v>
      </c>
      <c r="BR45" s="106">
        <v>4374</v>
      </c>
      <c r="BS45" s="118">
        <v>4326</v>
      </c>
      <c r="BT45" s="118">
        <v>4312</v>
      </c>
      <c r="BU45" s="110">
        <v>4318</v>
      </c>
      <c r="BV45" s="100">
        <v>35.093735711019661</v>
      </c>
      <c r="BW45" s="100">
        <v>34.766527970411467</v>
      </c>
      <c r="BX45" s="100">
        <v>38.659554730983302</v>
      </c>
      <c r="BY45" s="103">
        <v>40.134321445113478</v>
      </c>
      <c r="BZ45" s="100">
        <v>9.7850937357110208</v>
      </c>
      <c r="CA45" s="100">
        <v>8.8534442903374941</v>
      </c>
      <c r="CB45" s="100">
        <v>8.6502782931354361</v>
      </c>
      <c r="CC45" s="103">
        <v>10.3056970819824</v>
      </c>
      <c r="CD45" s="100">
        <v>13.557384545038866</v>
      </c>
      <c r="CE45" s="100">
        <v>14.771151178918169</v>
      </c>
      <c r="CF45" s="100">
        <v>16.025046382189238</v>
      </c>
      <c r="CG45" s="103">
        <v>17.438628994905049</v>
      </c>
      <c r="CH45" s="100">
        <v>86.818181818181813</v>
      </c>
      <c r="CI45" s="105">
        <v>87.1</v>
      </c>
      <c r="CJ45" s="111">
        <v>88.24</v>
      </c>
      <c r="CK45" s="111">
        <v>84.905660377358487</v>
      </c>
      <c r="CL45" s="112">
        <v>1799</v>
      </c>
      <c r="CM45" s="112">
        <v>1692</v>
      </c>
      <c r="CN45" s="112">
        <v>1595</v>
      </c>
      <c r="CO45" s="112">
        <v>1864</v>
      </c>
      <c r="CP45" s="112"/>
      <c r="CQ45" s="113">
        <v>14.490068785540538</v>
      </c>
      <c r="CR45" s="113">
        <v>13.719400951925337</v>
      </c>
      <c r="CS45" s="113">
        <v>12.809290148491394</v>
      </c>
      <c r="CT45" s="113">
        <v>14.898888977699624</v>
      </c>
      <c r="CU45" s="112"/>
      <c r="CV45" s="114">
        <v>2.8768699654775602</v>
      </c>
      <c r="CW45" s="114">
        <v>3.9417828987265011</v>
      </c>
      <c r="CX45" s="114">
        <v>4.372990353697749</v>
      </c>
      <c r="CY45" s="114">
        <v>4.7330764997248211</v>
      </c>
      <c r="CZ45" s="112"/>
      <c r="DA45" s="113">
        <v>7.4502247912652537</v>
      </c>
      <c r="DB45" s="113">
        <v>9.9582172701949858</v>
      </c>
      <c r="DC45" s="113">
        <v>9.7722263041880968</v>
      </c>
      <c r="DD45" s="113">
        <v>8.2061068702290072</v>
      </c>
      <c r="DE45" s="112"/>
      <c r="DF45" s="113">
        <v>81.884498480243167</v>
      </c>
      <c r="DG45" s="113">
        <v>81.466666666666669</v>
      </c>
      <c r="DH45" s="113">
        <v>80.304955527318938</v>
      </c>
      <c r="DI45" s="113">
        <v>83.451665756417256</v>
      </c>
      <c r="DJ45" s="112"/>
      <c r="DK45" s="114">
        <v>9.9083619702176406</v>
      </c>
      <c r="DL45" s="114">
        <v>12.350835322195705</v>
      </c>
      <c r="DM45" s="114">
        <v>11.146095717884132</v>
      </c>
      <c r="DN45" s="114">
        <v>12.103281334050564</v>
      </c>
      <c r="DO45" s="112"/>
      <c r="DP45" s="113">
        <v>20.956086714841579</v>
      </c>
      <c r="DQ45" s="113">
        <v>23.59550561797753</v>
      </c>
      <c r="DR45" s="113">
        <v>24.514106583072099</v>
      </c>
      <c r="DS45" s="113">
        <v>32.778969957081543</v>
      </c>
      <c r="DT45" s="112"/>
      <c r="DU45" s="115">
        <v>5</v>
      </c>
      <c r="DV45" s="115">
        <v>8</v>
      </c>
      <c r="DW45" s="115">
        <v>11</v>
      </c>
      <c r="DX45" s="115">
        <v>13</v>
      </c>
      <c r="DY45" s="112"/>
      <c r="DZ45" s="116">
        <v>3.18</v>
      </c>
      <c r="EA45" s="116">
        <v>3.4739454094292803</v>
      </c>
      <c r="EB45" s="116">
        <v>2.56</v>
      </c>
      <c r="EC45" s="116">
        <v>3.2345013477088949</v>
      </c>
      <c r="ED45" s="112"/>
      <c r="EE45" s="113">
        <v>79.281767955801101</v>
      </c>
      <c r="EF45" s="113">
        <v>4.6961325966850831</v>
      </c>
      <c r="EG45" s="113">
        <v>0.27624309392265195</v>
      </c>
      <c r="EH45" s="113">
        <v>4.6961325966850831</v>
      </c>
      <c r="EI45" s="113">
        <v>13.259668508287293</v>
      </c>
      <c r="EJ45" s="113">
        <v>22.067144473783479</v>
      </c>
      <c r="EK45" s="113"/>
      <c r="EL45" s="115">
        <v>1164</v>
      </c>
      <c r="EM45" s="115">
        <v>1174</v>
      </c>
      <c r="EN45" s="115">
        <v>1149</v>
      </c>
      <c r="EO45" s="115">
        <v>1113</v>
      </c>
      <c r="EP45" s="112"/>
      <c r="EQ45" s="114">
        <v>937.54530663530772</v>
      </c>
      <c r="ER45" s="114">
        <v>951.92533791727817</v>
      </c>
      <c r="ES45" s="114">
        <v>922.75074486624533</v>
      </c>
      <c r="ET45" s="114">
        <v>889.61713691951081</v>
      </c>
      <c r="EU45" s="112"/>
      <c r="EV45" s="113">
        <v>768.14500444999999</v>
      </c>
      <c r="EW45" s="113">
        <v>740.67483926</v>
      </c>
      <c r="EX45" s="113">
        <v>700.66854610999997</v>
      </c>
      <c r="EY45" s="113">
        <v>672.96987034999995</v>
      </c>
      <c r="EZ45" s="112"/>
      <c r="FA45" s="115">
        <v>397</v>
      </c>
      <c r="FB45" s="115">
        <v>380</v>
      </c>
      <c r="FC45" s="115">
        <v>318</v>
      </c>
      <c r="FD45" s="115">
        <v>230</v>
      </c>
      <c r="FE45" s="112"/>
      <c r="FF45" s="115">
        <v>256</v>
      </c>
      <c r="FG45" s="115">
        <v>253</v>
      </c>
      <c r="FH45" s="115">
        <v>263</v>
      </c>
      <c r="FI45" s="115">
        <v>265</v>
      </c>
      <c r="FJ45" s="112"/>
      <c r="FK45" s="115">
        <v>125</v>
      </c>
      <c r="FL45" s="115">
        <v>130</v>
      </c>
      <c r="FM45" s="115">
        <v>107</v>
      </c>
      <c r="FN45" s="115">
        <v>70</v>
      </c>
      <c r="FO45" s="112"/>
      <c r="FP45" s="115">
        <v>70</v>
      </c>
      <c r="FQ45" s="115">
        <v>67</v>
      </c>
      <c r="FR45" s="115">
        <v>49</v>
      </c>
      <c r="FS45" s="115">
        <v>59</v>
      </c>
      <c r="FT45" s="112"/>
      <c r="FU45" s="113">
        <v>252.24908359</v>
      </c>
      <c r="FV45" s="113">
        <v>229.19680152999999</v>
      </c>
      <c r="FW45" s="113">
        <v>184.45364853999999</v>
      </c>
      <c r="FX45" s="113">
        <v>132.26144675</v>
      </c>
      <c r="FY45" s="112"/>
      <c r="FZ45" s="113">
        <v>181.58044362000001</v>
      </c>
      <c r="GA45" s="113">
        <v>169.94686243999899</v>
      </c>
      <c r="GB45" s="113">
        <v>174.79946139</v>
      </c>
      <c r="GC45" s="113">
        <v>173.550351629999</v>
      </c>
      <c r="GD45" s="112"/>
      <c r="GE45" s="113">
        <v>74.918165310000006</v>
      </c>
      <c r="GF45" s="113">
        <v>73.966308190000007</v>
      </c>
      <c r="GG45" s="113">
        <v>55.774912380000004</v>
      </c>
      <c r="GH45" s="113">
        <v>39.242697839999998</v>
      </c>
      <c r="GI45" s="112"/>
      <c r="GJ45" s="113">
        <v>50.237910149999998</v>
      </c>
      <c r="GK45" s="113">
        <v>50.246644750000002</v>
      </c>
      <c r="GL45" s="113">
        <v>34.547740429999998</v>
      </c>
      <c r="GM45" s="113">
        <v>40.647394730000002</v>
      </c>
      <c r="GN45" s="112"/>
      <c r="GO45" s="113">
        <v>973.70395788999997</v>
      </c>
      <c r="GP45" s="113">
        <v>965.05995948999998</v>
      </c>
      <c r="GQ45" s="113">
        <v>883.82344994000005</v>
      </c>
      <c r="GR45" s="113">
        <v>768.96814467000002</v>
      </c>
      <c r="GS45" s="112"/>
      <c r="GT45" s="113">
        <v>624.64747035000005</v>
      </c>
      <c r="GU45" s="113">
        <v>579.78487816999996</v>
      </c>
      <c r="GV45" s="113">
        <v>561.46147585999995</v>
      </c>
      <c r="GW45" s="113">
        <v>605.18944896000005</v>
      </c>
      <c r="GX45" s="112"/>
      <c r="GY45" s="112"/>
      <c r="GZ45" s="112"/>
      <c r="HA45" s="112"/>
      <c r="HB45" s="112"/>
      <c r="HC45" s="112"/>
      <c r="HD45" s="115">
        <v>205</v>
      </c>
      <c r="HE45" s="115">
        <v>0</v>
      </c>
      <c r="HF45" s="115">
        <v>0</v>
      </c>
      <c r="HG45" s="115">
        <v>0</v>
      </c>
      <c r="HH45" s="115">
        <v>0</v>
      </c>
      <c r="HI45" s="114">
        <v>34.153005464480877</v>
      </c>
      <c r="HJ45" s="114">
        <v>28.550645571922168</v>
      </c>
      <c r="HK45" s="113">
        <v>21.806853582554517</v>
      </c>
      <c r="HL45" s="112">
        <v>50</v>
      </c>
      <c r="HM45" s="112">
        <v>65</v>
      </c>
      <c r="HN45" s="112">
        <v>68</v>
      </c>
      <c r="HO45" s="112">
        <v>86</v>
      </c>
      <c r="HP45" s="112"/>
      <c r="HQ45" s="112">
        <v>116</v>
      </c>
      <c r="HR45" s="112">
        <v>143</v>
      </c>
      <c r="HS45" s="112">
        <v>133</v>
      </c>
      <c r="HT45" s="112">
        <v>129</v>
      </c>
      <c r="HU45" s="117"/>
    </row>
    <row r="46" spans="1:229" x14ac:dyDescent="0.2">
      <c r="A46" s="93">
        <v>43</v>
      </c>
      <c r="B46" s="98" t="s">
        <v>110</v>
      </c>
      <c r="C46" s="99">
        <v>37279</v>
      </c>
      <c r="D46" s="99">
        <v>37220</v>
      </c>
      <c r="E46" s="99">
        <v>37165</v>
      </c>
      <c r="F46" s="99">
        <v>36939</v>
      </c>
      <c r="G46" s="99">
        <v>36651</v>
      </c>
      <c r="H46" s="99">
        <v>14673</v>
      </c>
      <c r="I46" s="99">
        <v>14784</v>
      </c>
      <c r="J46" s="99">
        <v>14791</v>
      </c>
      <c r="K46" s="99">
        <v>14729</v>
      </c>
      <c r="L46" s="99">
        <v>14639</v>
      </c>
      <c r="M46" s="100">
        <v>20.8730515894121</v>
      </c>
      <c r="N46" s="100">
        <v>21.373447237010438</v>
      </c>
      <c r="O46" s="101">
        <v>21.991615125980658</v>
      </c>
      <c r="P46" s="101">
        <v>22.552078940710128</v>
      </c>
      <c r="Q46" s="102">
        <v>23.982365278431708</v>
      </c>
      <c r="R46" s="100">
        <v>31.640960602217405</v>
      </c>
      <c r="S46" s="100">
        <v>32.231439065659693</v>
      </c>
      <c r="T46" s="100">
        <v>32.277614046739444</v>
      </c>
      <c r="U46" s="100">
        <v>33.216665261027238</v>
      </c>
      <c r="V46" s="100">
        <v>32.893892051534479</v>
      </c>
      <c r="W46" s="100">
        <v>52.514012191629497</v>
      </c>
      <c r="X46" s="100">
        <v>53.604886302670131</v>
      </c>
      <c r="Y46" s="100">
        <v>54.269229172720102</v>
      </c>
      <c r="Z46" s="100">
        <v>55.76874420173737</v>
      </c>
      <c r="AA46" s="100">
        <v>56.876257329966187</v>
      </c>
      <c r="AB46" s="100">
        <v>4.0999999999999996</v>
      </c>
      <c r="AC46" s="100">
        <v>5</v>
      </c>
      <c r="AD46" s="100">
        <v>6</v>
      </c>
      <c r="AE46" s="100">
        <v>9.8000000000000007</v>
      </c>
      <c r="AF46" s="100">
        <v>9.1999999999999993</v>
      </c>
      <c r="AG46" s="99">
        <v>451.66666666666669</v>
      </c>
      <c r="AH46" s="99">
        <v>475.5</v>
      </c>
      <c r="AI46" s="104">
        <v>548.08333333333337</v>
      </c>
      <c r="AJ46" s="104">
        <v>769.5</v>
      </c>
      <c r="AK46" s="105">
        <v>934.66666666666663</v>
      </c>
      <c r="AL46" s="106">
        <v>36444</v>
      </c>
      <c r="AM46" s="106">
        <v>208</v>
      </c>
      <c r="AN46" s="106">
        <v>86</v>
      </c>
      <c r="AO46" s="106">
        <v>331</v>
      </c>
      <c r="AP46" s="106">
        <v>0</v>
      </c>
      <c r="AQ46" s="106">
        <v>1651</v>
      </c>
      <c r="AR46" s="106">
        <v>35159</v>
      </c>
      <c r="AS46" s="106">
        <v>199</v>
      </c>
      <c r="AT46" s="106">
        <v>101</v>
      </c>
      <c r="AU46" s="106">
        <v>284</v>
      </c>
      <c r="AV46" s="106">
        <v>361</v>
      </c>
      <c r="AW46" s="106">
        <v>1811</v>
      </c>
      <c r="AX46" s="107">
        <v>30713</v>
      </c>
      <c r="AY46" s="107">
        <v>30277</v>
      </c>
      <c r="AZ46" s="107">
        <v>31356</v>
      </c>
      <c r="BA46" s="107">
        <v>33351</v>
      </c>
      <c r="BB46" s="107">
        <v>33121</v>
      </c>
      <c r="BC46" s="107">
        <v>49846</v>
      </c>
      <c r="BD46" s="107">
        <v>52018</v>
      </c>
      <c r="BE46" s="107">
        <v>57355</v>
      </c>
      <c r="BF46" s="108">
        <v>55981</v>
      </c>
      <c r="BG46" s="108">
        <v>53315</v>
      </c>
      <c r="BH46" s="100">
        <v>6.4</v>
      </c>
      <c r="BI46" s="100">
        <v>6.1</v>
      </c>
      <c r="BJ46" s="100">
        <v>6.2</v>
      </c>
      <c r="BK46" s="100">
        <v>6.6</v>
      </c>
      <c r="BL46" s="100">
        <v>8</v>
      </c>
      <c r="BM46" s="100">
        <v>8.1999999999999993</v>
      </c>
      <c r="BN46" s="109">
        <v>8</v>
      </c>
      <c r="BO46" s="109">
        <v>8.1</v>
      </c>
      <c r="BP46" s="109">
        <v>8.1</v>
      </c>
      <c r="BQ46" s="100">
        <v>10.4</v>
      </c>
      <c r="BR46" s="106">
        <v>5700</v>
      </c>
      <c r="BS46" s="118">
        <v>5627</v>
      </c>
      <c r="BT46" s="118">
        <v>5450</v>
      </c>
      <c r="BU46" s="110">
        <v>5446</v>
      </c>
      <c r="BV46" s="100">
        <v>28.719298245614034</v>
      </c>
      <c r="BW46" s="100">
        <v>31.526568331259995</v>
      </c>
      <c r="BX46" s="100">
        <v>32</v>
      </c>
      <c r="BY46" s="103">
        <v>33.217040029379362</v>
      </c>
      <c r="BZ46" s="100">
        <v>3.5087719298245612</v>
      </c>
      <c r="CA46" s="100">
        <v>4.0163497423138441</v>
      </c>
      <c r="CB46" s="100">
        <v>3.5596330275229358</v>
      </c>
      <c r="CC46" s="103">
        <v>3.5071612192434816</v>
      </c>
      <c r="CD46" s="100">
        <v>12.666666666666668</v>
      </c>
      <c r="CE46" s="100">
        <v>12.742136129376222</v>
      </c>
      <c r="CF46" s="100">
        <v>13.834862385321101</v>
      </c>
      <c r="CG46" s="103">
        <v>13.918472273228057</v>
      </c>
      <c r="CH46" s="100">
        <v>79.120879120879124</v>
      </c>
      <c r="CI46" s="105">
        <v>80.19</v>
      </c>
      <c r="CJ46" s="111">
        <v>79.63</v>
      </c>
      <c r="CK46" s="111">
        <v>83.920704845814981</v>
      </c>
      <c r="CL46" s="112">
        <v>2297</v>
      </c>
      <c r="CM46" s="112">
        <v>2308</v>
      </c>
      <c r="CN46" s="112">
        <v>2602</v>
      </c>
      <c r="CO46" s="112">
        <v>2486</v>
      </c>
      <c r="CP46" s="112"/>
      <c r="CQ46" s="113">
        <v>14.023712712309365</v>
      </c>
      <c r="CR46" s="113">
        <v>13.513592636614341</v>
      </c>
      <c r="CS46" s="113">
        <v>14.515067331615178</v>
      </c>
      <c r="CT46" s="113">
        <v>13.419413346000626</v>
      </c>
      <c r="CU46" s="112"/>
      <c r="CV46" s="114">
        <v>3.360215053763441</v>
      </c>
      <c r="CW46" s="114">
        <v>3.1362007168458783</v>
      </c>
      <c r="CX46" s="114">
        <v>3.7839968466692944</v>
      </c>
      <c r="CY46" s="114">
        <v>4.220107571369466</v>
      </c>
      <c r="CZ46" s="112"/>
      <c r="DA46" s="113">
        <v>8.3098591549295779</v>
      </c>
      <c r="DB46" s="113">
        <v>6.6881918819188195</v>
      </c>
      <c r="DC46" s="113">
        <v>7.9473013174670637</v>
      </c>
      <c r="DD46" s="113">
        <v>8.1474738279472003</v>
      </c>
      <c r="DE46" s="112"/>
      <c r="DF46" s="113">
        <v>87.354260089686093</v>
      </c>
      <c r="DG46" s="113">
        <v>87.027987561083961</v>
      </c>
      <c r="DH46" s="113">
        <v>88.446676970633689</v>
      </c>
      <c r="DI46" s="113">
        <v>89.473684210526315</v>
      </c>
      <c r="DJ46" s="112"/>
      <c r="DK46" s="114">
        <v>12.261217236783652</v>
      </c>
      <c r="DL46" s="114">
        <v>10.517090271691499</v>
      </c>
      <c r="DM46" s="114">
        <v>11.261609907120743</v>
      </c>
      <c r="DN46" s="114">
        <v>11.429725363489499</v>
      </c>
      <c r="DO46" s="112"/>
      <c r="DP46" s="113">
        <v>18.67653461036134</v>
      </c>
      <c r="DQ46" s="113">
        <v>22.713480710879931</v>
      </c>
      <c r="DR46" s="113">
        <v>25.90315142198309</v>
      </c>
      <c r="DS46" s="113">
        <v>30.651649235720033</v>
      </c>
      <c r="DT46" s="112"/>
      <c r="DU46" s="115">
        <v>15</v>
      </c>
      <c r="DV46" s="115">
        <v>18</v>
      </c>
      <c r="DW46" s="115">
        <v>14</v>
      </c>
      <c r="DX46" s="115">
        <v>6</v>
      </c>
      <c r="DY46" s="112"/>
      <c r="DZ46" s="116">
        <v>8.24</v>
      </c>
      <c r="EA46" s="116">
        <v>4.2718446601941746</v>
      </c>
      <c r="EB46" s="116">
        <v>5.7</v>
      </c>
      <c r="EC46" s="116">
        <v>5.9471365638766516</v>
      </c>
      <c r="ED46" s="112"/>
      <c r="EE46" s="113">
        <v>91.555555555555557</v>
      </c>
      <c r="EF46" s="113">
        <v>0.22222222222222221</v>
      </c>
      <c r="EG46" s="113">
        <v>0.44444444444444442</v>
      </c>
      <c r="EH46" s="113">
        <v>0.66666666666666663</v>
      </c>
      <c r="EI46" s="113">
        <v>8.4257206208425721</v>
      </c>
      <c r="EJ46" s="113">
        <v>31.555855551805603</v>
      </c>
      <c r="EK46" s="113"/>
      <c r="EL46" s="115">
        <v>1509</v>
      </c>
      <c r="EM46" s="115">
        <v>1469</v>
      </c>
      <c r="EN46" s="115">
        <v>1462</v>
      </c>
      <c r="EO46" s="115">
        <v>1451</v>
      </c>
      <c r="EP46" s="112"/>
      <c r="EQ46" s="114">
        <v>921.27916773508184</v>
      </c>
      <c r="ER46" s="114">
        <v>860.11557986076548</v>
      </c>
      <c r="ES46" s="114">
        <v>815.56604299851608</v>
      </c>
      <c r="ET46" s="114">
        <v>783.24894469215235</v>
      </c>
      <c r="EU46" s="112"/>
      <c r="EV46" s="113">
        <v>785.03642807999995</v>
      </c>
      <c r="EW46" s="113">
        <v>722.34410787000002</v>
      </c>
      <c r="EX46" s="113">
        <v>676.17235014000005</v>
      </c>
      <c r="EY46" s="113">
        <v>626.07664379000005</v>
      </c>
      <c r="EZ46" s="112"/>
      <c r="FA46" s="115">
        <v>458</v>
      </c>
      <c r="FB46" s="115">
        <v>424</v>
      </c>
      <c r="FC46" s="115">
        <v>350</v>
      </c>
      <c r="FD46" s="115">
        <v>334</v>
      </c>
      <c r="FE46" s="112"/>
      <c r="FF46" s="115">
        <v>322</v>
      </c>
      <c r="FG46" s="115">
        <v>297</v>
      </c>
      <c r="FH46" s="115">
        <v>317</v>
      </c>
      <c r="FI46" s="115">
        <v>337</v>
      </c>
      <c r="FJ46" s="112"/>
      <c r="FK46" s="115">
        <v>175</v>
      </c>
      <c r="FL46" s="115">
        <v>165</v>
      </c>
      <c r="FM46" s="115">
        <v>126</v>
      </c>
      <c r="FN46" s="115">
        <v>86</v>
      </c>
      <c r="FO46" s="112"/>
      <c r="FP46" s="115">
        <v>67</v>
      </c>
      <c r="FQ46" s="115">
        <v>72</v>
      </c>
      <c r="FR46" s="115">
        <v>74</v>
      </c>
      <c r="FS46" s="115">
        <v>96</v>
      </c>
      <c r="FT46" s="112"/>
      <c r="FU46" s="113">
        <v>235.05111231000001</v>
      </c>
      <c r="FV46" s="113">
        <v>201.63007558999999</v>
      </c>
      <c r="FW46" s="113">
        <v>155.33784806</v>
      </c>
      <c r="FX46" s="113">
        <v>136.42142471</v>
      </c>
      <c r="FY46" s="112"/>
      <c r="FZ46" s="113">
        <v>176.64183392000001</v>
      </c>
      <c r="GA46" s="113">
        <v>156.43284118</v>
      </c>
      <c r="GB46" s="113">
        <v>158.07591926000001</v>
      </c>
      <c r="GC46" s="113">
        <v>155.5140352</v>
      </c>
      <c r="GD46" s="112"/>
      <c r="GE46" s="113">
        <v>85.563100500000004</v>
      </c>
      <c r="GF46" s="113">
        <v>75.656938199999999</v>
      </c>
      <c r="GG46" s="113">
        <v>54.694510510000001</v>
      </c>
      <c r="GH46" s="113">
        <v>34.703131769999999</v>
      </c>
      <c r="GI46" s="112"/>
      <c r="GJ46" s="113">
        <v>38.195649709999998</v>
      </c>
      <c r="GK46" s="113">
        <v>38.829071300000003</v>
      </c>
      <c r="GL46" s="113">
        <v>36.495218729999998</v>
      </c>
      <c r="GM46" s="113">
        <v>43.849399550000001</v>
      </c>
      <c r="GN46" s="112"/>
      <c r="GO46" s="113">
        <v>1063.11005411</v>
      </c>
      <c r="GP46" s="113">
        <v>883.49974571999996</v>
      </c>
      <c r="GQ46" s="113">
        <v>853.38890772000002</v>
      </c>
      <c r="GR46" s="113">
        <v>790.52636141999994</v>
      </c>
      <c r="GS46" s="112"/>
      <c r="GT46" s="113">
        <v>595.91430388000003</v>
      </c>
      <c r="GU46" s="113">
        <v>593.88299006</v>
      </c>
      <c r="GV46" s="113">
        <v>541.658276</v>
      </c>
      <c r="GW46" s="113">
        <v>503.24067616999997</v>
      </c>
      <c r="GX46" s="112"/>
      <c r="GY46" s="112"/>
      <c r="GZ46" s="112"/>
      <c r="HA46" s="112"/>
      <c r="HB46" s="112"/>
      <c r="HC46" s="112"/>
      <c r="HD46" s="115">
        <v>312</v>
      </c>
      <c r="HE46" s="115">
        <v>1</v>
      </c>
      <c r="HF46" s="115">
        <v>0</v>
      </c>
      <c r="HG46" s="115">
        <v>2</v>
      </c>
      <c r="HH46" s="115">
        <v>2</v>
      </c>
      <c r="HI46" s="114">
        <v>35.37516291193446</v>
      </c>
      <c r="HJ46" s="114">
        <v>32.921810699588477</v>
      </c>
      <c r="HK46" s="113">
        <v>34.070260448213205</v>
      </c>
      <c r="HL46" s="112">
        <v>75</v>
      </c>
      <c r="HM46" s="112">
        <v>70</v>
      </c>
      <c r="HN46" s="112">
        <v>96</v>
      </c>
      <c r="HO46" s="112">
        <v>102</v>
      </c>
      <c r="HP46" s="112"/>
      <c r="HQ46" s="112">
        <v>177</v>
      </c>
      <c r="HR46" s="112">
        <v>145</v>
      </c>
      <c r="HS46" s="112">
        <v>187</v>
      </c>
      <c r="HT46" s="112">
        <v>179</v>
      </c>
      <c r="HU46" s="117"/>
    </row>
    <row r="47" spans="1:229" x14ac:dyDescent="0.2">
      <c r="A47" s="93">
        <v>44</v>
      </c>
      <c r="B47" s="98" t="s">
        <v>111</v>
      </c>
      <c r="C47" s="99">
        <v>5072</v>
      </c>
      <c r="D47" s="99">
        <v>5129</v>
      </c>
      <c r="E47" s="99">
        <v>5128</v>
      </c>
      <c r="F47" s="99">
        <v>5025</v>
      </c>
      <c r="G47" s="99">
        <v>5413</v>
      </c>
      <c r="H47" s="99">
        <v>1997</v>
      </c>
      <c r="I47" s="99">
        <v>2002</v>
      </c>
      <c r="J47" s="99">
        <v>2014</v>
      </c>
      <c r="K47" s="99">
        <v>1997</v>
      </c>
      <c r="L47" s="99">
        <v>2019</v>
      </c>
      <c r="M47" s="100">
        <v>29.584026622296172</v>
      </c>
      <c r="N47" s="100">
        <v>28.345959595959595</v>
      </c>
      <c r="O47" s="101">
        <v>30.151415404871628</v>
      </c>
      <c r="P47" s="101">
        <v>29.70940170940171</v>
      </c>
      <c r="Q47" s="102">
        <v>26.743822333437599</v>
      </c>
      <c r="R47" s="100">
        <v>39.201331114808653</v>
      </c>
      <c r="S47" s="100">
        <v>33.554292929292927</v>
      </c>
      <c r="T47" s="100">
        <v>38.643844634628046</v>
      </c>
      <c r="U47" s="100">
        <v>42.085470085470085</v>
      </c>
      <c r="V47" s="100">
        <v>42.571160462934003</v>
      </c>
      <c r="W47" s="100">
        <v>68.785357737104817</v>
      </c>
      <c r="X47" s="100">
        <v>61.900252525252533</v>
      </c>
      <c r="Y47" s="100">
        <v>68.795260039499667</v>
      </c>
      <c r="Z47" s="100">
        <v>71.794871794871796</v>
      </c>
      <c r="AA47" s="100">
        <v>69.314982796371595</v>
      </c>
      <c r="AB47" s="100">
        <v>5.6</v>
      </c>
      <c r="AC47" s="100">
        <v>6.7</v>
      </c>
      <c r="AD47" s="100">
        <v>7.4</v>
      </c>
      <c r="AE47" s="100">
        <v>8</v>
      </c>
      <c r="AF47" s="100">
        <v>8.1</v>
      </c>
      <c r="AG47" s="99">
        <v>347.33333333333331</v>
      </c>
      <c r="AH47" s="99">
        <v>406.91666666666669</v>
      </c>
      <c r="AI47" s="104">
        <v>444.66666666666669</v>
      </c>
      <c r="AJ47" s="104">
        <v>496.66666666666669</v>
      </c>
      <c r="AK47" s="105">
        <v>602.41666666666663</v>
      </c>
      <c r="AL47" s="106">
        <v>3056</v>
      </c>
      <c r="AM47" s="106">
        <v>7</v>
      </c>
      <c r="AN47" s="106">
        <v>1517</v>
      </c>
      <c r="AO47" s="106">
        <v>10</v>
      </c>
      <c r="AP47" s="106">
        <v>0</v>
      </c>
      <c r="AQ47" s="106">
        <v>79</v>
      </c>
      <c r="AR47" s="106">
        <v>2713</v>
      </c>
      <c r="AS47" s="106">
        <v>11</v>
      </c>
      <c r="AT47" s="106">
        <v>2215</v>
      </c>
      <c r="AU47" s="106">
        <v>4</v>
      </c>
      <c r="AV47" s="106">
        <v>467</v>
      </c>
      <c r="AW47" s="106">
        <v>99</v>
      </c>
      <c r="AX47" s="107">
        <v>24305</v>
      </c>
      <c r="AY47" s="107">
        <v>24474</v>
      </c>
      <c r="AZ47" s="107">
        <v>28117</v>
      </c>
      <c r="BA47" s="107">
        <v>28557</v>
      </c>
      <c r="BB47" s="107">
        <v>29718</v>
      </c>
      <c r="BC47" s="107">
        <v>31903</v>
      </c>
      <c r="BD47" s="107">
        <v>34425</v>
      </c>
      <c r="BE47" s="107">
        <v>35104</v>
      </c>
      <c r="BF47" s="108">
        <v>34493</v>
      </c>
      <c r="BG47" s="108">
        <v>33834</v>
      </c>
      <c r="BH47" s="100">
        <v>18.2</v>
      </c>
      <c r="BI47" s="100">
        <v>17.899999999999999</v>
      </c>
      <c r="BJ47" s="100">
        <v>19</v>
      </c>
      <c r="BK47" s="100">
        <v>21.8</v>
      </c>
      <c r="BL47" s="100">
        <v>19.7</v>
      </c>
      <c r="BM47" s="100">
        <v>28.9</v>
      </c>
      <c r="BN47" s="109">
        <v>28.5</v>
      </c>
      <c r="BO47" s="109">
        <v>31.2</v>
      </c>
      <c r="BP47" s="109">
        <v>36.4</v>
      </c>
      <c r="BQ47" s="100">
        <v>35</v>
      </c>
      <c r="BR47" s="106">
        <v>1410</v>
      </c>
      <c r="BS47" s="118">
        <v>1314</v>
      </c>
      <c r="BT47" s="118">
        <v>1343</v>
      </c>
      <c r="BU47" s="110">
        <v>1355</v>
      </c>
      <c r="BV47" s="100">
        <v>60.780141843971634</v>
      </c>
      <c r="BW47" s="100">
        <v>66.742770167427707</v>
      </c>
      <c r="BX47" s="100">
        <v>70.364854802680568</v>
      </c>
      <c r="BY47" s="103">
        <v>73.284132841328415</v>
      </c>
      <c r="BZ47" s="100">
        <v>0</v>
      </c>
      <c r="CA47" s="100">
        <v>0</v>
      </c>
      <c r="CB47" s="100">
        <v>0</v>
      </c>
      <c r="CC47" s="103">
        <v>0</v>
      </c>
      <c r="CD47" s="100">
        <v>16.950354609929079</v>
      </c>
      <c r="CE47" s="100">
        <v>18.493150684931507</v>
      </c>
      <c r="CF47" s="100">
        <v>18.838421444527178</v>
      </c>
      <c r="CG47" s="103">
        <v>17.933579335793358</v>
      </c>
      <c r="CH47" s="100">
        <v>65.248226950354606</v>
      </c>
      <c r="CI47" s="105">
        <v>62.4</v>
      </c>
      <c r="CJ47" s="111">
        <v>69.39</v>
      </c>
      <c r="CK47" s="111">
        <v>61.467889908256879</v>
      </c>
      <c r="CL47" s="112">
        <v>368</v>
      </c>
      <c r="CM47" s="112">
        <v>382</v>
      </c>
      <c r="CN47" s="112">
        <v>428</v>
      </c>
      <c r="CO47" s="112">
        <v>489</v>
      </c>
      <c r="CP47" s="112"/>
      <c r="CQ47" s="113">
        <v>14.418367746738236</v>
      </c>
      <c r="CR47" s="113">
        <v>14.927122816615217</v>
      </c>
      <c r="CS47" s="113">
        <v>16.682907815240693</v>
      </c>
      <c r="CT47" s="113">
        <v>18.977762254045874</v>
      </c>
      <c r="CU47" s="112"/>
      <c r="CV47" s="114">
        <v>5.027932960893855</v>
      </c>
      <c r="CW47" s="114">
        <v>1.3661202185792349</v>
      </c>
      <c r="CX47" s="114">
        <v>3.6674816625916868</v>
      </c>
      <c r="CY47" s="114">
        <v>4.042553191489362</v>
      </c>
      <c r="CZ47" s="112"/>
      <c r="DA47" s="113">
        <v>9.7058823529411757</v>
      </c>
      <c r="DB47" s="113">
        <v>6.0790273556231007</v>
      </c>
      <c r="DC47" s="113">
        <v>8.5872576177285325</v>
      </c>
      <c r="DD47" s="113">
        <v>11.633663366336634</v>
      </c>
      <c r="DE47" s="112"/>
      <c r="DF47" s="113">
        <v>80.71625344352617</v>
      </c>
      <c r="DG47" s="113">
        <v>75.733333333333334</v>
      </c>
      <c r="DH47" s="113">
        <v>70.071258907363415</v>
      </c>
      <c r="DI47" s="113">
        <v>69.098712446351925</v>
      </c>
      <c r="DJ47" s="112"/>
      <c r="DK47" s="114">
        <v>32.13296398891967</v>
      </c>
      <c r="DL47" s="114">
        <v>38.419618528610357</v>
      </c>
      <c r="DM47" s="114">
        <v>40.669856459330141</v>
      </c>
      <c r="DN47" s="114">
        <v>43.28358208955224</v>
      </c>
      <c r="DO47" s="112"/>
      <c r="DP47" s="113">
        <v>46.739130434782609</v>
      </c>
      <c r="DQ47" s="113">
        <v>55.759162303664922</v>
      </c>
      <c r="DR47" s="113">
        <v>66.121495327102807</v>
      </c>
      <c r="DS47" s="113">
        <v>74.028629856850714</v>
      </c>
      <c r="DT47" s="112"/>
      <c r="DU47" s="115">
        <v>7</v>
      </c>
      <c r="DV47" s="115">
        <v>4</v>
      </c>
      <c r="DW47" s="115">
        <v>3</v>
      </c>
      <c r="DX47" s="115">
        <v>5</v>
      </c>
      <c r="DY47" s="112"/>
      <c r="DZ47" s="116">
        <v>15.6</v>
      </c>
      <c r="EA47" s="116">
        <v>12.8</v>
      </c>
      <c r="EB47" s="116">
        <v>16.329999999999998</v>
      </c>
      <c r="EC47" s="116">
        <v>13.761467889908257</v>
      </c>
      <c r="ED47" s="112"/>
      <c r="EE47" s="113">
        <v>22.881355932203391</v>
      </c>
      <c r="EF47" s="113">
        <v>0</v>
      </c>
      <c r="EG47" s="113">
        <v>76.271186440677965</v>
      </c>
      <c r="EH47" s="113">
        <v>0.84745762711864403</v>
      </c>
      <c r="EI47" s="113">
        <v>1.6949152542372881</v>
      </c>
      <c r="EJ47" s="113">
        <v>104.57516339869281</v>
      </c>
      <c r="EK47" s="113"/>
      <c r="EL47" s="115">
        <v>290</v>
      </c>
      <c r="EM47" s="115">
        <v>289</v>
      </c>
      <c r="EN47" s="115">
        <v>257</v>
      </c>
      <c r="EO47" s="115">
        <v>302</v>
      </c>
      <c r="EP47" s="112"/>
      <c r="EQ47" s="114">
        <v>1136.2300669983936</v>
      </c>
      <c r="ER47" s="114">
        <v>1129.3032706810989</v>
      </c>
      <c r="ES47" s="114">
        <v>1001.754044045995</v>
      </c>
      <c r="ET47" s="114">
        <v>1172.0417588388248</v>
      </c>
      <c r="EU47" s="112"/>
      <c r="EV47" s="113">
        <v>914.73281925000003</v>
      </c>
      <c r="EW47" s="113">
        <v>897.55636820999996</v>
      </c>
      <c r="EX47" s="113">
        <v>737.84238583000001</v>
      </c>
      <c r="EY47" s="113">
        <v>879.84482367999999</v>
      </c>
      <c r="EZ47" s="112"/>
      <c r="FA47" s="115">
        <v>93</v>
      </c>
      <c r="FB47" s="115">
        <v>79</v>
      </c>
      <c r="FC47" s="115">
        <v>70</v>
      </c>
      <c r="FD47" s="115">
        <v>67</v>
      </c>
      <c r="FE47" s="112"/>
      <c r="FF47" s="115">
        <v>66</v>
      </c>
      <c r="FG47" s="115">
        <v>75</v>
      </c>
      <c r="FH47" s="115">
        <v>67</v>
      </c>
      <c r="FI47" s="115">
        <v>67</v>
      </c>
      <c r="FJ47" s="112"/>
      <c r="FK47" s="115">
        <v>13</v>
      </c>
      <c r="FL47" s="115">
        <v>12</v>
      </c>
      <c r="FM47" s="115">
        <v>9</v>
      </c>
      <c r="FN47" s="115">
        <v>11</v>
      </c>
      <c r="FO47" s="112"/>
      <c r="FP47" s="115">
        <v>25</v>
      </c>
      <c r="FQ47" s="115">
        <v>18</v>
      </c>
      <c r="FR47" s="115">
        <v>12</v>
      </c>
      <c r="FS47" s="115">
        <v>19</v>
      </c>
      <c r="FT47" s="112"/>
      <c r="FU47" s="113">
        <v>275.12804720000003</v>
      </c>
      <c r="FV47" s="113">
        <v>226.54915366</v>
      </c>
      <c r="FW47" s="113">
        <v>183.35046500000001</v>
      </c>
      <c r="FX47" s="113">
        <v>179.16772248000001</v>
      </c>
      <c r="FY47" s="112"/>
      <c r="FZ47" s="113">
        <v>204.11484682</v>
      </c>
      <c r="GA47" s="113">
        <v>230.00845462999999</v>
      </c>
      <c r="GB47" s="113">
        <v>195.03382784999999</v>
      </c>
      <c r="GC47" s="113">
        <v>203.37960211999999</v>
      </c>
      <c r="GD47" s="112"/>
      <c r="GE47" s="113" t="s">
        <v>46</v>
      </c>
      <c r="GF47" s="113" t="s">
        <v>46</v>
      </c>
      <c r="GG47" s="113" t="s">
        <v>46</v>
      </c>
      <c r="GH47" s="113" t="s">
        <v>46</v>
      </c>
      <c r="GI47" s="112"/>
      <c r="GJ47" s="113">
        <v>100.20655417</v>
      </c>
      <c r="GK47" s="113" t="s">
        <v>46</v>
      </c>
      <c r="GL47" s="113" t="s">
        <v>46</v>
      </c>
      <c r="GM47" s="113" t="s">
        <v>46</v>
      </c>
      <c r="GN47" s="112"/>
      <c r="GO47" s="113">
        <v>1171.2970557000001</v>
      </c>
      <c r="GP47" s="113">
        <v>1149.4545295999999</v>
      </c>
      <c r="GQ47" s="113">
        <v>1047.0156144499999</v>
      </c>
      <c r="GR47" s="113">
        <v>1126.2586721800001</v>
      </c>
      <c r="GS47" s="112"/>
      <c r="GT47" s="113">
        <v>704.88967821999995</v>
      </c>
      <c r="GU47" s="113">
        <v>690.10833448000005</v>
      </c>
      <c r="GV47" s="113">
        <v>511.61374448999999</v>
      </c>
      <c r="GW47" s="113">
        <v>658.77081350000003</v>
      </c>
      <c r="GX47" s="112"/>
      <c r="GY47" s="112"/>
      <c r="GZ47" s="112"/>
      <c r="HA47" s="112"/>
      <c r="HB47" s="112"/>
      <c r="HC47" s="112"/>
      <c r="HD47" s="115">
        <v>42</v>
      </c>
      <c r="HE47" s="115">
        <v>0</v>
      </c>
      <c r="HF47" s="115">
        <v>21</v>
      </c>
      <c r="HG47" s="115">
        <v>0</v>
      </c>
      <c r="HH47" s="115">
        <v>0</v>
      </c>
      <c r="HI47" s="114">
        <v>56.943056943056945</v>
      </c>
      <c r="HJ47" s="114">
        <v>67.333939945404907</v>
      </c>
      <c r="HK47" s="113">
        <v>80.898876404494388</v>
      </c>
      <c r="HL47" s="112">
        <v>18</v>
      </c>
      <c r="HM47" s="112">
        <v>5</v>
      </c>
      <c r="HN47" s="112">
        <v>15</v>
      </c>
      <c r="HO47" s="112">
        <v>19</v>
      </c>
      <c r="HP47" s="112"/>
      <c r="HQ47" s="112">
        <v>33</v>
      </c>
      <c r="HR47" s="112">
        <v>20</v>
      </c>
      <c r="HS47" s="112">
        <v>31</v>
      </c>
      <c r="HT47" s="112">
        <v>47</v>
      </c>
      <c r="HU47" s="117"/>
    </row>
    <row r="48" spans="1:229" x14ac:dyDescent="0.2">
      <c r="A48" s="93">
        <v>45</v>
      </c>
      <c r="B48" s="98" t="s">
        <v>112</v>
      </c>
      <c r="C48" s="99">
        <v>9951</v>
      </c>
      <c r="D48" s="99">
        <v>9618</v>
      </c>
      <c r="E48" s="99">
        <v>9502</v>
      </c>
      <c r="F48" s="99">
        <v>9184</v>
      </c>
      <c r="G48" s="99">
        <v>9439</v>
      </c>
      <c r="H48" s="99">
        <v>4170</v>
      </c>
      <c r="I48" s="99">
        <v>4153</v>
      </c>
      <c r="J48" s="99">
        <v>4135</v>
      </c>
      <c r="K48" s="99">
        <v>4078</v>
      </c>
      <c r="L48" s="99">
        <v>3981</v>
      </c>
      <c r="M48" s="100">
        <v>30.09478672985782</v>
      </c>
      <c r="N48" s="100">
        <v>31.780640898579453</v>
      </c>
      <c r="O48" s="101">
        <v>32.825067024128685</v>
      </c>
      <c r="P48" s="101">
        <v>30.033118354540701</v>
      </c>
      <c r="Q48" s="102">
        <v>31.234950120399038</v>
      </c>
      <c r="R48" s="100">
        <v>27.109004739336495</v>
      </c>
      <c r="S48" s="100">
        <v>27.089527585067724</v>
      </c>
      <c r="T48" s="100">
        <v>26.390750670241285</v>
      </c>
      <c r="U48" s="100">
        <v>30.05054906745686</v>
      </c>
      <c r="V48" s="100">
        <v>31.11455108359133</v>
      </c>
      <c r="W48" s="100">
        <v>57.203791469194307</v>
      </c>
      <c r="X48" s="100">
        <v>58.870168483647177</v>
      </c>
      <c r="Y48" s="100">
        <v>59.215817694369974</v>
      </c>
      <c r="Z48" s="100">
        <v>60.083667421997561</v>
      </c>
      <c r="AA48" s="100">
        <v>62.349501203990371</v>
      </c>
      <c r="AB48" s="100">
        <v>6.9</v>
      </c>
      <c r="AC48" s="100">
        <v>8.1999999999999993</v>
      </c>
      <c r="AD48" s="100">
        <v>8</v>
      </c>
      <c r="AE48" s="100">
        <v>10.1</v>
      </c>
      <c r="AF48" s="100">
        <v>9.1</v>
      </c>
      <c r="AG48" s="99">
        <v>158.33333333333334</v>
      </c>
      <c r="AH48" s="99">
        <v>152.75</v>
      </c>
      <c r="AI48" s="104">
        <v>158.16666666666666</v>
      </c>
      <c r="AJ48" s="104">
        <v>188.91666666666666</v>
      </c>
      <c r="AK48" s="105">
        <v>235</v>
      </c>
      <c r="AL48" s="106">
        <v>9806</v>
      </c>
      <c r="AM48" s="106">
        <v>14</v>
      </c>
      <c r="AN48" s="106">
        <v>35</v>
      </c>
      <c r="AO48" s="106">
        <v>34</v>
      </c>
      <c r="AP48" s="106">
        <v>0</v>
      </c>
      <c r="AQ48" s="106">
        <v>369</v>
      </c>
      <c r="AR48" s="106">
        <v>9119</v>
      </c>
      <c r="AS48" s="106">
        <v>26</v>
      </c>
      <c r="AT48" s="106">
        <v>43</v>
      </c>
      <c r="AU48" s="106">
        <v>22</v>
      </c>
      <c r="AV48" s="106">
        <v>81</v>
      </c>
      <c r="AW48" s="106">
        <v>337</v>
      </c>
      <c r="AX48" s="107">
        <v>26894</v>
      </c>
      <c r="AY48" s="107">
        <v>28447</v>
      </c>
      <c r="AZ48" s="107">
        <v>31624</v>
      </c>
      <c r="BA48" s="107">
        <v>43631</v>
      </c>
      <c r="BB48" s="107">
        <v>37573</v>
      </c>
      <c r="BC48" s="107">
        <v>39693</v>
      </c>
      <c r="BD48" s="107">
        <v>43155</v>
      </c>
      <c r="BE48" s="107">
        <v>45145</v>
      </c>
      <c r="BF48" s="108">
        <v>45780</v>
      </c>
      <c r="BG48" s="108">
        <v>46242</v>
      </c>
      <c r="BH48" s="100">
        <v>10.5</v>
      </c>
      <c r="BI48" s="100">
        <v>10.4</v>
      </c>
      <c r="BJ48" s="100">
        <v>10.3</v>
      </c>
      <c r="BK48" s="100">
        <v>9.8000000000000007</v>
      </c>
      <c r="BL48" s="100">
        <v>9.6999999999999993</v>
      </c>
      <c r="BM48" s="100">
        <v>13.3</v>
      </c>
      <c r="BN48" s="109">
        <v>13.5</v>
      </c>
      <c r="BO48" s="109">
        <v>14.3</v>
      </c>
      <c r="BP48" s="109">
        <v>12.4</v>
      </c>
      <c r="BQ48" s="100">
        <v>11.8</v>
      </c>
      <c r="BR48" s="106">
        <v>1408</v>
      </c>
      <c r="BS48" s="118">
        <v>1410</v>
      </c>
      <c r="BT48" s="118">
        <v>1366</v>
      </c>
      <c r="BU48" s="110">
        <v>1370</v>
      </c>
      <c r="BV48" s="100">
        <v>43.252840909090914</v>
      </c>
      <c r="BW48" s="100">
        <v>44.042553191489361</v>
      </c>
      <c r="BX48" s="100">
        <v>43.411420204978043</v>
      </c>
      <c r="BY48" s="103">
        <v>46.423357664233578</v>
      </c>
      <c r="BZ48" s="100">
        <v>3.5511363636363638</v>
      </c>
      <c r="CA48" s="100">
        <v>3.6170212765957444</v>
      </c>
      <c r="CB48" s="100">
        <v>1.171303074670571</v>
      </c>
      <c r="CC48" s="103">
        <v>2.7737226277372264</v>
      </c>
      <c r="CD48" s="100">
        <v>15.269886363636365</v>
      </c>
      <c r="CE48" s="100">
        <v>15.460992907801419</v>
      </c>
      <c r="CF48" s="100">
        <v>14.86090775988287</v>
      </c>
      <c r="CG48" s="103">
        <v>14.671532846715328</v>
      </c>
      <c r="CH48" s="100">
        <v>86.861313868613138</v>
      </c>
      <c r="CI48" s="105">
        <v>86.82</v>
      </c>
      <c r="CJ48" s="111">
        <v>86.54</v>
      </c>
      <c r="CK48" s="111">
        <v>87.179487179487182</v>
      </c>
      <c r="CL48" s="112">
        <v>600</v>
      </c>
      <c r="CM48" s="112">
        <v>552</v>
      </c>
      <c r="CN48" s="112">
        <v>532</v>
      </c>
      <c r="CO48" s="112">
        <v>533</v>
      </c>
      <c r="CP48" s="112"/>
      <c r="CQ48" s="113">
        <v>11.227334817836493</v>
      </c>
      <c r="CR48" s="113">
        <v>10.68731848983543</v>
      </c>
      <c r="CS48" s="113">
        <v>10.671801969870213</v>
      </c>
      <c r="CT48" s="113">
        <v>11.175409904809829</v>
      </c>
      <c r="CU48" s="112"/>
      <c r="CV48" s="114">
        <v>3.0821917808219177</v>
      </c>
      <c r="CW48" s="114">
        <v>4.6382189239332092</v>
      </c>
      <c r="CX48" s="114">
        <v>3.2755298651252409</v>
      </c>
      <c r="CY48" s="114">
        <v>4.3564356435643568</v>
      </c>
      <c r="CZ48" s="112"/>
      <c r="DA48" s="113">
        <v>6.0283687943262407</v>
      </c>
      <c r="DB48" s="113">
        <v>9.0558766859344892</v>
      </c>
      <c r="DC48" s="113">
        <v>9.4567404426559349</v>
      </c>
      <c r="DD48" s="113">
        <v>8.5287846481876333</v>
      </c>
      <c r="DE48" s="112"/>
      <c r="DF48" s="113">
        <v>78.13559322033899</v>
      </c>
      <c r="DG48" s="113">
        <v>78.558225508317932</v>
      </c>
      <c r="DH48" s="113">
        <v>87.977099236641223</v>
      </c>
      <c r="DI48" s="113">
        <v>85.656565656565661</v>
      </c>
      <c r="DJ48" s="112"/>
      <c r="DK48" s="114">
        <v>12.367491166077739</v>
      </c>
      <c r="DL48" s="114">
        <v>14.990859232175502</v>
      </c>
      <c r="DM48" s="114">
        <v>13.39622641509434</v>
      </c>
      <c r="DN48" s="114">
        <v>12.830188679245284</v>
      </c>
      <c r="DO48" s="112"/>
      <c r="DP48" s="113">
        <v>15.833333333333334</v>
      </c>
      <c r="DQ48" s="113">
        <v>22.826086956521738</v>
      </c>
      <c r="DR48" s="113">
        <v>21.616541353383457</v>
      </c>
      <c r="DS48" s="113">
        <v>26.078799249530956</v>
      </c>
      <c r="DT48" s="112"/>
      <c r="DU48" s="115">
        <v>2</v>
      </c>
      <c r="DV48" s="115">
        <v>4</v>
      </c>
      <c r="DW48" s="115">
        <v>4</v>
      </c>
      <c r="DX48" s="115">
        <v>5</v>
      </c>
      <c r="DY48" s="112"/>
      <c r="DZ48" s="116">
        <v>4.38</v>
      </c>
      <c r="EA48" s="116">
        <v>7.7519379844961236</v>
      </c>
      <c r="EB48" s="116">
        <v>3.85</v>
      </c>
      <c r="EC48" s="116">
        <v>6.8376068376068373</v>
      </c>
      <c r="ED48" s="112"/>
      <c r="EE48" s="113">
        <v>96.15384615384616</v>
      </c>
      <c r="EF48" s="113">
        <v>0</v>
      </c>
      <c r="EG48" s="113">
        <v>0</v>
      </c>
      <c r="EH48" s="113">
        <v>0</v>
      </c>
      <c r="EI48" s="113">
        <v>3.883495145631068</v>
      </c>
      <c r="EJ48" s="113">
        <v>25.730180806675939</v>
      </c>
      <c r="EK48" s="113"/>
      <c r="EL48" s="115">
        <v>586</v>
      </c>
      <c r="EM48" s="115">
        <v>551</v>
      </c>
      <c r="EN48" s="115">
        <v>445</v>
      </c>
      <c r="EO48" s="115">
        <v>431</v>
      </c>
      <c r="EP48" s="112"/>
      <c r="EQ48" s="114">
        <v>1096.5363672086974</v>
      </c>
      <c r="ER48" s="114">
        <v>1066.7957405614713</v>
      </c>
      <c r="ES48" s="114">
        <v>892.66012717899343</v>
      </c>
      <c r="ET48" s="114">
        <v>903.6776114395941</v>
      </c>
      <c r="EU48" s="112"/>
      <c r="EV48" s="113">
        <v>808.49054627999999</v>
      </c>
      <c r="EW48" s="113">
        <v>761.48681292999902</v>
      </c>
      <c r="EX48" s="113">
        <v>596.18488190000005</v>
      </c>
      <c r="EY48" s="113">
        <v>554.48497153000005</v>
      </c>
      <c r="EZ48" s="112"/>
      <c r="FA48" s="115">
        <v>185</v>
      </c>
      <c r="FB48" s="115">
        <v>168</v>
      </c>
      <c r="FC48" s="115">
        <v>133</v>
      </c>
      <c r="FD48" s="115">
        <v>103</v>
      </c>
      <c r="FE48" s="112"/>
      <c r="FF48" s="115">
        <v>132</v>
      </c>
      <c r="FG48" s="115">
        <v>128</v>
      </c>
      <c r="FH48" s="115">
        <v>103</v>
      </c>
      <c r="FI48" s="115">
        <v>119</v>
      </c>
      <c r="FJ48" s="112"/>
      <c r="FK48" s="115">
        <v>51</v>
      </c>
      <c r="FL48" s="115">
        <v>44</v>
      </c>
      <c r="FM48" s="115">
        <v>28</v>
      </c>
      <c r="FN48" s="115">
        <v>31</v>
      </c>
      <c r="FO48" s="112"/>
      <c r="FP48" s="115">
        <v>43</v>
      </c>
      <c r="FQ48" s="115">
        <v>36</v>
      </c>
      <c r="FR48" s="115">
        <v>17</v>
      </c>
      <c r="FS48" s="115">
        <v>14</v>
      </c>
      <c r="FT48" s="112"/>
      <c r="FU48" s="113">
        <v>249.36022116999999</v>
      </c>
      <c r="FV48" s="113">
        <v>223.77079257</v>
      </c>
      <c r="FW48" s="113">
        <v>168.96351165999999</v>
      </c>
      <c r="FX48" s="113">
        <v>124.56592809999999</v>
      </c>
      <c r="FY48" s="112"/>
      <c r="FZ48" s="113">
        <v>182.72587716000001</v>
      </c>
      <c r="GA48" s="113">
        <v>176.01550827</v>
      </c>
      <c r="GB48" s="113">
        <v>144.05047253000001</v>
      </c>
      <c r="GC48" s="113">
        <v>157.37691636</v>
      </c>
      <c r="GD48" s="112"/>
      <c r="GE48" s="113">
        <v>68.308978199999999</v>
      </c>
      <c r="GF48" s="113">
        <v>58.270454649999998</v>
      </c>
      <c r="GG48" s="113">
        <v>34.895709250000003</v>
      </c>
      <c r="GH48" s="113">
        <v>35.185846009999999</v>
      </c>
      <c r="GI48" s="112"/>
      <c r="GJ48" s="113">
        <v>70.256391550000004</v>
      </c>
      <c r="GK48" s="113">
        <v>65.078647880000005</v>
      </c>
      <c r="GL48" s="113" t="s">
        <v>46</v>
      </c>
      <c r="GM48" s="113" t="s">
        <v>46</v>
      </c>
      <c r="GN48" s="112"/>
      <c r="GO48" s="113">
        <v>1014.64447507</v>
      </c>
      <c r="GP48" s="113">
        <v>934.13334197999995</v>
      </c>
      <c r="GQ48" s="113">
        <v>755.16392572999996</v>
      </c>
      <c r="GR48" s="113">
        <v>728.08423589999995</v>
      </c>
      <c r="GS48" s="112"/>
      <c r="GT48" s="113">
        <v>629.35662019999995</v>
      </c>
      <c r="GU48" s="113">
        <v>592.51920013999995</v>
      </c>
      <c r="GV48" s="113">
        <v>459.06094869999998</v>
      </c>
      <c r="GW48" s="113">
        <v>407.20727340000002</v>
      </c>
      <c r="GX48" s="112"/>
      <c r="GY48" s="112"/>
      <c r="GZ48" s="112"/>
      <c r="HA48" s="112"/>
      <c r="HB48" s="112"/>
      <c r="HC48" s="112"/>
      <c r="HD48" s="115">
        <v>84</v>
      </c>
      <c r="HE48" s="115">
        <v>1</v>
      </c>
      <c r="HF48" s="115">
        <v>0</v>
      </c>
      <c r="HG48" s="115">
        <v>1</v>
      </c>
      <c r="HH48" s="115">
        <v>0</v>
      </c>
      <c r="HI48" s="114">
        <v>30.451332245785753</v>
      </c>
      <c r="HJ48" s="114">
        <v>25.290844714213456</v>
      </c>
      <c r="HK48" s="113">
        <v>22.187822497420022</v>
      </c>
      <c r="HL48" s="112">
        <v>18</v>
      </c>
      <c r="HM48" s="112">
        <v>25</v>
      </c>
      <c r="HN48" s="112">
        <v>17</v>
      </c>
      <c r="HO48" s="112">
        <v>22</v>
      </c>
      <c r="HP48" s="112"/>
      <c r="HQ48" s="112">
        <v>34</v>
      </c>
      <c r="HR48" s="112">
        <v>47</v>
      </c>
      <c r="HS48" s="112">
        <v>47</v>
      </c>
      <c r="HT48" s="112">
        <v>40</v>
      </c>
      <c r="HU48" s="117"/>
    </row>
    <row r="49" spans="1:229" x14ac:dyDescent="0.2">
      <c r="A49" s="93">
        <v>46</v>
      </c>
      <c r="B49" s="98" t="s">
        <v>113</v>
      </c>
      <c r="C49" s="99">
        <v>20768</v>
      </c>
      <c r="D49" s="99">
        <v>20462</v>
      </c>
      <c r="E49" s="99">
        <v>20435</v>
      </c>
      <c r="F49" s="99">
        <v>20245</v>
      </c>
      <c r="G49" s="99">
        <v>20840</v>
      </c>
      <c r="H49" s="99">
        <v>9007</v>
      </c>
      <c r="I49" s="99">
        <v>9004</v>
      </c>
      <c r="J49" s="99">
        <v>9042</v>
      </c>
      <c r="K49" s="99">
        <v>9013</v>
      </c>
      <c r="L49" s="99">
        <v>9035</v>
      </c>
      <c r="M49" s="100">
        <v>33.343698981575059</v>
      </c>
      <c r="N49" s="100">
        <v>34.173913043478258</v>
      </c>
      <c r="O49" s="101">
        <v>34.950762388818298</v>
      </c>
      <c r="P49" s="101">
        <v>35.044751830756709</v>
      </c>
      <c r="Q49" s="102">
        <v>33.789918597370068</v>
      </c>
      <c r="R49" s="100">
        <v>28.111638031563395</v>
      </c>
      <c r="S49" s="100">
        <v>27.581027667984188</v>
      </c>
      <c r="T49" s="100">
        <v>27.334815756035582</v>
      </c>
      <c r="U49" s="100">
        <v>29.6826688364524</v>
      </c>
      <c r="V49" s="100">
        <v>29.328428303068254</v>
      </c>
      <c r="W49" s="100">
        <v>61.455337013138454</v>
      </c>
      <c r="X49" s="100">
        <v>61.754940711462446</v>
      </c>
      <c r="Y49" s="100">
        <v>62.285578144853872</v>
      </c>
      <c r="Z49" s="100">
        <v>64.727420667209117</v>
      </c>
      <c r="AA49" s="100">
        <v>63.118346900438318</v>
      </c>
      <c r="AB49" s="100">
        <v>4.3</v>
      </c>
      <c r="AC49" s="100">
        <v>4.5</v>
      </c>
      <c r="AD49" s="100">
        <v>4.9000000000000004</v>
      </c>
      <c r="AE49" s="100">
        <v>7.8</v>
      </c>
      <c r="AF49" s="100">
        <v>7</v>
      </c>
      <c r="AG49" s="99">
        <v>530.83333333333337</v>
      </c>
      <c r="AH49" s="99">
        <v>536.25</v>
      </c>
      <c r="AI49" s="104">
        <v>529.33333333333337</v>
      </c>
      <c r="AJ49" s="104">
        <v>657.66666666666663</v>
      </c>
      <c r="AK49" s="105">
        <v>797.58333333333337</v>
      </c>
      <c r="AL49" s="106">
        <v>20433</v>
      </c>
      <c r="AM49" s="106">
        <v>77</v>
      </c>
      <c r="AN49" s="106">
        <v>27</v>
      </c>
      <c r="AO49" s="106">
        <v>123</v>
      </c>
      <c r="AP49" s="106">
        <v>0</v>
      </c>
      <c r="AQ49" s="106">
        <v>542</v>
      </c>
      <c r="AR49" s="106">
        <v>20142</v>
      </c>
      <c r="AS49" s="106">
        <v>64</v>
      </c>
      <c r="AT49" s="106">
        <v>59</v>
      </c>
      <c r="AU49" s="106">
        <v>110</v>
      </c>
      <c r="AV49" s="106">
        <v>188</v>
      </c>
      <c r="AW49" s="106">
        <v>744</v>
      </c>
      <c r="AX49" s="107">
        <v>32668</v>
      </c>
      <c r="AY49" s="107">
        <v>32716</v>
      </c>
      <c r="AZ49" s="107">
        <v>35470</v>
      </c>
      <c r="BA49" s="107">
        <v>42414</v>
      </c>
      <c r="BB49" s="107">
        <v>40855</v>
      </c>
      <c r="BC49" s="107">
        <v>40281</v>
      </c>
      <c r="BD49" s="107">
        <v>41937</v>
      </c>
      <c r="BE49" s="107">
        <v>42997</v>
      </c>
      <c r="BF49" s="108">
        <v>44101</v>
      </c>
      <c r="BG49" s="108">
        <v>40389</v>
      </c>
      <c r="BH49" s="100">
        <v>10.5</v>
      </c>
      <c r="BI49" s="100">
        <v>10.4</v>
      </c>
      <c r="BJ49" s="100">
        <v>10.199999999999999</v>
      </c>
      <c r="BK49" s="100">
        <v>11.3</v>
      </c>
      <c r="BL49" s="100">
        <v>11.2</v>
      </c>
      <c r="BM49" s="100">
        <v>15.8</v>
      </c>
      <c r="BN49" s="109">
        <v>15.2</v>
      </c>
      <c r="BO49" s="109">
        <v>14.6</v>
      </c>
      <c r="BP49" s="109">
        <v>14.8</v>
      </c>
      <c r="BQ49" s="100">
        <v>16.2</v>
      </c>
      <c r="BR49" s="106">
        <v>3332</v>
      </c>
      <c r="BS49" s="118">
        <v>3271</v>
      </c>
      <c r="BT49" s="118">
        <v>3156</v>
      </c>
      <c r="BU49" s="110">
        <v>3100</v>
      </c>
      <c r="BV49" s="100">
        <v>38.055222088835535</v>
      </c>
      <c r="BW49" s="100">
        <v>38.122898196270256</v>
      </c>
      <c r="BX49" s="100">
        <v>40.49429657794677</v>
      </c>
      <c r="BY49" s="103">
        <v>40</v>
      </c>
      <c r="BZ49" s="100">
        <v>2.7611044417767108</v>
      </c>
      <c r="CA49" s="100">
        <v>2.5068786303882606</v>
      </c>
      <c r="CB49" s="100">
        <v>2.249683143219265</v>
      </c>
      <c r="CC49" s="103">
        <v>2.2580645161290325</v>
      </c>
      <c r="CD49" s="100">
        <v>17.917166866746697</v>
      </c>
      <c r="CE49" s="100">
        <v>17.548150412717824</v>
      </c>
      <c r="CF49" s="100">
        <v>16.476552598225602</v>
      </c>
      <c r="CG49" s="103">
        <v>15.774193548387096</v>
      </c>
      <c r="CH49" s="100">
        <v>73.633440514469456</v>
      </c>
      <c r="CI49" s="105">
        <v>78.209999999999994</v>
      </c>
      <c r="CJ49" s="111">
        <v>81.7</v>
      </c>
      <c r="CK49" s="111">
        <v>83.962264150943398</v>
      </c>
      <c r="CL49" s="112">
        <v>1336</v>
      </c>
      <c r="CM49" s="112">
        <v>1144</v>
      </c>
      <c r="CN49" s="112">
        <v>1160</v>
      </c>
      <c r="CO49" s="112">
        <v>1174</v>
      </c>
      <c r="CP49" s="112"/>
      <c r="CQ49" s="113">
        <v>11.77486735647177</v>
      </c>
      <c r="CR49" s="113">
        <v>10.373312296546159</v>
      </c>
      <c r="CS49" s="113">
        <v>10.949800826898752</v>
      </c>
      <c r="CT49" s="113">
        <v>11.425790754257907</v>
      </c>
      <c r="CU49" s="112"/>
      <c r="CV49" s="114">
        <v>4.5107033639143728</v>
      </c>
      <c r="CW49" s="114">
        <v>4.2342342342342345</v>
      </c>
      <c r="CX49" s="114">
        <v>5.0724637681159424</v>
      </c>
      <c r="CY49" s="114">
        <v>5.28169014084507</v>
      </c>
      <c r="CZ49" s="112"/>
      <c r="DA49" s="113">
        <v>7.9933388842631139</v>
      </c>
      <c r="DB49" s="113">
        <v>8.2551594746716699</v>
      </c>
      <c r="DC49" s="113">
        <v>9.7402597402597397</v>
      </c>
      <c r="DD49" s="113">
        <v>9.2454835281615306</v>
      </c>
      <c r="DE49" s="112"/>
      <c r="DF49" s="113">
        <v>84.174311926605498</v>
      </c>
      <c r="DG49" s="113">
        <v>82.311111111111117</v>
      </c>
      <c r="DH49" s="113">
        <v>89.186851211072664</v>
      </c>
      <c r="DI49" s="113">
        <v>87.962166809974207</v>
      </c>
      <c r="DJ49" s="112"/>
      <c r="DK49" s="114">
        <v>14.958238420652998</v>
      </c>
      <c r="DL49" s="114">
        <v>17.223198594024606</v>
      </c>
      <c r="DM49" s="114">
        <v>21.16218560277537</v>
      </c>
      <c r="DN49" s="114">
        <v>17.692307692307693</v>
      </c>
      <c r="DO49" s="112"/>
      <c r="DP49" s="113">
        <v>22.230538922155688</v>
      </c>
      <c r="DQ49" s="113">
        <v>24.934383202099738</v>
      </c>
      <c r="DR49" s="113">
        <v>36.238136324417603</v>
      </c>
      <c r="DS49" s="113">
        <v>41.296928327645048</v>
      </c>
      <c r="DT49" s="112"/>
      <c r="DU49" s="115">
        <v>6</v>
      </c>
      <c r="DV49" s="115">
        <v>6</v>
      </c>
      <c r="DW49" s="115">
        <v>2</v>
      </c>
      <c r="DX49" s="115">
        <v>5</v>
      </c>
      <c r="DY49" s="112"/>
      <c r="DZ49" s="116">
        <v>7.07</v>
      </c>
      <c r="EA49" s="116">
        <v>6.7307692307692308</v>
      </c>
      <c r="EB49" s="116">
        <v>5.68</v>
      </c>
      <c r="EC49" s="116">
        <v>2.8301886792452828</v>
      </c>
      <c r="ED49" s="112"/>
      <c r="EE49" s="113">
        <v>91.479820627802695</v>
      </c>
      <c r="EF49" s="113">
        <v>0.89686098654708524</v>
      </c>
      <c r="EG49" s="113">
        <v>0</v>
      </c>
      <c r="EH49" s="113">
        <v>1.3452914798206279</v>
      </c>
      <c r="EI49" s="113">
        <v>8.071748878923767</v>
      </c>
      <c r="EJ49" s="113">
        <v>38.801261829652994</v>
      </c>
      <c r="EK49" s="113"/>
      <c r="EL49" s="115">
        <v>1257</v>
      </c>
      <c r="EM49" s="115">
        <v>1278</v>
      </c>
      <c r="EN49" s="115">
        <v>1211</v>
      </c>
      <c r="EO49" s="115">
        <v>1202</v>
      </c>
      <c r="EP49" s="112"/>
      <c r="EQ49" s="114">
        <v>1107.8599002309143</v>
      </c>
      <c r="ER49" s="114">
        <v>1158.8368107505237</v>
      </c>
      <c r="ES49" s="114">
        <v>1143.1214483943438</v>
      </c>
      <c r="ET49" s="114">
        <v>1169.8296836982968</v>
      </c>
      <c r="EU49" s="112"/>
      <c r="EV49" s="113">
        <v>724.84564954999996</v>
      </c>
      <c r="EW49" s="113">
        <v>729.45040047999998</v>
      </c>
      <c r="EX49" s="113">
        <v>664.19466067999997</v>
      </c>
      <c r="EY49" s="113">
        <v>636.98303939000004</v>
      </c>
      <c r="EZ49" s="112"/>
      <c r="FA49" s="115">
        <v>438</v>
      </c>
      <c r="FB49" s="115">
        <v>388</v>
      </c>
      <c r="FC49" s="115">
        <v>367</v>
      </c>
      <c r="FD49" s="115">
        <v>348</v>
      </c>
      <c r="FE49" s="112"/>
      <c r="FF49" s="115">
        <v>283</v>
      </c>
      <c r="FG49" s="115">
        <v>326</v>
      </c>
      <c r="FH49" s="115">
        <v>293</v>
      </c>
      <c r="FI49" s="115">
        <v>288</v>
      </c>
      <c r="FJ49" s="112"/>
      <c r="FK49" s="115">
        <v>87</v>
      </c>
      <c r="FL49" s="115">
        <v>86</v>
      </c>
      <c r="FM49" s="115">
        <v>57</v>
      </c>
      <c r="FN49" s="115">
        <v>56</v>
      </c>
      <c r="FO49" s="112"/>
      <c r="FP49" s="115">
        <v>37</v>
      </c>
      <c r="FQ49" s="115">
        <v>47</v>
      </c>
      <c r="FR49" s="115">
        <v>46</v>
      </c>
      <c r="FS49" s="115">
        <v>49</v>
      </c>
      <c r="FT49" s="112"/>
      <c r="FU49" s="113">
        <v>240.04538521000001</v>
      </c>
      <c r="FV49" s="113">
        <v>209.81263695999999</v>
      </c>
      <c r="FW49" s="113">
        <v>184.35217412</v>
      </c>
      <c r="FX49" s="113">
        <v>162.09249391</v>
      </c>
      <c r="FY49" s="112"/>
      <c r="FZ49" s="113">
        <v>173.82797962000001</v>
      </c>
      <c r="GA49" s="113">
        <v>198.75782645000001</v>
      </c>
      <c r="GB49" s="113">
        <v>173.01964197999999</v>
      </c>
      <c r="GC49" s="113">
        <v>164.70587800000001</v>
      </c>
      <c r="GD49" s="112"/>
      <c r="GE49" s="113">
        <v>45.934578180000003</v>
      </c>
      <c r="GF49" s="113">
        <v>44.958979030000002</v>
      </c>
      <c r="GG49" s="113">
        <v>26.577453469999998</v>
      </c>
      <c r="GH49" s="113">
        <v>25.805420309999999</v>
      </c>
      <c r="GI49" s="112"/>
      <c r="GJ49" s="113">
        <v>28.688807059999998</v>
      </c>
      <c r="GK49" s="113">
        <v>34.21922893</v>
      </c>
      <c r="GL49" s="113">
        <v>34.511827859999997</v>
      </c>
      <c r="GM49" s="113">
        <v>35.774574780000002</v>
      </c>
      <c r="GN49" s="112"/>
      <c r="GO49" s="113">
        <v>953.29460887000005</v>
      </c>
      <c r="GP49" s="113">
        <v>963.57667832000004</v>
      </c>
      <c r="GQ49" s="113">
        <v>826.46767294999995</v>
      </c>
      <c r="GR49" s="113">
        <v>816.26571118000004</v>
      </c>
      <c r="GS49" s="112"/>
      <c r="GT49" s="113">
        <v>568.86090388000002</v>
      </c>
      <c r="GU49" s="113">
        <v>578.49172116</v>
      </c>
      <c r="GV49" s="113">
        <v>552.64354162999996</v>
      </c>
      <c r="GW49" s="113">
        <v>492.39847996999998</v>
      </c>
      <c r="GX49" s="112"/>
      <c r="GY49" s="112"/>
      <c r="GZ49" s="112"/>
      <c r="HA49" s="112"/>
      <c r="HB49" s="112"/>
      <c r="HC49" s="112"/>
      <c r="HD49" s="115">
        <v>243</v>
      </c>
      <c r="HE49" s="115">
        <v>0</v>
      </c>
      <c r="HF49" s="115">
        <v>0</v>
      </c>
      <c r="HG49" s="115">
        <v>1</v>
      </c>
      <c r="HH49" s="115">
        <v>1</v>
      </c>
      <c r="HI49" s="114">
        <v>40.348330914368653</v>
      </c>
      <c r="HJ49" s="114">
        <v>29.613960867265998</v>
      </c>
      <c r="HK49" s="113">
        <v>33.501728263759638</v>
      </c>
      <c r="HL49" s="112">
        <v>59</v>
      </c>
      <c r="HM49" s="112">
        <v>47</v>
      </c>
      <c r="HN49" s="112">
        <v>56</v>
      </c>
      <c r="HO49" s="112">
        <v>60</v>
      </c>
      <c r="HP49" s="112"/>
      <c r="HQ49" s="112">
        <v>96</v>
      </c>
      <c r="HR49" s="112">
        <v>88</v>
      </c>
      <c r="HS49" s="112">
        <v>90</v>
      </c>
      <c r="HT49" s="112">
        <v>87</v>
      </c>
      <c r="HU49" s="117"/>
    </row>
    <row r="50" spans="1:229" ht="21" customHeight="1" x14ac:dyDescent="0.2">
      <c r="A50" s="93">
        <v>47</v>
      </c>
      <c r="B50" s="98" t="s">
        <v>114</v>
      </c>
      <c r="C50" s="99">
        <v>23405</v>
      </c>
      <c r="D50" s="99">
        <v>23211</v>
      </c>
      <c r="E50" s="99">
        <v>23143</v>
      </c>
      <c r="F50" s="99">
        <v>23154</v>
      </c>
      <c r="G50" s="99">
        <v>23300</v>
      </c>
      <c r="H50" s="99">
        <v>9130</v>
      </c>
      <c r="I50" s="99">
        <v>9185</v>
      </c>
      <c r="J50" s="99">
        <v>9193</v>
      </c>
      <c r="K50" s="99">
        <v>9218</v>
      </c>
      <c r="L50" s="99">
        <v>9176</v>
      </c>
      <c r="M50" s="100">
        <v>24.397153775200948</v>
      </c>
      <c r="N50" s="100">
        <v>24.785061794734016</v>
      </c>
      <c r="O50" s="101">
        <v>24.974769561999597</v>
      </c>
      <c r="P50" s="101">
        <v>26.888029821897003</v>
      </c>
      <c r="Q50" s="102">
        <v>26.34833390587427</v>
      </c>
      <c r="R50" s="100">
        <v>29.806298590064568</v>
      </c>
      <c r="S50" s="100">
        <v>31.11902203116604</v>
      </c>
      <c r="T50" s="100">
        <v>30.734037542891745</v>
      </c>
      <c r="U50" s="100">
        <v>32.949054259284829</v>
      </c>
      <c r="V50" s="100">
        <v>33.734111989007211</v>
      </c>
      <c r="W50" s="100">
        <v>54.203452365265512</v>
      </c>
      <c r="X50" s="100">
        <v>55.904083825900052</v>
      </c>
      <c r="Y50" s="100">
        <v>55.708807104891342</v>
      </c>
      <c r="Z50" s="100">
        <v>59.837084081181828</v>
      </c>
      <c r="AA50" s="100">
        <v>60.082445894881481</v>
      </c>
      <c r="AB50" s="100" t="s">
        <v>182</v>
      </c>
      <c r="AC50" s="100">
        <v>6</v>
      </c>
      <c r="AD50" s="100">
        <v>6.6</v>
      </c>
      <c r="AE50" s="100">
        <v>9.9</v>
      </c>
      <c r="AF50" s="100">
        <v>8.9</v>
      </c>
      <c r="AG50" s="99">
        <v>399.5</v>
      </c>
      <c r="AH50" s="99">
        <v>406.25</v>
      </c>
      <c r="AI50" s="104">
        <v>430.83333333333331</v>
      </c>
      <c r="AJ50" s="104">
        <v>564.08333333333337</v>
      </c>
      <c r="AK50" s="105">
        <v>686.08333333333337</v>
      </c>
      <c r="AL50" s="106">
        <v>23075</v>
      </c>
      <c r="AM50" s="106">
        <v>56</v>
      </c>
      <c r="AN50" s="106">
        <v>55</v>
      </c>
      <c r="AO50" s="106">
        <v>137</v>
      </c>
      <c r="AP50" s="106">
        <v>0</v>
      </c>
      <c r="AQ50" s="106">
        <v>668</v>
      </c>
      <c r="AR50" s="106">
        <v>22663</v>
      </c>
      <c r="AS50" s="106">
        <v>77</v>
      </c>
      <c r="AT50" s="106">
        <v>44</v>
      </c>
      <c r="AU50" s="106">
        <v>72</v>
      </c>
      <c r="AV50" s="106">
        <v>172</v>
      </c>
      <c r="AW50" s="106">
        <v>767</v>
      </c>
      <c r="AX50" s="107">
        <v>28702</v>
      </c>
      <c r="AY50" s="107">
        <v>29045</v>
      </c>
      <c r="AZ50" s="107">
        <v>30158</v>
      </c>
      <c r="BA50" s="107">
        <v>33739</v>
      </c>
      <c r="BB50" s="107">
        <v>33003</v>
      </c>
      <c r="BC50" s="107">
        <v>48314</v>
      </c>
      <c r="BD50" s="107">
        <v>47479</v>
      </c>
      <c r="BE50" s="107">
        <v>49309</v>
      </c>
      <c r="BF50" s="108">
        <v>51608</v>
      </c>
      <c r="BG50" s="108">
        <v>51811</v>
      </c>
      <c r="BH50" s="100">
        <v>8.4</v>
      </c>
      <c r="BI50" s="100">
        <v>8.1</v>
      </c>
      <c r="BJ50" s="100">
        <v>9.3000000000000007</v>
      </c>
      <c r="BK50" s="100">
        <v>9.1</v>
      </c>
      <c r="BL50" s="100">
        <v>9.1999999999999993</v>
      </c>
      <c r="BM50" s="100">
        <v>10.6</v>
      </c>
      <c r="BN50" s="109">
        <v>10.1</v>
      </c>
      <c r="BO50" s="109">
        <v>11.3</v>
      </c>
      <c r="BP50" s="109">
        <v>10.8</v>
      </c>
      <c r="BQ50" s="100">
        <v>11.6</v>
      </c>
      <c r="BR50" s="106">
        <v>5856</v>
      </c>
      <c r="BS50" s="118">
        <v>5820</v>
      </c>
      <c r="BT50" s="118">
        <v>3519</v>
      </c>
      <c r="BU50" s="110">
        <v>3465</v>
      </c>
      <c r="BV50" s="100">
        <v>31.591530054644807</v>
      </c>
      <c r="BW50" s="100">
        <v>34.106529209621996</v>
      </c>
      <c r="BX50" s="100">
        <v>40.096618357487927</v>
      </c>
      <c r="BY50" s="103">
        <v>41.18326118326118</v>
      </c>
      <c r="BZ50" s="100">
        <v>0.83674863387978149</v>
      </c>
      <c r="CA50" s="100">
        <v>0.8075601374570448</v>
      </c>
      <c r="CB50" s="100">
        <v>0.88093208297811876</v>
      </c>
      <c r="CC50" s="103">
        <v>1.1255411255411256</v>
      </c>
      <c r="CD50" s="100">
        <v>12.192622950819672</v>
      </c>
      <c r="CE50" s="100">
        <v>12.783505154639174</v>
      </c>
      <c r="CF50" s="100">
        <v>14.151747655583973</v>
      </c>
      <c r="CG50" s="103">
        <v>13.997113997113997</v>
      </c>
      <c r="CH50" s="100">
        <v>91.379310344827587</v>
      </c>
      <c r="CI50" s="105">
        <v>91.7</v>
      </c>
      <c r="CJ50" s="111">
        <v>89.3</v>
      </c>
      <c r="CK50" s="111">
        <v>92.682926829268297</v>
      </c>
      <c r="CL50" s="112">
        <v>1263</v>
      </c>
      <c r="CM50" s="112">
        <v>1419</v>
      </c>
      <c r="CN50" s="112">
        <v>1519</v>
      </c>
      <c r="CO50" s="112">
        <v>1558</v>
      </c>
      <c r="CP50" s="112"/>
      <c r="CQ50" s="113">
        <v>12.0134687821025</v>
      </c>
      <c r="CR50" s="113">
        <v>13.00319810862573</v>
      </c>
      <c r="CS50" s="113">
        <v>13.149124401623947</v>
      </c>
      <c r="CT50" s="113">
        <v>13.406417526438522</v>
      </c>
      <c r="CU50" s="112"/>
      <c r="CV50" s="114">
        <v>4.0420371867421183</v>
      </c>
      <c r="CW50" s="114">
        <v>3.9130434782608696</v>
      </c>
      <c r="CX50" s="114">
        <v>4.3419267299864313</v>
      </c>
      <c r="CY50" s="114">
        <v>4.8302872062663189</v>
      </c>
      <c r="CZ50" s="112"/>
      <c r="DA50" s="113">
        <v>7.1061643835616435</v>
      </c>
      <c r="DB50" s="113">
        <v>6.9337442218798149</v>
      </c>
      <c r="DC50" s="113">
        <v>7.184325108853411</v>
      </c>
      <c r="DD50" s="113">
        <v>8.4899095337508701</v>
      </c>
      <c r="DE50" s="112"/>
      <c r="DF50" s="113">
        <v>81.463414634146346</v>
      </c>
      <c r="DG50" s="113">
        <v>84.061135371179034</v>
      </c>
      <c r="DH50" s="113">
        <v>80.679546968687546</v>
      </c>
      <c r="DI50" s="113">
        <v>84.78964401294499</v>
      </c>
      <c r="DJ50" s="112"/>
      <c r="DK50" s="114">
        <v>15.802269043760131</v>
      </c>
      <c r="DL50" s="114">
        <v>16.227758007117437</v>
      </c>
      <c r="DM50" s="114">
        <v>16.523463317911435</v>
      </c>
      <c r="DN50" s="114">
        <v>14.829142488716958</v>
      </c>
      <c r="DO50" s="112"/>
      <c r="DP50" s="113">
        <v>20.522979397781299</v>
      </c>
      <c r="DQ50" s="113">
        <v>22.057787174066245</v>
      </c>
      <c r="DR50" s="113">
        <v>23.69980250164582</v>
      </c>
      <c r="DS50" s="113">
        <v>25.288831835686779</v>
      </c>
      <c r="DT50" s="112"/>
      <c r="DU50" s="115">
        <v>7</v>
      </c>
      <c r="DV50" s="115">
        <v>3</v>
      </c>
      <c r="DW50" s="115">
        <v>6</v>
      </c>
      <c r="DX50" s="115">
        <v>9</v>
      </c>
      <c r="DY50" s="112"/>
      <c r="DZ50" s="116">
        <v>2.41</v>
      </c>
      <c r="EA50" s="116">
        <v>2.3715415019762847</v>
      </c>
      <c r="EB50" s="116">
        <v>1</v>
      </c>
      <c r="EC50" s="116">
        <v>0.34843205574912894</v>
      </c>
      <c r="ED50" s="112"/>
      <c r="EE50" s="113">
        <v>98.561151079136692</v>
      </c>
      <c r="EF50" s="113">
        <v>0</v>
      </c>
      <c r="EG50" s="113">
        <v>0.35971223021582732</v>
      </c>
      <c r="EH50" s="113">
        <v>0</v>
      </c>
      <c r="EI50" s="113">
        <v>3.9855072463768115</v>
      </c>
      <c r="EJ50" s="113">
        <v>30.629608621667611</v>
      </c>
      <c r="EK50" s="113"/>
      <c r="EL50" s="115">
        <v>1089</v>
      </c>
      <c r="EM50" s="115">
        <v>1143</v>
      </c>
      <c r="EN50" s="115">
        <v>1151</v>
      </c>
      <c r="EO50" s="115">
        <v>1077</v>
      </c>
      <c r="EP50" s="112"/>
      <c r="EQ50" s="114">
        <v>1035.8406574591941</v>
      </c>
      <c r="ER50" s="114">
        <v>1047.4034840140387</v>
      </c>
      <c r="ES50" s="114">
        <v>996.35564096571181</v>
      </c>
      <c r="ET50" s="114">
        <v>926.74657740528164</v>
      </c>
      <c r="EU50" s="112"/>
      <c r="EV50" s="113">
        <v>800.94804174000001</v>
      </c>
      <c r="EW50" s="113">
        <v>792.99709017999999</v>
      </c>
      <c r="EX50" s="113">
        <v>726.94049565</v>
      </c>
      <c r="EY50" s="113">
        <v>659.39813242000002</v>
      </c>
      <c r="EZ50" s="112"/>
      <c r="FA50" s="115">
        <v>361</v>
      </c>
      <c r="FB50" s="115">
        <v>333</v>
      </c>
      <c r="FC50" s="115">
        <v>262</v>
      </c>
      <c r="FD50" s="115">
        <v>232</v>
      </c>
      <c r="FE50" s="112"/>
      <c r="FF50" s="115">
        <v>244</v>
      </c>
      <c r="FG50" s="115">
        <v>256</v>
      </c>
      <c r="FH50" s="115">
        <v>263</v>
      </c>
      <c r="FI50" s="115">
        <v>243</v>
      </c>
      <c r="FJ50" s="112"/>
      <c r="FK50" s="115">
        <v>105</v>
      </c>
      <c r="FL50" s="115">
        <v>119</v>
      </c>
      <c r="FM50" s="115">
        <v>89</v>
      </c>
      <c r="FN50" s="115">
        <v>73</v>
      </c>
      <c r="FO50" s="112"/>
      <c r="FP50" s="115">
        <v>51</v>
      </c>
      <c r="FQ50" s="115">
        <v>59</v>
      </c>
      <c r="FR50" s="115">
        <v>59</v>
      </c>
      <c r="FS50" s="115">
        <v>54</v>
      </c>
      <c r="FT50" s="112"/>
      <c r="FU50" s="113">
        <v>260.10508166</v>
      </c>
      <c r="FV50" s="113">
        <v>222.52689982999999</v>
      </c>
      <c r="FW50" s="113">
        <v>158.02399059000001</v>
      </c>
      <c r="FX50" s="113">
        <v>132.76579117</v>
      </c>
      <c r="FY50" s="112"/>
      <c r="FZ50" s="113">
        <v>185.86200891999999</v>
      </c>
      <c r="GA50" s="113">
        <v>186.02217786</v>
      </c>
      <c r="GB50" s="113">
        <v>179.11843039999999</v>
      </c>
      <c r="GC50" s="113">
        <v>158.61489596000001</v>
      </c>
      <c r="GD50" s="112"/>
      <c r="GE50" s="113">
        <v>72.003341390000003</v>
      </c>
      <c r="GF50" s="113">
        <v>77.052305939999997</v>
      </c>
      <c r="GG50" s="113">
        <v>51.278221780000003</v>
      </c>
      <c r="GH50" s="113">
        <v>41.16066369</v>
      </c>
      <c r="GI50" s="112"/>
      <c r="GJ50" s="113">
        <v>45.584440690000001</v>
      </c>
      <c r="GK50" s="113">
        <v>47.386139929999999</v>
      </c>
      <c r="GL50" s="113">
        <v>46.286926229999999</v>
      </c>
      <c r="GM50" s="113">
        <v>37.108665690000002</v>
      </c>
      <c r="GN50" s="112"/>
      <c r="GO50" s="113">
        <v>980.91708017999997</v>
      </c>
      <c r="GP50" s="113">
        <v>1022.14818648</v>
      </c>
      <c r="GQ50" s="113">
        <v>884.67908809999994</v>
      </c>
      <c r="GR50" s="113">
        <v>772.96873245999996</v>
      </c>
      <c r="GS50" s="112"/>
      <c r="GT50" s="113">
        <v>659.67394813999999</v>
      </c>
      <c r="GU50" s="113">
        <v>616.27469716999997</v>
      </c>
      <c r="GV50" s="113">
        <v>597.01698992000001</v>
      </c>
      <c r="GW50" s="113">
        <v>556.91867446000003</v>
      </c>
      <c r="GX50" s="112"/>
      <c r="GY50" s="112"/>
      <c r="GZ50" s="112"/>
      <c r="HA50" s="112"/>
      <c r="HB50" s="112"/>
      <c r="HC50" s="112"/>
      <c r="HD50" s="115">
        <v>212</v>
      </c>
      <c r="HE50" s="115">
        <v>0</v>
      </c>
      <c r="HF50" s="115">
        <v>0</v>
      </c>
      <c r="HG50" s="115">
        <v>1</v>
      </c>
      <c r="HH50" s="115">
        <v>3</v>
      </c>
      <c r="HI50" s="114">
        <v>32.46013667425968</v>
      </c>
      <c r="HJ50" s="114">
        <v>34.206695778748184</v>
      </c>
      <c r="HK50" s="113">
        <v>28.578121339892245</v>
      </c>
      <c r="HL50" s="112">
        <v>50</v>
      </c>
      <c r="HM50" s="112">
        <v>54</v>
      </c>
      <c r="HN50" s="112">
        <v>64</v>
      </c>
      <c r="HO50" s="112">
        <v>74</v>
      </c>
      <c r="HP50" s="112"/>
      <c r="HQ50" s="112">
        <v>83</v>
      </c>
      <c r="HR50" s="112">
        <v>90</v>
      </c>
      <c r="HS50" s="112">
        <v>99</v>
      </c>
      <c r="HT50" s="112">
        <v>122</v>
      </c>
      <c r="HU50" s="117"/>
    </row>
    <row r="51" spans="1:229" x14ac:dyDescent="0.2">
      <c r="A51" s="93">
        <v>48</v>
      </c>
      <c r="B51" s="98" t="s">
        <v>115</v>
      </c>
      <c r="C51" s="99">
        <v>26169</v>
      </c>
      <c r="D51" s="99">
        <v>26354</v>
      </c>
      <c r="E51" s="99">
        <v>26377</v>
      </c>
      <c r="F51" s="99">
        <v>26383</v>
      </c>
      <c r="G51" s="99">
        <v>26097</v>
      </c>
      <c r="H51" s="99">
        <v>10308</v>
      </c>
      <c r="I51" s="99">
        <v>10405</v>
      </c>
      <c r="J51" s="99">
        <v>10500</v>
      </c>
      <c r="K51" s="99">
        <v>10521</v>
      </c>
      <c r="L51" s="99">
        <v>10166</v>
      </c>
      <c r="M51" s="100">
        <v>23.35083972990131</v>
      </c>
      <c r="N51" s="100">
        <v>24.36699608210046</v>
      </c>
      <c r="O51" s="101">
        <v>25.563421828908556</v>
      </c>
      <c r="P51" s="101">
        <v>26.286433969053615</v>
      </c>
      <c r="Q51" s="102">
        <v>25.597955084900494</v>
      </c>
      <c r="R51" s="100">
        <v>27.679344375829629</v>
      </c>
      <c r="S51" s="100">
        <v>29.740950821589379</v>
      </c>
      <c r="T51" s="100">
        <v>30.053097345132745</v>
      </c>
      <c r="U51" s="100">
        <v>31.941945543960657</v>
      </c>
      <c r="V51" s="100">
        <v>33.229870366989225</v>
      </c>
      <c r="W51" s="100">
        <v>51.030184105730939</v>
      </c>
      <c r="X51" s="100">
        <v>54.107946903689843</v>
      </c>
      <c r="Y51" s="100">
        <v>55.616519174041301</v>
      </c>
      <c r="Z51" s="100">
        <v>58.228379513014275</v>
      </c>
      <c r="AA51" s="100">
        <v>58.827825451889723</v>
      </c>
      <c r="AB51" s="100" t="s">
        <v>183</v>
      </c>
      <c r="AC51" s="100">
        <v>7.7</v>
      </c>
      <c r="AD51" s="100">
        <v>9.1999999999999993</v>
      </c>
      <c r="AE51" s="100">
        <v>12.7</v>
      </c>
      <c r="AF51" s="100">
        <v>11.7</v>
      </c>
      <c r="AG51" s="99">
        <v>534.33333333333337</v>
      </c>
      <c r="AH51" s="99">
        <v>570.83333333333337</v>
      </c>
      <c r="AI51" s="104">
        <v>644.58333333333337</v>
      </c>
      <c r="AJ51" s="104">
        <v>789.08333333333337</v>
      </c>
      <c r="AK51" s="105">
        <v>954.33333333333337</v>
      </c>
      <c r="AL51" s="106">
        <v>24515</v>
      </c>
      <c r="AM51" s="106">
        <v>75</v>
      </c>
      <c r="AN51" s="106">
        <v>1211</v>
      </c>
      <c r="AO51" s="106">
        <v>80</v>
      </c>
      <c r="AP51" s="106">
        <v>0</v>
      </c>
      <c r="AQ51" s="106">
        <v>368</v>
      </c>
      <c r="AR51" s="106">
        <v>23778</v>
      </c>
      <c r="AS51" s="106">
        <v>97</v>
      </c>
      <c r="AT51" s="106">
        <v>1571</v>
      </c>
      <c r="AU51" s="106">
        <v>90</v>
      </c>
      <c r="AV51" s="106">
        <v>483</v>
      </c>
      <c r="AW51" s="106">
        <v>377</v>
      </c>
      <c r="AX51" s="107">
        <v>23972</v>
      </c>
      <c r="AY51" s="107">
        <v>24132</v>
      </c>
      <c r="AZ51" s="107">
        <v>25121</v>
      </c>
      <c r="BA51" s="107">
        <v>26811</v>
      </c>
      <c r="BB51" s="107">
        <v>27391</v>
      </c>
      <c r="BC51" s="107">
        <v>43037</v>
      </c>
      <c r="BD51" s="107">
        <v>42839</v>
      </c>
      <c r="BE51" s="107">
        <v>43616</v>
      </c>
      <c r="BF51" s="108">
        <v>46215</v>
      </c>
      <c r="BG51" s="108">
        <v>43128</v>
      </c>
      <c r="BH51" s="100">
        <v>10.199999999999999</v>
      </c>
      <c r="BI51" s="100">
        <v>10.199999999999999</v>
      </c>
      <c r="BJ51" s="100">
        <v>9.5</v>
      </c>
      <c r="BK51" s="100">
        <v>12.3</v>
      </c>
      <c r="BL51" s="100">
        <v>13.4</v>
      </c>
      <c r="BM51" s="100">
        <v>13.5</v>
      </c>
      <c r="BN51" s="109">
        <v>13.9</v>
      </c>
      <c r="BO51" s="109">
        <v>13.5</v>
      </c>
      <c r="BP51" s="109">
        <v>14.3</v>
      </c>
      <c r="BQ51" s="100">
        <v>18</v>
      </c>
      <c r="BR51" s="106">
        <v>6856</v>
      </c>
      <c r="BS51" s="118">
        <v>6683</v>
      </c>
      <c r="BT51" s="118">
        <v>6539</v>
      </c>
      <c r="BU51" s="110">
        <v>6514</v>
      </c>
      <c r="BV51" s="100">
        <v>31.505250875145858</v>
      </c>
      <c r="BW51" s="100">
        <v>35.537932066437229</v>
      </c>
      <c r="BX51" s="100">
        <v>38.323902737421619</v>
      </c>
      <c r="BY51" s="103">
        <v>40.574147988946883</v>
      </c>
      <c r="BZ51" s="100">
        <v>0.40840140023337224</v>
      </c>
      <c r="CA51" s="100">
        <v>0.35912015561873412</v>
      </c>
      <c r="CB51" s="100">
        <v>0.27527144823367489</v>
      </c>
      <c r="CC51" s="103">
        <v>0.23027325759901751</v>
      </c>
      <c r="CD51" s="100">
        <v>14.921236872812136</v>
      </c>
      <c r="CE51" s="100">
        <v>15.023193176717042</v>
      </c>
      <c r="CF51" s="100">
        <v>15.017586786970485</v>
      </c>
      <c r="CG51" s="103">
        <v>14.860300890389929</v>
      </c>
      <c r="CH51" s="100">
        <v>77.361563517915314</v>
      </c>
      <c r="CI51" s="105">
        <v>76.47</v>
      </c>
      <c r="CJ51" s="111">
        <v>77.739999999999995</v>
      </c>
      <c r="CK51" s="111">
        <v>77.966101694915253</v>
      </c>
      <c r="CL51" s="112">
        <v>1234</v>
      </c>
      <c r="CM51" s="112">
        <v>1346</v>
      </c>
      <c r="CN51" s="112">
        <v>1634</v>
      </c>
      <c r="CO51" s="112">
        <v>1791</v>
      </c>
      <c r="CP51" s="112"/>
      <c r="CQ51" s="113">
        <v>12.676692965154503</v>
      </c>
      <c r="CR51" s="113">
        <v>12.73343045806293</v>
      </c>
      <c r="CS51" s="113">
        <v>13.431756156906586</v>
      </c>
      <c r="CT51" s="113">
        <v>13.632211904399451</v>
      </c>
      <c r="CU51" s="112"/>
      <c r="CV51" s="114">
        <v>4.1245791245791246</v>
      </c>
      <c r="CW51" s="114">
        <v>3.793626707132018</v>
      </c>
      <c r="CX51" s="114">
        <v>4.5682102628285355</v>
      </c>
      <c r="CY51" s="114">
        <v>4.5559400230680511</v>
      </c>
      <c r="CZ51" s="112"/>
      <c r="DA51" s="113">
        <v>8.1008100810081007</v>
      </c>
      <c r="DB51" s="113">
        <v>8.387096774193548</v>
      </c>
      <c r="DC51" s="113">
        <v>9.0909090909090917</v>
      </c>
      <c r="DD51" s="113">
        <v>10.155239327296249</v>
      </c>
      <c r="DE51" s="112"/>
      <c r="DF51" s="113">
        <v>79.569892473118273</v>
      </c>
      <c r="DG51" s="113">
        <v>82.991647684130598</v>
      </c>
      <c r="DH51" s="113">
        <v>87.461010605115405</v>
      </c>
      <c r="DI51" s="113">
        <v>83.671171171171167</v>
      </c>
      <c r="DJ51" s="112"/>
      <c r="DK51" s="114">
        <v>26.315789473684209</v>
      </c>
      <c r="DL51" s="114">
        <v>22.93233082706767</v>
      </c>
      <c r="DM51" s="114">
        <v>20.238095238095237</v>
      </c>
      <c r="DN51" s="114">
        <v>20.63937184520471</v>
      </c>
      <c r="DO51" s="112"/>
      <c r="DP51" s="113">
        <v>35.899513776337116</v>
      </c>
      <c r="DQ51" s="113">
        <v>36.032689450222882</v>
      </c>
      <c r="DR51" s="113">
        <v>32.252141982864138</v>
      </c>
      <c r="DS51" s="113">
        <v>41.485203796761589</v>
      </c>
      <c r="DT51" s="112"/>
      <c r="DU51" s="115">
        <v>6</v>
      </c>
      <c r="DV51" s="115">
        <v>4</v>
      </c>
      <c r="DW51" s="115">
        <v>11</v>
      </c>
      <c r="DX51" s="115">
        <v>13</v>
      </c>
      <c r="DY51" s="112"/>
      <c r="DZ51" s="116">
        <v>3.42</v>
      </c>
      <c r="EA51" s="116">
        <v>6.3725490196078427</v>
      </c>
      <c r="EB51" s="116">
        <v>4.62</v>
      </c>
      <c r="EC51" s="116">
        <v>7.1563088512241055</v>
      </c>
      <c r="ED51" s="112"/>
      <c r="EE51" s="113">
        <v>86.349206349206355</v>
      </c>
      <c r="EF51" s="113">
        <v>0.63492063492063489</v>
      </c>
      <c r="EG51" s="113">
        <v>12.380952380952381</v>
      </c>
      <c r="EH51" s="113">
        <v>0.63492063492063489</v>
      </c>
      <c r="EI51" s="113">
        <v>0.31746031746031744</v>
      </c>
      <c r="EJ51" s="113">
        <v>41.481134286383877</v>
      </c>
      <c r="EK51" s="113"/>
      <c r="EL51" s="115">
        <v>1084</v>
      </c>
      <c r="EM51" s="115">
        <v>1217</v>
      </c>
      <c r="EN51" s="115">
        <v>1225</v>
      </c>
      <c r="EO51" s="115">
        <v>1315</v>
      </c>
      <c r="EP51" s="112"/>
      <c r="EQ51" s="114">
        <v>1113.576594345825</v>
      </c>
      <c r="ER51" s="114">
        <v>1151.3064537490777</v>
      </c>
      <c r="ES51" s="114">
        <v>1006.9707033176602</v>
      </c>
      <c r="ET51" s="114">
        <v>1000.9133810321206</v>
      </c>
      <c r="EU51" s="112"/>
      <c r="EV51" s="113">
        <v>863.69538096999997</v>
      </c>
      <c r="EW51" s="113">
        <v>873.47942604000002</v>
      </c>
      <c r="EX51" s="113">
        <v>791.54480480999996</v>
      </c>
      <c r="EY51" s="113">
        <v>782.33405541000002</v>
      </c>
      <c r="EZ51" s="112"/>
      <c r="FA51" s="115">
        <v>331</v>
      </c>
      <c r="FB51" s="115">
        <v>302</v>
      </c>
      <c r="FC51" s="115">
        <v>273</v>
      </c>
      <c r="FD51" s="115">
        <v>248</v>
      </c>
      <c r="FE51" s="112"/>
      <c r="FF51" s="115">
        <v>236</v>
      </c>
      <c r="FG51" s="115">
        <v>295</v>
      </c>
      <c r="FH51" s="115">
        <v>271</v>
      </c>
      <c r="FI51" s="115">
        <v>302</v>
      </c>
      <c r="FJ51" s="112"/>
      <c r="FK51" s="115">
        <v>100</v>
      </c>
      <c r="FL51" s="115">
        <v>91</v>
      </c>
      <c r="FM51" s="115">
        <v>92</v>
      </c>
      <c r="FN51" s="115">
        <v>67</v>
      </c>
      <c r="FO51" s="112"/>
      <c r="FP51" s="115">
        <v>47</v>
      </c>
      <c r="FQ51" s="115">
        <v>71</v>
      </c>
      <c r="FR51" s="115">
        <v>62</v>
      </c>
      <c r="FS51" s="115">
        <v>94</v>
      </c>
      <c r="FT51" s="112"/>
      <c r="FU51" s="113">
        <v>256.73655101999998</v>
      </c>
      <c r="FV51" s="113">
        <v>211.27782267000001</v>
      </c>
      <c r="FW51" s="113">
        <v>171.46587602</v>
      </c>
      <c r="FX51" s="113">
        <v>139.16525279999999</v>
      </c>
      <c r="FY51" s="112"/>
      <c r="FZ51" s="113">
        <v>197.37477258999999</v>
      </c>
      <c r="GA51" s="113">
        <v>221.11574175999999</v>
      </c>
      <c r="GB51" s="113">
        <v>183.14160719</v>
      </c>
      <c r="GC51" s="113">
        <v>188.6959884</v>
      </c>
      <c r="GD51" s="112"/>
      <c r="GE51" s="113">
        <v>74.582598329999996</v>
      </c>
      <c r="GF51" s="113">
        <v>63.186320360000003</v>
      </c>
      <c r="GG51" s="113">
        <v>55.488115780000001</v>
      </c>
      <c r="GH51" s="113">
        <v>37.207513659999996</v>
      </c>
      <c r="GI51" s="112"/>
      <c r="GJ51" s="113">
        <v>45.473058450000003</v>
      </c>
      <c r="GK51" s="113">
        <v>57.089253220000003</v>
      </c>
      <c r="GL51" s="113">
        <v>47.40715179</v>
      </c>
      <c r="GM51" s="113">
        <v>64.868525460000001</v>
      </c>
      <c r="GN51" s="112"/>
      <c r="GO51" s="113">
        <v>1090.49244385</v>
      </c>
      <c r="GP51" s="113">
        <v>1020.86822406</v>
      </c>
      <c r="GQ51" s="113">
        <v>978.32524672</v>
      </c>
      <c r="GR51" s="113">
        <v>935.09935317999998</v>
      </c>
      <c r="GS51" s="112"/>
      <c r="GT51" s="113">
        <v>685.35774967999998</v>
      </c>
      <c r="GU51" s="113">
        <v>748.00909653999997</v>
      </c>
      <c r="GV51" s="113">
        <v>646.85182781000003</v>
      </c>
      <c r="GW51" s="113">
        <v>656.93139542999995</v>
      </c>
      <c r="GX51" s="112"/>
      <c r="GY51" s="112"/>
      <c r="GZ51" s="112"/>
      <c r="HA51" s="112"/>
      <c r="HB51" s="112"/>
      <c r="HC51" s="112"/>
      <c r="HD51" s="115">
        <v>268</v>
      </c>
      <c r="HE51" s="115">
        <v>1</v>
      </c>
      <c r="HF51" s="115">
        <v>13</v>
      </c>
      <c r="HG51" s="115">
        <v>0</v>
      </c>
      <c r="HH51" s="115">
        <v>2</v>
      </c>
      <c r="HI51" s="114">
        <v>47.408343868520859</v>
      </c>
      <c r="HJ51" s="114">
        <v>48.611111111111114</v>
      </c>
      <c r="HK51" s="113">
        <v>33.652774682415867</v>
      </c>
      <c r="HL51" s="112">
        <v>49</v>
      </c>
      <c r="HM51" s="112">
        <v>50</v>
      </c>
      <c r="HN51" s="112">
        <v>73</v>
      </c>
      <c r="HO51" s="112">
        <v>79</v>
      </c>
      <c r="HP51" s="112"/>
      <c r="HQ51" s="112">
        <v>90</v>
      </c>
      <c r="HR51" s="112">
        <v>104</v>
      </c>
      <c r="HS51" s="112">
        <v>133</v>
      </c>
      <c r="HT51" s="112">
        <v>157</v>
      </c>
      <c r="HU51" s="117"/>
    </row>
    <row r="52" spans="1:229" x14ac:dyDescent="0.2">
      <c r="A52" s="93">
        <v>49</v>
      </c>
      <c r="B52" s="98" t="s">
        <v>116</v>
      </c>
      <c r="C52" s="99">
        <v>32919</v>
      </c>
      <c r="D52" s="99">
        <v>32733</v>
      </c>
      <c r="E52" s="99">
        <v>32893</v>
      </c>
      <c r="F52" s="99">
        <v>32883</v>
      </c>
      <c r="G52" s="99">
        <v>33198</v>
      </c>
      <c r="H52" s="99">
        <v>12817</v>
      </c>
      <c r="I52" s="99">
        <v>12912</v>
      </c>
      <c r="J52" s="99">
        <v>13023</v>
      </c>
      <c r="K52" s="99">
        <v>13101</v>
      </c>
      <c r="L52" s="99">
        <v>13080</v>
      </c>
      <c r="M52" s="100">
        <v>23.294051888769854</v>
      </c>
      <c r="N52" s="100">
        <v>23.735683649903379</v>
      </c>
      <c r="O52" s="101">
        <v>23.957454783994002</v>
      </c>
      <c r="P52" s="101">
        <v>25.325421133231242</v>
      </c>
      <c r="Q52" s="102">
        <v>25.201135825840037</v>
      </c>
      <c r="R52" s="100">
        <v>30.038660394056549</v>
      </c>
      <c r="S52" s="100">
        <v>30.541546872790686</v>
      </c>
      <c r="T52" s="100">
        <v>30.165870115265676</v>
      </c>
      <c r="U52" s="100">
        <v>32.039624808575802</v>
      </c>
      <c r="V52" s="100">
        <v>31.911973497397067</v>
      </c>
      <c r="W52" s="100">
        <v>53.3327122828264</v>
      </c>
      <c r="X52" s="100">
        <v>54.277230522694062</v>
      </c>
      <c r="Y52" s="100">
        <v>54.123324899259671</v>
      </c>
      <c r="Z52" s="100">
        <v>57.365045941807047</v>
      </c>
      <c r="AA52" s="100">
        <v>57.113109323237104</v>
      </c>
      <c r="AB52" s="100" t="s">
        <v>171</v>
      </c>
      <c r="AC52" s="100">
        <v>6.2</v>
      </c>
      <c r="AD52" s="100">
        <v>7.6</v>
      </c>
      <c r="AE52" s="100">
        <v>11.3</v>
      </c>
      <c r="AF52" s="100">
        <v>9.3000000000000007</v>
      </c>
      <c r="AG52" s="99">
        <v>573.5</v>
      </c>
      <c r="AH52" s="99">
        <v>603.16666666666663</v>
      </c>
      <c r="AI52" s="104">
        <v>694.91666666666663</v>
      </c>
      <c r="AJ52" s="104">
        <v>892.5</v>
      </c>
      <c r="AK52" s="105">
        <v>1074.8333333333333</v>
      </c>
      <c r="AL52" s="106">
        <v>32381</v>
      </c>
      <c r="AM52" s="106">
        <v>95</v>
      </c>
      <c r="AN52" s="106">
        <v>122</v>
      </c>
      <c r="AO52" s="106">
        <v>111</v>
      </c>
      <c r="AP52" s="106">
        <v>0</v>
      </c>
      <c r="AQ52" s="106">
        <v>267</v>
      </c>
      <c r="AR52" s="106">
        <v>32426</v>
      </c>
      <c r="AS52" s="106">
        <v>131</v>
      </c>
      <c r="AT52" s="106">
        <v>66</v>
      </c>
      <c r="AU52" s="106">
        <v>112</v>
      </c>
      <c r="AV52" s="106">
        <v>359</v>
      </c>
      <c r="AW52" s="106">
        <v>402</v>
      </c>
      <c r="AX52" s="107">
        <v>25416</v>
      </c>
      <c r="AY52" s="107">
        <v>25532</v>
      </c>
      <c r="AZ52" s="107">
        <v>26688</v>
      </c>
      <c r="BA52" s="107">
        <v>31240</v>
      </c>
      <c r="BB52" s="107">
        <v>31090</v>
      </c>
      <c r="BC52" s="107">
        <v>43712</v>
      </c>
      <c r="BD52" s="107">
        <v>47144</v>
      </c>
      <c r="BE52" s="107">
        <v>45706</v>
      </c>
      <c r="BF52" s="108">
        <v>45660</v>
      </c>
      <c r="BG52" s="108">
        <v>44908</v>
      </c>
      <c r="BH52" s="100">
        <v>10.1</v>
      </c>
      <c r="BI52" s="100">
        <v>10.199999999999999</v>
      </c>
      <c r="BJ52" s="100">
        <v>10.4</v>
      </c>
      <c r="BK52" s="100">
        <v>13.3</v>
      </c>
      <c r="BL52" s="100">
        <v>13.7</v>
      </c>
      <c r="BM52" s="100">
        <v>13</v>
      </c>
      <c r="BN52" s="109">
        <v>13.3</v>
      </c>
      <c r="BO52" s="109">
        <v>12.7</v>
      </c>
      <c r="BP52" s="109">
        <v>15.4</v>
      </c>
      <c r="BQ52" s="100">
        <v>15.9</v>
      </c>
      <c r="BR52" s="106">
        <v>5117</v>
      </c>
      <c r="BS52" s="118">
        <v>5128</v>
      </c>
      <c r="BT52" s="118">
        <v>5189</v>
      </c>
      <c r="BU52" s="110">
        <v>5190</v>
      </c>
      <c r="BV52" s="100">
        <v>37.912839554426419</v>
      </c>
      <c r="BW52" s="100">
        <v>40.191107644305774</v>
      </c>
      <c r="BX52" s="100">
        <v>43.168240508768548</v>
      </c>
      <c r="BY52" s="103">
        <v>41.078998073217726</v>
      </c>
      <c r="BZ52" s="100">
        <v>0.54719562243502051</v>
      </c>
      <c r="CA52" s="100">
        <v>0.52652106084243366</v>
      </c>
      <c r="CB52" s="100">
        <v>0.52033147041819228</v>
      </c>
      <c r="CC52" s="103">
        <v>0.40462427745664742</v>
      </c>
      <c r="CD52" s="100">
        <v>14.61794019933555</v>
      </c>
      <c r="CE52" s="100">
        <v>14.469578783151327</v>
      </c>
      <c r="CF52" s="100">
        <v>15.282328001541723</v>
      </c>
      <c r="CG52" s="103">
        <v>15.722543352601155</v>
      </c>
      <c r="CH52" s="100">
        <v>77.464788732394368</v>
      </c>
      <c r="CI52" s="105">
        <v>82.25</v>
      </c>
      <c r="CJ52" s="111">
        <v>83.19</v>
      </c>
      <c r="CK52" s="111">
        <v>81.609195402298852</v>
      </c>
      <c r="CL52" s="112">
        <v>1962</v>
      </c>
      <c r="CM52" s="112">
        <v>1996</v>
      </c>
      <c r="CN52" s="112">
        <v>2126</v>
      </c>
      <c r="CO52" s="112">
        <v>2196</v>
      </c>
      <c r="CP52" s="112"/>
      <c r="CQ52" s="113">
        <v>13.097026133974166</v>
      </c>
      <c r="CR52" s="113">
        <v>12.977387098032587</v>
      </c>
      <c r="CS52" s="113">
        <v>13.081708375123833</v>
      </c>
      <c r="CT52" s="113">
        <v>13.339326716314556</v>
      </c>
      <c r="CU52" s="112"/>
      <c r="CV52" s="114">
        <v>3.7532133676092543</v>
      </c>
      <c r="CW52" s="114">
        <v>3.6960985626283369</v>
      </c>
      <c r="CX52" s="114">
        <v>5.8795180722891569</v>
      </c>
      <c r="CY52" s="114">
        <v>4.9715909090909092</v>
      </c>
      <c r="CZ52" s="112"/>
      <c r="DA52" s="113">
        <v>6.3324538258575194</v>
      </c>
      <c r="DB52" s="113">
        <v>6.7152524726704845</v>
      </c>
      <c r="DC52" s="113">
        <v>9.2885375494071152</v>
      </c>
      <c r="DD52" s="113">
        <v>9.5609756097560972</v>
      </c>
      <c r="DE52" s="112"/>
      <c r="DF52" s="113">
        <v>87.596104561763198</v>
      </c>
      <c r="DG52" s="113">
        <v>89.101917255297678</v>
      </c>
      <c r="DH52" s="113">
        <v>91.184834123222743</v>
      </c>
      <c r="DI52" s="113">
        <v>89.178082191780817</v>
      </c>
      <c r="DJ52" s="112"/>
      <c r="DK52" s="114">
        <v>26.735218508997431</v>
      </c>
      <c r="DL52" s="114">
        <v>22.378324134470649</v>
      </c>
      <c r="DM52" s="114">
        <v>21.017907634307257</v>
      </c>
      <c r="DN52" s="114">
        <v>19.543378995433791</v>
      </c>
      <c r="DO52" s="112"/>
      <c r="DP52" s="113">
        <v>22.680937818552497</v>
      </c>
      <c r="DQ52" s="113">
        <v>28.406813627254508</v>
      </c>
      <c r="DR52" s="113">
        <v>29.492003762935088</v>
      </c>
      <c r="DS52" s="113">
        <v>33.196721311475407</v>
      </c>
      <c r="DT52" s="112"/>
      <c r="DU52" s="115">
        <v>12</v>
      </c>
      <c r="DV52" s="115">
        <v>8</v>
      </c>
      <c r="DW52" s="115">
        <v>17</v>
      </c>
      <c r="DX52" s="115">
        <v>14</v>
      </c>
      <c r="DY52" s="112"/>
      <c r="DZ52" s="116">
        <v>5.63</v>
      </c>
      <c r="EA52" s="116">
        <v>4.1420118343195265</v>
      </c>
      <c r="EB52" s="116">
        <v>4.8899999999999997</v>
      </c>
      <c r="EC52" s="116">
        <v>4.1379310344827589</v>
      </c>
      <c r="ED52" s="112"/>
      <c r="EE52" s="113">
        <v>98.039215686274517</v>
      </c>
      <c r="EF52" s="113">
        <v>0.24509803921568626</v>
      </c>
      <c r="EG52" s="113">
        <v>0.49019607843137253</v>
      </c>
      <c r="EH52" s="113">
        <v>0.98039215686274506</v>
      </c>
      <c r="EI52" s="113">
        <v>1.9607843137254901</v>
      </c>
      <c r="EJ52" s="113">
        <v>29.233314947600661</v>
      </c>
      <c r="EK52" s="113"/>
      <c r="EL52" s="115">
        <v>1369</v>
      </c>
      <c r="EM52" s="115">
        <v>1522</v>
      </c>
      <c r="EN52" s="115">
        <v>1525</v>
      </c>
      <c r="EO52" s="115">
        <v>1477</v>
      </c>
      <c r="EP52" s="112"/>
      <c r="EQ52" s="114">
        <v>913.85467774773872</v>
      </c>
      <c r="ER52" s="114">
        <v>989.55827470969928</v>
      </c>
      <c r="ES52" s="114">
        <v>938.36337121654969</v>
      </c>
      <c r="ET52" s="114">
        <v>897.18513479037335</v>
      </c>
      <c r="EU52" s="112"/>
      <c r="EV52" s="113">
        <v>785.23932674000002</v>
      </c>
      <c r="EW52" s="113">
        <v>816.56253228000003</v>
      </c>
      <c r="EX52" s="113">
        <v>745.09286285999997</v>
      </c>
      <c r="EY52" s="113">
        <v>692.97859959000004</v>
      </c>
      <c r="EZ52" s="112"/>
      <c r="FA52" s="115">
        <v>447</v>
      </c>
      <c r="FB52" s="115">
        <v>420</v>
      </c>
      <c r="FC52" s="115">
        <v>393</v>
      </c>
      <c r="FD52" s="115">
        <v>344</v>
      </c>
      <c r="FE52" s="112"/>
      <c r="FF52" s="115">
        <v>311</v>
      </c>
      <c r="FG52" s="115">
        <v>371</v>
      </c>
      <c r="FH52" s="115">
        <v>362</v>
      </c>
      <c r="FI52" s="115">
        <v>366</v>
      </c>
      <c r="FJ52" s="112"/>
      <c r="FK52" s="115">
        <v>123</v>
      </c>
      <c r="FL52" s="115">
        <v>140</v>
      </c>
      <c r="FM52" s="115">
        <v>114</v>
      </c>
      <c r="FN52" s="115">
        <v>81</v>
      </c>
      <c r="FO52" s="112"/>
      <c r="FP52" s="115">
        <v>69</v>
      </c>
      <c r="FQ52" s="115">
        <v>79</v>
      </c>
      <c r="FR52" s="115">
        <v>91</v>
      </c>
      <c r="FS52" s="115">
        <v>70</v>
      </c>
      <c r="FT52" s="112"/>
      <c r="FU52" s="113">
        <v>252.48247309000001</v>
      </c>
      <c r="FV52" s="113">
        <v>220.86804918000001</v>
      </c>
      <c r="FW52" s="113">
        <v>185.46176831</v>
      </c>
      <c r="FX52" s="113">
        <v>153.86843829</v>
      </c>
      <c r="FY52" s="112"/>
      <c r="FZ52" s="113">
        <v>183.60300050000001</v>
      </c>
      <c r="GA52" s="113">
        <v>205.36366267</v>
      </c>
      <c r="GB52" s="113">
        <v>183.44612316999999</v>
      </c>
      <c r="GC52" s="113">
        <v>177.39271690000001</v>
      </c>
      <c r="GD52" s="112"/>
      <c r="GE52" s="113">
        <v>66.538138450000005</v>
      </c>
      <c r="GF52" s="113">
        <v>70.843417650000006</v>
      </c>
      <c r="GG52" s="113">
        <v>52.664119229999997</v>
      </c>
      <c r="GH52" s="113">
        <v>35.53171794</v>
      </c>
      <c r="GI52" s="112"/>
      <c r="GJ52" s="113">
        <v>46.084755299999998</v>
      </c>
      <c r="GK52" s="113">
        <v>47.69030849</v>
      </c>
      <c r="GL52" s="113">
        <v>52.013795330000001</v>
      </c>
      <c r="GM52" s="113">
        <v>37.215839649999999</v>
      </c>
      <c r="GN52" s="112"/>
      <c r="GO52" s="113">
        <v>990.14231715999995</v>
      </c>
      <c r="GP52" s="113">
        <v>1010.6989594299999</v>
      </c>
      <c r="GQ52" s="113">
        <v>949.29218486000002</v>
      </c>
      <c r="GR52" s="113">
        <v>873.17989501</v>
      </c>
      <c r="GS52" s="112"/>
      <c r="GT52" s="113">
        <v>619.07137886999999</v>
      </c>
      <c r="GU52" s="113">
        <v>659.20080665</v>
      </c>
      <c r="GV52" s="113">
        <v>587.39598329</v>
      </c>
      <c r="GW52" s="113">
        <v>550.76350150999997</v>
      </c>
      <c r="GX52" s="112"/>
      <c r="GY52" s="112"/>
      <c r="GZ52" s="112"/>
      <c r="HA52" s="112"/>
      <c r="HB52" s="112"/>
      <c r="HC52" s="112"/>
      <c r="HD52" s="115">
        <v>262</v>
      </c>
      <c r="HE52" s="115">
        <v>0</v>
      </c>
      <c r="HF52" s="115">
        <v>2</v>
      </c>
      <c r="HG52" s="115">
        <v>0</v>
      </c>
      <c r="HH52" s="115">
        <v>0</v>
      </c>
      <c r="HI52" s="114">
        <v>35.578652808315013</v>
      </c>
      <c r="HJ52" s="114">
        <v>37.296834901625324</v>
      </c>
      <c r="HK52" s="113">
        <v>28.197857592942658</v>
      </c>
      <c r="HL52" s="112">
        <v>73</v>
      </c>
      <c r="HM52" s="112">
        <v>72</v>
      </c>
      <c r="HN52" s="112">
        <v>122</v>
      </c>
      <c r="HO52" s="112">
        <v>105</v>
      </c>
      <c r="HP52" s="112"/>
      <c r="HQ52" s="112">
        <v>120</v>
      </c>
      <c r="HR52" s="112">
        <v>129</v>
      </c>
      <c r="HS52" s="112">
        <v>188</v>
      </c>
      <c r="HT52" s="112">
        <v>196</v>
      </c>
      <c r="HU52" s="117"/>
    </row>
    <row r="53" spans="1:229" x14ac:dyDescent="0.2">
      <c r="A53" s="93">
        <v>50</v>
      </c>
      <c r="B53" s="98" t="s">
        <v>117</v>
      </c>
      <c r="C53" s="99">
        <v>38666</v>
      </c>
      <c r="D53" s="99">
        <v>38040</v>
      </c>
      <c r="E53" s="99">
        <v>37859</v>
      </c>
      <c r="F53" s="99">
        <v>38215</v>
      </c>
      <c r="G53" s="99">
        <v>39163</v>
      </c>
      <c r="H53" s="99">
        <v>16060</v>
      </c>
      <c r="I53" s="99">
        <v>16014</v>
      </c>
      <c r="J53" s="99">
        <v>15978</v>
      </c>
      <c r="K53" s="99">
        <v>16034</v>
      </c>
      <c r="L53" s="99">
        <v>15828</v>
      </c>
      <c r="M53" s="100">
        <v>29.436090225563909</v>
      </c>
      <c r="N53" s="100">
        <v>29.788957578341506</v>
      </c>
      <c r="O53" s="101">
        <v>29.957552630450628</v>
      </c>
      <c r="P53" s="101">
        <v>30.290617454294583</v>
      </c>
      <c r="Q53" s="102">
        <v>28.22954620735343</v>
      </c>
      <c r="R53" s="100">
        <v>32.076023391812861</v>
      </c>
      <c r="S53" s="100">
        <v>32.393945853762524</v>
      </c>
      <c r="T53" s="100">
        <v>32.36719118466749</v>
      </c>
      <c r="U53" s="100">
        <v>34.486029665401865</v>
      </c>
      <c r="V53" s="100">
        <v>33.922656508777742</v>
      </c>
      <c r="W53" s="100">
        <v>61.512113617376777</v>
      </c>
      <c r="X53" s="100">
        <v>62.182903432104034</v>
      </c>
      <c r="Y53" s="100">
        <v>62.324743815118126</v>
      </c>
      <c r="Z53" s="100">
        <v>64.776647119696449</v>
      </c>
      <c r="AA53" s="100">
        <v>62.152202716131171</v>
      </c>
      <c r="AB53" s="100" t="s">
        <v>178</v>
      </c>
      <c r="AC53" s="100">
        <v>4.0999999999999996</v>
      </c>
      <c r="AD53" s="100">
        <v>4.5999999999999996</v>
      </c>
      <c r="AE53" s="100">
        <v>6.4</v>
      </c>
      <c r="AF53" s="100">
        <v>5.7</v>
      </c>
      <c r="AG53" s="99">
        <v>1072.75</v>
      </c>
      <c r="AH53" s="99">
        <v>1055.25</v>
      </c>
      <c r="AI53" s="104">
        <v>1066.75</v>
      </c>
      <c r="AJ53" s="104">
        <v>1334.6666666666667</v>
      </c>
      <c r="AK53" s="105">
        <v>1721.8333333333333</v>
      </c>
      <c r="AL53" s="106">
        <v>37105</v>
      </c>
      <c r="AM53" s="106">
        <v>457</v>
      </c>
      <c r="AN53" s="106">
        <v>94</v>
      </c>
      <c r="AO53" s="106">
        <v>648</v>
      </c>
      <c r="AP53" s="106">
        <v>0</v>
      </c>
      <c r="AQ53" s="106">
        <v>2784</v>
      </c>
      <c r="AR53" s="106">
        <v>35495</v>
      </c>
      <c r="AS53" s="106">
        <v>818</v>
      </c>
      <c r="AT53" s="106">
        <v>97</v>
      </c>
      <c r="AU53" s="106">
        <v>689</v>
      </c>
      <c r="AV53" s="106">
        <v>728</v>
      </c>
      <c r="AW53" s="106">
        <v>4138</v>
      </c>
      <c r="AX53" s="107">
        <v>30930</v>
      </c>
      <c r="AY53" s="107">
        <v>31898</v>
      </c>
      <c r="AZ53" s="107">
        <v>34045</v>
      </c>
      <c r="BA53" s="107">
        <v>36798</v>
      </c>
      <c r="BB53" s="107">
        <v>36670</v>
      </c>
      <c r="BC53" s="107">
        <v>42707</v>
      </c>
      <c r="BD53" s="107">
        <v>41600</v>
      </c>
      <c r="BE53" s="107">
        <v>44721</v>
      </c>
      <c r="BF53" s="108">
        <v>47253</v>
      </c>
      <c r="BG53" s="108">
        <v>44234</v>
      </c>
      <c r="BH53" s="100">
        <v>11.2</v>
      </c>
      <c r="BI53" s="100">
        <v>11</v>
      </c>
      <c r="BJ53" s="100">
        <v>11.4</v>
      </c>
      <c r="BK53" s="100">
        <v>12.4</v>
      </c>
      <c r="BL53" s="100">
        <v>13.6</v>
      </c>
      <c r="BM53" s="100">
        <v>13.2</v>
      </c>
      <c r="BN53" s="109">
        <v>14.7</v>
      </c>
      <c r="BO53" s="109">
        <v>14.6</v>
      </c>
      <c r="BP53" s="109">
        <v>16</v>
      </c>
      <c r="BQ53" s="100">
        <v>17.7</v>
      </c>
      <c r="BR53" s="106">
        <v>5821</v>
      </c>
      <c r="BS53" s="118">
        <v>5804</v>
      </c>
      <c r="BT53" s="118">
        <v>5934</v>
      </c>
      <c r="BU53" s="110">
        <v>5937</v>
      </c>
      <c r="BV53" s="100">
        <v>43.566397526198244</v>
      </c>
      <c r="BW53" s="100">
        <v>44.710544452101999</v>
      </c>
      <c r="BX53" s="100">
        <v>47.590158409167508</v>
      </c>
      <c r="BY53" s="103">
        <v>48.408287013643253</v>
      </c>
      <c r="BZ53" s="100">
        <v>6.9919257859474326</v>
      </c>
      <c r="CA53" s="100">
        <v>8.0461750516884916</v>
      </c>
      <c r="CB53" s="100">
        <v>9.673070441523425</v>
      </c>
      <c r="CC53" s="103">
        <v>10.224018864746505</v>
      </c>
      <c r="CD53" s="100">
        <v>14.688197904140182</v>
      </c>
      <c r="CE53" s="100">
        <v>14.403859407305305</v>
      </c>
      <c r="CF53" s="100">
        <v>14.627569935962251</v>
      </c>
      <c r="CG53" s="103">
        <v>14.889674919993263</v>
      </c>
      <c r="CH53" s="100">
        <v>76.483050847457633</v>
      </c>
      <c r="CI53" s="105">
        <v>78.790000000000006</v>
      </c>
      <c r="CJ53" s="111">
        <v>79.92</v>
      </c>
      <c r="CK53" s="111">
        <v>75.569358178053832</v>
      </c>
      <c r="CL53" s="112">
        <v>2330</v>
      </c>
      <c r="CM53" s="112">
        <v>2296</v>
      </c>
      <c r="CN53" s="112">
        <v>2657</v>
      </c>
      <c r="CO53" s="112">
        <v>2865</v>
      </c>
      <c r="CP53" s="112"/>
      <c r="CQ53" s="113">
        <v>12.463025466293667</v>
      </c>
      <c r="CR53" s="113">
        <v>12.273021269316912</v>
      </c>
      <c r="CS53" s="113">
        <v>13.680714671884251</v>
      </c>
      <c r="CT53" s="113">
        <v>14.926306247167128</v>
      </c>
      <c r="CU53" s="112"/>
      <c r="CV53" s="114">
        <v>4.8330404217926191</v>
      </c>
      <c r="CW53" s="114">
        <v>5.2797833935018055</v>
      </c>
      <c r="CX53" s="114">
        <v>4.2951971885982037</v>
      </c>
      <c r="CY53" s="114">
        <v>4.6292947558770345</v>
      </c>
      <c r="CZ53" s="112"/>
      <c r="DA53" s="113">
        <v>7.9372856442920137</v>
      </c>
      <c r="DB53" s="113">
        <v>8.2330284063553201</v>
      </c>
      <c r="DC53" s="113">
        <v>8.1967213114754092</v>
      </c>
      <c r="DD53" s="113">
        <v>7.5441412520064208</v>
      </c>
      <c r="DE53" s="112"/>
      <c r="DF53" s="113">
        <v>77.085201793721978</v>
      </c>
      <c r="DG53" s="113">
        <v>77.857142857142861</v>
      </c>
      <c r="DH53" s="113">
        <v>72.55051467784979</v>
      </c>
      <c r="DI53" s="113">
        <v>67.030644593166613</v>
      </c>
      <c r="DJ53" s="112"/>
      <c r="DK53" s="114">
        <v>21.96078431372549</v>
      </c>
      <c r="DL53" s="114">
        <v>20.281566212054553</v>
      </c>
      <c r="DM53" s="114">
        <v>15.715904797884397</v>
      </c>
      <c r="DN53" s="114">
        <v>15.890794539726986</v>
      </c>
      <c r="DO53" s="112"/>
      <c r="DP53" s="113">
        <v>27.749140893470791</v>
      </c>
      <c r="DQ53" s="113">
        <v>32.229965156794428</v>
      </c>
      <c r="DR53" s="113">
        <v>37.07188558524652</v>
      </c>
      <c r="DS53" s="113">
        <v>44.677137870855148</v>
      </c>
      <c r="DT53" s="112"/>
      <c r="DU53" s="115">
        <v>19</v>
      </c>
      <c r="DV53" s="115">
        <v>18</v>
      </c>
      <c r="DW53" s="115">
        <v>9</v>
      </c>
      <c r="DX53" s="115">
        <v>13</v>
      </c>
      <c r="DY53" s="112"/>
      <c r="DZ53" s="116">
        <v>6.78</v>
      </c>
      <c r="EA53" s="116">
        <v>8.282828282828282</v>
      </c>
      <c r="EB53" s="116">
        <v>5.54</v>
      </c>
      <c r="EC53" s="116">
        <v>8.695652173913043</v>
      </c>
      <c r="ED53" s="112"/>
      <c r="EE53" s="113">
        <v>74.205607476635521</v>
      </c>
      <c r="EF53" s="113">
        <v>3.1775700934579438</v>
      </c>
      <c r="EG53" s="113">
        <v>0.18691588785046728</v>
      </c>
      <c r="EH53" s="113">
        <v>2.6168224299065419</v>
      </c>
      <c r="EI53" s="113">
        <v>22.056074766355142</v>
      </c>
      <c r="EJ53" s="113">
        <v>46.226415094339622</v>
      </c>
      <c r="EK53" s="113"/>
      <c r="EL53" s="115">
        <v>2102</v>
      </c>
      <c r="EM53" s="115">
        <v>2139</v>
      </c>
      <c r="EN53" s="115">
        <v>1987</v>
      </c>
      <c r="EO53" s="115">
        <v>1882</v>
      </c>
      <c r="EP53" s="112"/>
      <c r="EQ53" s="114">
        <v>1124.3467609506133</v>
      </c>
      <c r="ER53" s="114">
        <v>1143.3794640709441</v>
      </c>
      <c r="ES53" s="114">
        <v>1023.0929639832145</v>
      </c>
      <c r="ET53" s="114">
        <v>980.49941909837821</v>
      </c>
      <c r="EU53" s="112"/>
      <c r="EV53" s="113">
        <v>765.10963990000005</v>
      </c>
      <c r="EW53" s="113">
        <v>739.28375214000005</v>
      </c>
      <c r="EX53" s="113">
        <v>648.45788877999996</v>
      </c>
      <c r="EY53" s="113">
        <v>610.07941951999999</v>
      </c>
      <c r="EZ53" s="112"/>
      <c r="FA53" s="115">
        <v>607</v>
      </c>
      <c r="FB53" s="115">
        <v>628</v>
      </c>
      <c r="FC53" s="115">
        <v>428</v>
      </c>
      <c r="FD53" s="115">
        <v>385</v>
      </c>
      <c r="FE53" s="112"/>
      <c r="FF53" s="115">
        <v>518</v>
      </c>
      <c r="FG53" s="115">
        <v>538</v>
      </c>
      <c r="FH53" s="115">
        <v>502</v>
      </c>
      <c r="FI53" s="115">
        <v>465</v>
      </c>
      <c r="FJ53" s="112"/>
      <c r="FK53" s="115">
        <v>190</v>
      </c>
      <c r="FL53" s="115">
        <v>173</v>
      </c>
      <c r="FM53" s="115">
        <v>147</v>
      </c>
      <c r="FN53" s="115">
        <v>88</v>
      </c>
      <c r="FO53" s="112"/>
      <c r="FP53" s="115">
        <v>68</v>
      </c>
      <c r="FQ53" s="115">
        <v>76</v>
      </c>
      <c r="FR53" s="115">
        <v>89</v>
      </c>
      <c r="FS53" s="115">
        <v>90</v>
      </c>
      <c r="FT53" s="112"/>
      <c r="FU53" s="113">
        <v>213.13360872000001</v>
      </c>
      <c r="FV53" s="113">
        <v>208.09018821999999</v>
      </c>
      <c r="FW53" s="113">
        <v>130.11136994</v>
      </c>
      <c r="FX53" s="113">
        <v>117.27447683</v>
      </c>
      <c r="FY53" s="112"/>
      <c r="FZ53" s="113">
        <v>190.30641328999999</v>
      </c>
      <c r="GA53" s="113">
        <v>193.95654884000001</v>
      </c>
      <c r="GB53" s="113">
        <v>179.22759782</v>
      </c>
      <c r="GC53" s="113">
        <v>166.22210552999999</v>
      </c>
      <c r="GD53" s="112"/>
      <c r="GE53" s="113">
        <v>63.486821069999998</v>
      </c>
      <c r="GF53" s="113">
        <v>54.099338150000001</v>
      </c>
      <c r="GG53" s="113">
        <v>42.110365450000003</v>
      </c>
      <c r="GH53" s="113">
        <v>26.65144643</v>
      </c>
      <c r="GI53" s="112"/>
      <c r="GJ53" s="113">
        <v>28.86786107</v>
      </c>
      <c r="GK53" s="113">
        <v>33.154669290000001</v>
      </c>
      <c r="GL53" s="113">
        <v>35.283509279999997</v>
      </c>
      <c r="GM53" s="113">
        <v>33.462707389999998</v>
      </c>
      <c r="GN53" s="112"/>
      <c r="GO53" s="113">
        <v>1027.4653332600001</v>
      </c>
      <c r="GP53" s="113">
        <v>912.45065159000001</v>
      </c>
      <c r="GQ53" s="113">
        <v>799.79594342999997</v>
      </c>
      <c r="GR53" s="113">
        <v>797.28045597000005</v>
      </c>
      <c r="GS53" s="112"/>
      <c r="GT53" s="113">
        <v>597.98964191000005</v>
      </c>
      <c r="GU53" s="113">
        <v>614.04858490000004</v>
      </c>
      <c r="GV53" s="113">
        <v>532.97674543000005</v>
      </c>
      <c r="GW53" s="113">
        <v>476.46416871999998</v>
      </c>
      <c r="GX53" s="112"/>
      <c r="GY53" s="112"/>
      <c r="GZ53" s="112"/>
      <c r="HA53" s="112"/>
      <c r="HB53" s="112"/>
      <c r="HC53" s="112"/>
      <c r="HD53" s="115">
        <v>348</v>
      </c>
      <c r="HE53" s="115">
        <v>1</v>
      </c>
      <c r="HF53" s="115">
        <v>0</v>
      </c>
      <c r="HG53" s="115">
        <v>2</v>
      </c>
      <c r="HH53" s="115">
        <v>4</v>
      </c>
      <c r="HI53" s="114">
        <v>45.142464812907654</v>
      </c>
      <c r="HJ53" s="114">
        <v>38.011251330393797</v>
      </c>
      <c r="HK53" s="113">
        <v>43.632987776574346</v>
      </c>
      <c r="HL53" s="112">
        <v>110</v>
      </c>
      <c r="HM53" s="112">
        <v>117</v>
      </c>
      <c r="HN53" s="112">
        <v>110</v>
      </c>
      <c r="HO53" s="112">
        <v>128</v>
      </c>
      <c r="HP53" s="112"/>
      <c r="HQ53" s="112">
        <v>162</v>
      </c>
      <c r="HR53" s="112">
        <v>171</v>
      </c>
      <c r="HS53" s="112">
        <v>190</v>
      </c>
      <c r="HT53" s="112">
        <v>188</v>
      </c>
      <c r="HU53" s="117"/>
    </row>
    <row r="54" spans="1:229" x14ac:dyDescent="0.2">
      <c r="A54" s="93">
        <v>51</v>
      </c>
      <c r="B54" s="98" t="s">
        <v>118</v>
      </c>
      <c r="C54" s="99">
        <v>8778</v>
      </c>
      <c r="D54" s="99">
        <v>8511</v>
      </c>
      <c r="E54" s="99">
        <v>8389</v>
      </c>
      <c r="F54" s="99">
        <v>8416</v>
      </c>
      <c r="G54" s="99">
        <v>8725</v>
      </c>
      <c r="H54" s="99">
        <v>3717</v>
      </c>
      <c r="I54" s="99">
        <v>3711</v>
      </c>
      <c r="J54" s="99">
        <v>3682</v>
      </c>
      <c r="K54" s="99">
        <v>3660</v>
      </c>
      <c r="L54" s="99">
        <v>3717</v>
      </c>
      <c r="M54" s="100">
        <v>34.298892988929893</v>
      </c>
      <c r="N54" s="100">
        <v>35.05725190839695</v>
      </c>
      <c r="O54" s="101">
        <v>35.336166924265846</v>
      </c>
      <c r="P54" s="101">
        <v>36.418786692759298</v>
      </c>
      <c r="Q54" s="102">
        <v>37.526447393729562</v>
      </c>
      <c r="R54" s="100">
        <v>27.656826568265679</v>
      </c>
      <c r="S54" s="100">
        <v>27.36641221374046</v>
      </c>
      <c r="T54" s="100">
        <v>26.738794435857805</v>
      </c>
      <c r="U54" s="100">
        <v>28.277886497064578</v>
      </c>
      <c r="V54" s="100">
        <v>30.294287362954414</v>
      </c>
      <c r="W54" s="100">
        <v>61.955719557195579</v>
      </c>
      <c r="X54" s="100">
        <v>62.423664122137403</v>
      </c>
      <c r="Y54" s="100">
        <v>62.074961360123652</v>
      </c>
      <c r="Z54" s="100">
        <v>64.696673189823869</v>
      </c>
      <c r="AA54" s="100">
        <v>67.820734756683976</v>
      </c>
      <c r="AB54" s="100" t="s">
        <v>185</v>
      </c>
      <c r="AC54" s="100">
        <v>4.4000000000000004</v>
      </c>
      <c r="AD54" s="100">
        <v>5.2</v>
      </c>
      <c r="AE54" s="100">
        <v>5.9</v>
      </c>
      <c r="AF54" s="100">
        <v>5.4</v>
      </c>
      <c r="AG54" s="99">
        <v>103.91666666666667</v>
      </c>
      <c r="AH54" s="99">
        <v>114</v>
      </c>
      <c r="AI54" s="104">
        <v>124.58333333333333</v>
      </c>
      <c r="AJ54" s="104">
        <v>161.25</v>
      </c>
      <c r="AK54" s="105">
        <v>186.5</v>
      </c>
      <c r="AL54" s="106">
        <v>8631</v>
      </c>
      <c r="AM54" s="106">
        <v>21</v>
      </c>
      <c r="AN54" s="106">
        <v>30</v>
      </c>
      <c r="AO54" s="106">
        <v>32</v>
      </c>
      <c r="AP54" s="106">
        <v>0</v>
      </c>
      <c r="AQ54" s="106">
        <v>201</v>
      </c>
      <c r="AR54" s="106">
        <v>8435</v>
      </c>
      <c r="AS54" s="106">
        <v>25</v>
      </c>
      <c r="AT54" s="106">
        <v>11</v>
      </c>
      <c r="AU54" s="106">
        <v>80</v>
      </c>
      <c r="AV54" s="106">
        <v>71</v>
      </c>
      <c r="AW54" s="106">
        <v>242</v>
      </c>
      <c r="AX54" s="107">
        <v>30404</v>
      </c>
      <c r="AY54" s="107">
        <v>30015</v>
      </c>
      <c r="AZ54" s="107">
        <v>33308</v>
      </c>
      <c r="BA54" s="107">
        <v>43665</v>
      </c>
      <c r="BB54" s="107">
        <v>43720</v>
      </c>
      <c r="BC54" s="107">
        <v>40622</v>
      </c>
      <c r="BD54" s="107">
        <v>44890</v>
      </c>
      <c r="BE54" s="107">
        <v>44359</v>
      </c>
      <c r="BF54" s="108">
        <v>45601</v>
      </c>
      <c r="BG54" s="108">
        <v>44737</v>
      </c>
      <c r="BH54" s="100">
        <v>8.5</v>
      </c>
      <c r="BI54" s="100">
        <v>8.1999999999999993</v>
      </c>
      <c r="BJ54" s="100">
        <v>8.3000000000000007</v>
      </c>
      <c r="BK54" s="100">
        <v>8.9</v>
      </c>
      <c r="BL54" s="100">
        <v>10.199999999999999</v>
      </c>
      <c r="BM54" s="100">
        <v>10.4</v>
      </c>
      <c r="BN54" s="109">
        <v>9.6999999999999993</v>
      </c>
      <c r="BO54" s="109">
        <v>10.4</v>
      </c>
      <c r="BP54" s="109">
        <v>11</v>
      </c>
      <c r="BQ54" s="100">
        <v>13.7</v>
      </c>
      <c r="BR54" s="106">
        <v>1156</v>
      </c>
      <c r="BS54" s="118">
        <v>1132</v>
      </c>
      <c r="BT54" s="118">
        <v>1140</v>
      </c>
      <c r="BU54" s="110">
        <v>1141</v>
      </c>
      <c r="BV54" s="100">
        <v>30.709342560553633</v>
      </c>
      <c r="BW54" s="100">
        <v>31.978798586572438</v>
      </c>
      <c r="BX54" s="100">
        <v>32.982456140350877</v>
      </c>
      <c r="BY54" s="103">
        <v>35.144609991235761</v>
      </c>
      <c r="BZ54" s="100">
        <v>2.5086505190311419</v>
      </c>
      <c r="CA54" s="100">
        <v>2.6501766784452299</v>
      </c>
      <c r="CB54" s="100">
        <v>2.5438596491228069</v>
      </c>
      <c r="CC54" s="103">
        <v>3.5933391761612619</v>
      </c>
      <c r="CD54" s="100">
        <v>16.435986159169548</v>
      </c>
      <c r="CE54" s="100">
        <v>17.491166077738516</v>
      </c>
      <c r="CF54" s="100">
        <v>18.245614035087719</v>
      </c>
      <c r="CG54" s="103">
        <v>18.054338299737072</v>
      </c>
      <c r="CH54" s="100">
        <v>90.082644628099175</v>
      </c>
      <c r="CI54" s="105">
        <v>91.74</v>
      </c>
      <c r="CJ54" s="111">
        <v>91.74</v>
      </c>
      <c r="CK54" s="111">
        <v>91.666666666666671</v>
      </c>
      <c r="CL54" s="112">
        <v>542</v>
      </c>
      <c r="CM54" s="112">
        <v>443</v>
      </c>
      <c r="CN54" s="112">
        <v>468</v>
      </c>
      <c r="CO54" s="112">
        <v>449</v>
      </c>
      <c r="CP54" s="112"/>
      <c r="CQ54" s="113">
        <v>11.244346707605494</v>
      </c>
      <c r="CR54" s="113">
        <v>9.3584299807761369</v>
      </c>
      <c r="CS54" s="113">
        <v>10.420377627360171</v>
      </c>
      <c r="CT54" s="113">
        <v>10.48599920595997</v>
      </c>
      <c r="CU54" s="112"/>
      <c r="CV54" s="114">
        <v>2.4344569288389515</v>
      </c>
      <c r="CW54" s="114">
        <v>2.8571428571428572</v>
      </c>
      <c r="CX54" s="114">
        <v>4.4052863436123344</v>
      </c>
      <c r="CY54" s="114">
        <v>4.3280182232346238</v>
      </c>
      <c r="CZ54" s="112"/>
      <c r="DA54" s="113">
        <v>7.6320939334637963</v>
      </c>
      <c r="DB54" s="113">
        <v>8.1218274111675122</v>
      </c>
      <c r="DC54" s="113">
        <v>9.8522167487684733</v>
      </c>
      <c r="DD54" s="113">
        <v>12.041884816753926</v>
      </c>
      <c r="DE54" s="112"/>
      <c r="DF54" s="113">
        <v>84.848484848484844</v>
      </c>
      <c r="DG54" s="113">
        <v>87.323943661971825</v>
      </c>
      <c r="DH54" s="113">
        <v>84.848484848484844</v>
      </c>
      <c r="DI54" s="113">
        <v>81.922196796338667</v>
      </c>
      <c r="DJ54" s="112"/>
      <c r="DK54" s="114">
        <v>7.6045627376425857</v>
      </c>
      <c r="DL54" s="114">
        <v>10.091743119266056</v>
      </c>
      <c r="DM54" s="114">
        <v>13.304721030042918</v>
      </c>
      <c r="DN54" s="114">
        <v>15.401785714285714</v>
      </c>
      <c r="DO54" s="112"/>
      <c r="DP54" s="113">
        <v>9.0405904059040587</v>
      </c>
      <c r="DQ54" s="113">
        <v>15.801354401805868</v>
      </c>
      <c r="DR54" s="113">
        <v>24.358974358974358</v>
      </c>
      <c r="DS54" s="113">
        <v>32.739420935412028</v>
      </c>
      <c r="DT54" s="112"/>
      <c r="DU54" s="115">
        <v>3</v>
      </c>
      <c r="DV54" s="115">
        <v>2</v>
      </c>
      <c r="DW54" s="115">
        <v>4</v>
      </c>
      <c r="DX54" s="115">
        <v>1</v>
      </c>
      <c r="DY54" s="112"/>
      <c r="DZ54" s="116">
        <v>0.83</v>
      </c>
      <c r="EA54" s="116">
        <v>3.3057851239669422</v>
      </c>
      <c r="EB54" s="116">
        <v>0.92</v>
      </c>
      <c r="EC54" s="116">
        <v>2.7777777777777777</v>
      </c>
      <c r="ED54" s="112"/>
      <c r="EE54" s="113">
        <v>91.764705882352942</v>
      </c>
      <c r="EF54" s="113">
        <v>0</v>
      </c>
      <c r="EG54" s="113">
        <v>0</v>
      </c>
      <c r="EH54" s="113">
        <v>1.1764705882352942</v>
      </c>
      <c r="EI54" s="113">
        <v>7.0588235294117645</v>
      </c>
      <c r="EJ54" s="113">
        <v>31.875463306152707</v>
      </c>
      <c r="EK54" s="113"/>
      <c r="EL54" s="115">
        <v>512</v>
      </c>
      <c r="EM54" s="115">
        <v>506</v>
      </c>
      <c r="EN54" s="115">
        <v>496</v>
      </c>
      <c r="EO54" s="115">
        <v>467</v>
      </c>
      <c r="EP54" s="112"/>
      <c r="EQ54" s="114">
        <v>1062.196589353139</v>
      </c>
      <c r="ER54" s="114">
        <v>1068.9312799712698</v>
      </c>
      <c r="ES54" s="114">
        <v>1104.3819023868898</v>
      </c>
      <c r="ET54" s="114">
        <v>1090.6373338938322</v>
      </c>
      <c r="EU54" s="112"/>
      <c r="EV54" s="113">
        <v>699.19804631</v>
      </c>
      <c r="EW54" s="113">
        <v>665.91343343999995</v>
      </c>
      <c r="EX54" s="113">
        <v>635.85118575000001</v>
      </c>
      <c r="EY54" s="113">
        <v>590.51811856999996</v>
      </c>
      <c r="EZ54" s="112"/>
      <c r="FA54" s="115">
        <v>173</v>
      </c>
      <c r="FB54" s="115">
        <v>194</v>
      </c>
      <c r="FC54" s="115">
        <v>141</v>
      </c>
      <c r="FD54" s="115">
        <v>114</v>
      </c>
      <c r="FE54" s="112"/>
      <c r="FF54" s="115">
        <v>125</v>
      </c>
      <c r="FG54" s="115">
        <v>112</v>
      </c>
      <c r="FH54" s="115">
        <v>150</v>
      </c>
      <c r="FI54" s="115">
        <v>108</v>
      </c>
      <c r="FJ54" s="112"/>
      <c r="FK54" s="115">
        <v>45</v>
      </c>
      <c r="FL54" s="115">
        <v>53</v>
      </c>
      <c r="FM54" s="115">
        <v>28</v>
      </c>
      <c r="FN54" s="115">
        <v>26</v>
      </c>
      <c r="FO54" s="112"/>
      <c r="FP54" s="115">
        <v>15</v>
      </c>
      <c r="FQ54" s="115">
        <v>16</v>
      </c>
      <c r="FR54" s="115">
        <v>27</v>
      </c>
      <c r="FS54" s="115">
        <v>21</v>
      </c>
      <c r="FT54" s="112"/>
      <c r="FU54" s="113">
        <v>233.95154248</v>
      </c>
      <c r="FV54" s="113">
        <v>251.25222822999999</v>
      </c>
      <c r="FW54" s="113">
        <v>159.46329333</v>
      </c>
      <c r="FX54" s="113">
        <v>129.60141406</v>
      </c>
      <c r="FY54" s="112"/>
      <c r="FZ54" s="113">
        <v>171.11665042000001</v>
      </c>
      <c r="GA54" s="113">
        <v>146.12868406999999</v>
      </c>
      <c r="GB54" s="113">
        <v>205.09102665</v>
      </c>
      <c r="GC54" s="113">
        <v>141.36012421999999</v>
      </c>
      <c r="GD54" s="112"/>
      <c r="GE54" s="113">
        <v>58.576062489999998</v>
      </c>
      <c r="GF54" s="113">
        <v>65.168575110000006</v>
      </c>
      <c r="GG54" s="113">
        <v>32.279859520000002</v>
      </c>
      <c r="GH54" s="113">
        <v>29.99055229</v>
      </c>
      <c r="GI54" s="112"/>
      <c r="GJ54" s="113" t="s">
        <v>46</v>
      </c>
      <c r="GK54" s="113" t="s">
        <v>46</v>
      </c>
      <c r="GL54" s="113">
        <v>48.165061629999997</v>
      </c>
      <c r="GM54" s="113">
        <v>36.530875979999998</v>
      </c>
      <c r="GN54" s="112"/>
      <c r="GO54" s="113">
        <v>937.33547114999999</v>
      </c>
      <c r="GP54" s="113">
        <v>860.12846820000004</v>
      </c>
      <c r="GQ54" s="113">
        <v>808.12756119999995</v>
      </c>
      <c r="GR54" s="113">
        <v>698.31626891999997</v>
      </c>
      <c r="GS54" s="112"/>
      <c r="GT54" s="113">
        <v>528.20773761999999</v>
      </c>
      <c r="GU54" s="113">
        <v>519.80163519999996</v>
      </c>
      <c r="GV54" s="113">
        <v>495.02684581</v>
      </c>
      <c r="GW54" s="113">
        <v>501.71623433000002</v>
      </c>
      <c r="GX54" s="112"/>
      <c r="GY54" s="112"/>
      <c r="GZ54" s="112"/>
      <c r="HA54" s="112"/>
      <c r="HB54" s="112"/>
      <c r="HC54" s="112"/>
      <c r="HD54" s="115">
        <v>87</v>
      </c>
      <c r="HE54" s="115">
        <v>1</v>
      </c>
      <c r="HF54" s="115">
        <v>0</v>
      </c>
      <c r="HG54" s="115">
        <v>0</v>
      </c>
      <c r="HH54" s="115">
        <v>0</v>
      </c>
      <c r="HI54" s="114">
        <v>16.818500350385424</v>
      </c>
      <c r="HJ54" s="114">
        <v>21.875</v>
      </c>
      <c r="HK54" s="113">
        <v>26.266416510318951</v>
      </c>
      <c r="HL54" s="112">
        <v>13</v>
      </c>
      <c r="HM54" s="112">
        <v>12</v>
      </c>
      <c r="HN54" s="112">
        <v>20</v>
      </c>
      <c r="HO54" s="112">
        <v>19</v>
      </c>
      <c r="HP54" s="112"/>
      <c r="HQ54" s="112">
        <v>39</v>
      </c>
      <c r="HR54" s="112">
        <v>32</v>
      </c>
      <c r="HS54" s="112">
        <v>40</v>
      </c>
      <c r="HT54" s="112">
        <v>46</v>
      </c>
      <c r="HU54" s="117"/>
    </row>
    <row r="55" spans="1:229" ht="21" customHeight="1" x14ac:dyDescent="0.2">
      <c r="A55" s="93">
        <v>52</v>
      </c>
      <c r="B55" s="98" t="s">
        <v>119</v>
      </c>
      <c r="C55" s="99">
        <v>31313</v>
      </c>
      <c r="D55" s="99">
        <v>31680</v>
      </c>
      <c r="E55" s="99">
        <v>32027</v>
      </c>
      <c r="F55" s="99">
        <v>32224</v>
      </c>
      <c r="G55" s="99">
        <v>32727</v>
      </c>
      <c r="H55" s="99">
        <v>11846</v>
      </c>
      <c r="I55" s="99">
        <v>11948</v>
      </c>
      <c r="J55" s="99">
        <v>12023</v>
      </c>
      <c r="K55" s="99">
        <v>12102</v>
      </c>
      <c r="L55" s="99">
        <v>12201</v>
      </c>
      <c r="M55" s="100">
        <v>16.877790941401621</v>
      </c>
      <c r="N55" s="100">
        <v>17.419529348120097</v>
      </c>
      <c r="O55" s="101">
        <v>18.284738757356575</v>
      </c>
      <c r="P55" s="101">
        <v>18.425175701687632</v>
      </c>
      <c r="Q55" s="102">
        <v>17.290544716164916</v>
      </c>
      <c r="R55" s="100">
        <v>25.80424678756949</v>
      </c>
      <c r="S55" s="100">
        <v>25.398972139572628</v>
      </c>
      <c r="T55" s="100">
        <v>25.598634260299203</v>
      </c>
      <c r="U55" s="100">
        <v>25.824790724741483</v>
      </c>
      <c r="V55" s="100">
        <v>27.174009005032225</v>
      </c>
      <c r="W55" s="100">
        <v>42.68203772897111</v>
      </c>
      <c r="X55" s="100">
        <v>42.818501487692721</v>
      </c>
      <c r="Y55" s="100">
        <v>43.883373017655778</v>
      </c>
      <c r="Z55" s="100">
        <v>44.249966426429118</v>
      </c>
      <c r="AA55" s="100">
        <v>44.464553721197142</v>
      </c>
      <c r="AB55" s="100" t="s">
        <v>186</v>
      </c>
      <c r="AC55" s="100">
        <v>3.6</v>
      </c>
      <c r="AD55" s="100">
        <v>4.4000000000000004</v>
      </c>
      <c r="AE55" s="100">
        <v>6.4</v>
      </c>
      <c r="AF55" s="100">
        <v>5.8</v>
      </c>
      <c r="AG55" s="99">
        <v>540.08333333333337</v>
      </c>
      <c r="AH55" s="99">
        <v>559.66666666666663</v>
      </c>
      <c r="AI55" s="104">
        <v>561.16666666666663</v>
      </c>
      <c r="AJ55" s="104">
        <v>769.83333333333337</v>
      </c>
      <c r="AK55" s="105">
        <v>941.16666666666663</v>
      </c>
      <c r="AL55" s="106">
        <v>30074</v>
      </c>
      <c r="AM55" s="106">
        <v>482</v>
      </c>
      <c r="AN55" s="106">
        <v>79</v>
      </c>
      <c r="AO55" s="106">
        <v>433</v>
      </c>
      <c r="AP55" s="106">
        <v>0</v>
      </c>
      <c r="AQ55" s="106">
        <v>763</v>
      </c>
      <c r="AR55" s="106">
        <v>30666</v>
      </c>
      <c r="AS55" s="106">
        <v>667</v>
      </c>
      <c r="AT55" s="106">
        <v>99</v>
      </c>
      <c r="AU55" s="106">
        <v>432</v>
      </c>
      <c r="AV55" s="106">
        <v>466</v>
      </c>
      <c r="AW55" s="106">
        <v>1226</v>
      </c>
      <c r="AX55" s="107">
        <v>31760</v>
      </c>
      <c r="AY55" s="107">
        <v>32601</v>
      </c>
      <c r="AZ55" s="107">
        <v>34229</v>
      </c>
      <c r="BA55" s="107">
        <v>36776</v>
      </c>
      <c r="BB55" s="107">
        <v>36158</v>
      </c>
      <c r="BC55" s="107">
        <v>51330</v>
      </c>
      <c r="BD55" s="107">
        <v>51515</v>
      </c>
      <c r="BE55" s="107">
        <v>58959</v>
      </c>
      <c r="BF55" s="108">
        <v>55535</v>
      </c>
      <c r="BG55" s="108">
        <v>57122</v>
      </c>
      <c r="BH55" s="100">
        <v>9.9</v>
      </c>
      <c r="BI55" s="100">
        <v>9.1</v>
      </c>
      <c r="BJ55" s="100">
        <v>9.1999999999999993</v>
      </c>
      <c r="BK55" s="100">
        <v>10.199999999999999</v>
      </c>
      <c r="BL55" s="100">
        <v>9.1</v>
      </c>
      <c r="BM55" s="100">
        <v>10.8</v>
      </c>
      <c r="BN55" s="109">
        <v>9.1999999999999993</v>
      </c>
      <c r="BO55" s="109">
        <v>9.5</v>
      </c>
      <c r="BP55" s="109">
        <v>9.6</v>
      </c>
      <c r="BQ55" s="100">
        <v>9.6</v>
      </c>
      <c r="BR55" s="106">
        <v>2312</v>
      </c>
      <c r="BS55" s="118">
        <v>2313</v>
      </c>
      <c r="BT55" s="118">
        <v>2330</v>
      </c>
      <c r="BU55" s="110">
        <v>2377</v>
      </c>
      <c r="BV55" s="100">
        <v>31.314878892733567</v>
      </c>
      <c r="BW55" s="100">
        <v>32.338953739731949</v>
      </c>
      <c r="BX55" s="100">
        <v>36.094420600858371</v>
      </c>
      <c r="BY55" s="103">
        <v>38.535969709718131</v>
      </c>
      <c r="BZ55" s="100">
        <v>3.2871972318339098</v>
      </c>
      <c r="CA55" s="100">
        <v>3.3290099437959362</v>
      </c>
      <c r="CB55" s="100">
        <v>3.0901287553648067</v>
      </c>
      <c r="CC55" s="103">
        <v>3.8283550694152293</v>
      </c>
      <c r="CD55" s="100">
        <v>19.506920415224911</v>
      </c>
      <c r="CE55" s="100">
        <v>19.671422395157805</v>
      </c>
      <c r="CF55" s="100">
        <v>20.214592274678111</v>
      </c>
      <c r="CG55" s="103">
        <v>21.75010517458982</v>
      </c>
      <c r="CH55" s="100">
        <v>83.098591549295776</v>
      </c>
      <c r="CI55" s="105">
        <v>83.5</v>
      </c>
      <c r="CJ55" s="111">
        <v>87.14</v>
      </c>
      <c r="CK55" s="111">
        <v>82.8125</v>
      </c>
      <c r="CL55" s="112">
        <v>1767</v>
      </c>
      <c r="CM55" s="112">
        <v>1697</v>
      </c>
      <c r="CN55" s="112">
        <v>1910</v>
      </c>
      <c r="CO55" s="112">
        <v>2042</v>
      </c>
      <c r="CP55" s="112"/>
      <c r="CQ55" s="113">
        <v>12.151762934028374</v>
      </c>
      <c r="CR55" s="113">
        <v>11.425762839675743</v>
      </c>
      <c r="CS55" s="113">
        <v>12.494848328241629</v>
      </c>
      <c r="CT55" s="113">
        <v>12.764813622469072</v>
      </c>
      <c r="CU55" s="112"/>
      <c r="CV55" s="114">
        <v>3.8551401869158877</v>
      </c>
      <c r="CW55" s="114">
        <v>3.8297872340425534</v>
      </c>
      <c r="CX55" s="114">
        <v>4.4613710554951034</v>
      </c>
      <c r="CY55" s="114">
        <v>4.4072948328267474</v>
      </c>
      <c r="CZ55" s="112"/>
      <c r="DA55" s="113">
        <v>5.84213797389683</v>
      </c>
      <c r="DB55" s="113">
        <v>6.4926798217695731</v>
      </c>
      <c r="DC55" s="113">
        <v>7.5783475783475787</v>
      </c>
      <c r="DD55" s="113">
        <v>7.9641350210970465</v>
      </c>
      <c r="DE55" s="112"/>
      <c r="DF55" s="113">
        <v>89.557522123893804</v>
      </c>
      <c r="DG55" s="113">
        <v>88.194878201124297</v>
      </c>
      <c r="DH55" s="113">
        <v>89.94736842105263</v>
      </c>
      <c r="DI55" s="113">
        <v>90.255905511811022</v>
      </c>
      <c r="DJ55" s="112"/>
      <c r="DK55" s="114">
        <v>9.6443640747438213</v>
      </c>
      <c r="DL55" s="114">
        <v>12.277580071174377</v>
      </c>
      <c r="DM55" s="114">
        <v>10.005238344683081</v>
      </c>
      <c r="DN55" s="114">
        <v>6.1364752086401575</v>
      </c>
      <c r="DO55" s="112"/>
      <c r="DP55" s="113">
        <v>19.298245614035089</v>
      </c>
      <c r="DQ55" s="113">
        <v>20.153211549793753</v>
      </c>
      <c r="DR55" s="113">
        <v>25.340314136125656</v>
      </c>
      <c r="DS55" s="113">
        <v>30.019588638589617</v>
      </c>
      <c r="DT55" s="112"/>
      <c r="DU55" s="115">
        <v>15</v>
      </c>
      <c r="DV55" s="115">
        <v>9</v>
      </c>
      <c r="DW55" s="115">
        <v>5</v>
      </c>
      <c r="DX55" s="115">
        <v>14</v>
      </c>
      <c r="DY55" s="112"/>
      <c r="DZ55" s="116">
        <v>3.76</v>
      </c>
      <c r="EA55" s="116">
        <v>1</v>
      </c>
      <c r="EB55" s="116">
        <v>4.76</v>
      </c>
      <c r="EC55" s="116">
        <v>5.208333333333333</v>
      </c>
      <c r="ED55" s="112"/>
      <c r="EE55" s="113">
        <v>88.075880758807585</v>
      </c>
      <c r="EF55" s="113">
        <v>6.2330623306233059</v>
      </c>
      <c r="EG55" s="113">
        <v>0</v>
      </c>
      <c r="EH55" s="113">
        <v>1.3550135501355014</v>
      </c>
      <c r="EI55" s="113">
        <v>4.8780487804878048</v>
      </c>
      <c r="EJ55" s="113">
        <v>14.490790899241604</v>
      </c>
      <c r="EK55" s="113"/>
      <c r="EL55" s="115">
        <v>906</v>
      </c>
      <c r="EM55" s="115">
        <v>870</v>
      </c>
      <c r="EN55" s="115">
        <v>958</v>
      </c>
      <c r="EO55" s="115">
        <v>1030</v>
      </c>
      <c r="EP55" s="112"/>
      <c r="EQ55" s="114">
        <v>623.06152904525788</v>
      </c>
      <c r="ER55" s="114">
        <v>585.76391694271638</v>
      </c>
      <c r="ES55" s="114">
        <v>626.70495803431834</v>
      </c>
      <c r="ET55" s="114">
        <v>643.8667008395272</v>
      </c>
      <c r="EU55" s="112"/>
      <c r="EV55" s="113">
        <v>680.81032401000004</v>
      </c>
      <c r="EW55" s="113">
        <v>656.44858081999996</v>
      </c>
      <c r="EX55" s="113">
        <v>663.00144101000001</v>
      </c>
      <c r="EY55" s="113">
        <v>614.64959969999995</v>
      </c>
      <c r="EZ55" s="112"/>
      <c r="FA55" s="115">
        <v>301</v>
      </c>
      <c r="FB55" s="115">
        <v>242</v>
      </c>
      <c r="FC55" s="115">
        <v>224</v>
      </c>
      <c r="FD55" s="115">
        <v>208</v>
      </c>
      <c r="FE55" s="112"/>
      <c r="FF55" s="115">
        <v>218</v>
      </c>
      <c r="FG55" s="115">
        <v>209</v>
      </c>
      <c r="FH55" s="115">
        <v>257</v>
      </c>
      <c r="FI55" s="115">
        <v>256</v>
      </c>
      <c r="FJ55" s="112"/>
      <c r="FK55" s="115">
        <v>84</v>
      </c>
      <c r="FL55" s="115">
        <v>65</v>
      </c>
      <c r="FM55" s="115">
        <v>63</v>
      </c>
      <c r="FN55" s="115">
        <v>77</v>
      </c>
      <c r="FO55" s="112"/>
      <c r="FP55" s="115">
        <v>26</v>
      </c>
      <c r="FQ55" s="115">
        <v>31</v>
      </c>
      <c r="FR55" s="115">
        <v>38</v>
      </c>
      <c r="FS55" s="115">
        <v>44</v>
      </c>
      <c r="FT55" s="112"/>
      <c r="FU55" s="113">
        <v>227.49305063</v>
      </c>
      <c r="FV55" s="113">
        <v>182.50776701999999</v>
      </c>
      <c r="FW55" s="113">
        <v>154.14575042000001</v>
      </c>
      <c r="FX55" s="113">
        <v>123.06522467000001</v>
      </c>
      <c r="FY55" s="112"/>
      <c r="FZ55" s="113">
        <v>169.58719837999999</v>
      </c>
      <c r="GA55" s="113">
        <v>162.7070373</v>
      </c>
      <c r="GB55" s="113">
        <v>181.35637015</v>
      </c>
      <c r="GC55" s="113">
        <v>152.86367587999999</v>
      </c>
      <c r="GD55" s="112"/>
      <c r="GE55" s="113">
        <v>62.31398591</v>
      </c>
      <c r="GF55" s="113">
        <v>48.46276117</v>
      </c>
      <c r="GG55" s="113">
        <v>44.111118500000003</v>
      </c>
      <c r="GH55" s="113">
        <v>46.107682439999998</v>
      </c>
      <c r="GI55" s="112"/>
      <c r="GJ55" s="113">
        <v>16.78826029</v>
      </c>
      <c r="GK55" s="113">
        <v>21.690616299999999</v>
      </c>
      <c r="GL55" s="113">
        <v>25.390028699999998</v>
      </c>
      <c r="GM55" s="113">
        <v>25.62998138</v>
      </c>
      <c r="GN55" s="112"/>
      <c r="GO55" s="113">
        <v>890.32935752000003</v>
      </c>
      <c r="GP55" s="113">
        <v>801.56339467999999</v>
      </c>
      <c r="GQ55" s="113">
        <v>782.57310178</v>
      </c>
      <c r="GR55" s="113">
        <v>741.17395490000001</v>
      </c>
      <c r="GS55" s="112"/>
      <c r="GT55" s="113">
        <v>531.84372498000005</v>
      </c>
      <c r="GU55" s="113">
        <v>552.21863500999996</v>
      </c>
      <c r="GV55" s="113">
        <v>579.31942667999999</v>
      </c>
      <c r="GW55" s="113">
        <v>514.90810304000001</v>
      </c>
      <c r="GX55" s="112"/>
      <c r="GY55" s="112"/>
      <c r="GZ55" s="112"/>
      <c r="HA55" s="112"/>
      <c r="HB55" s="112"/>
      <c r="HC55" s="112"/>
      <c r="HD55" s="115">
        <v>193</v>
      </c>
      <c r="HE55" s="115">
        <v>1</v>
      </c>
      <c r="HF55" s="115">
        <v>1</v>
      </c>
      <c r="HG55" s="115">
        <v>1</v>
      </c>
      <c r="HH55" s="115">
        <v>0</v>
      </c>
      <c r="HI55" s="114">
        <v>17.946317103620473</v>
      </c>
      <c r="HJ55" s="114">
        <v>14.867398874899544</v>
      </c>
      <c r="HK55" s="113">
        <v>16.160310277957336</v>
      </c>
      <c r="HL55" s="112">
        <v>66</v>
      </c>
      <c r="HM55" s="112">
        <v>63</v>
      </c>
      <c r="HN55" s="112">
        <v>82</v>
      </c>
      <c r="HO55" s="112">
        <v>87</v>
      </c>
      <c r="HP55" s="112"/>
      <c r="HQ55" s="112">
        <v>94</v>
      </c>
      <c r="HR55" s="112">
        <v>102</v>
      </c>
      <c r="HS55" s="112">
        <v>133</v>
      </c>
      <c r="HT55" s="112">
        <v>151</v>
      </c>
      <c r="HU55" s="117"/>
    </row>
    <row r="56" spans="1:229" x14ac:dyDescent="0.2">
      <c r="A56" s="93">
        <v>53</v>
      </c>
      <c r="B56" s="98" t="s">
        <v>120</v>
      </c>
      <c r="C56" s="99">
        <v>20445</v>
      </c>
      <c r="D56" s="99">
        <v>20128</v>
      </c>
      <c r="E56" s="99">
        <v>20365</v>
      </c>
      <c r="F56" s="99">
        <v>20558</v>
      </c>
      <c r="G56" s="99">
        <v>21378</v>
      </c>
      <c r="H56" s="99">
        <v>7945</v>
      </c>
      <c r="I56" s="99">
        <v>7949</v>
      </c>
      <c r="J56" s="99">
        <v>7988</v>
      </c>
      <c r="K56" s="99">
        <v>8065</v>
      </c>
      <c r="L56" s="99">
        <v>7946</v>
      </c>
      <c r="M56" s="100">
        <v>27.162657320375978</v>
      </c>
      <c r="N56" s="100">
        <v>27.472350044401388</v>
      </c>
      <c r="O56" s="101">
        <v>27.507830696329609</v>
      </c>
      <c r="P56" s="101">
        <v>27.058823529411764</v>
      </c>
      <c r="Q56" s="102">
        <v>25.541448842419715</v>
      </c>
      <c r="R56" s="100">
        <v>35.693802772024853</v>
      </c>
      <c r="S56" s="100">
        <v>35.020586098328891</v>
      </c>
      <c r="T56" s="100">
        <v>36.053329049875508</v>
      </c>
      <c r="U56" s="100">
        <v>38.597904915390814</v>
      </c>
      <c r="V56" s="100">
        <v>34.115011202389844</v>
      </c>
      <c r="W56" s="100">
        <v>62.856460092400823</v>
      </c>
      <c r="X56" s="100">
        <v>62.492936142730279</v>
      </c>
      <c r="Y56" s="100">
        <v>63.561159746205121</v>
      </c>
      <c r="Z56" s="100">
        <v>65.656728444802582</v>
      </c>
      <c r="AA56" s="100">
        <v>59.656460044809556</v>
      </c>
      <c r="AB56" s="100" t="s">
        <v>187</v>
      </c>
      <c r="AC56" s="100">
        <v>3.5</v>
      </c>
      <c r="AD56" s="100">
        <v>4.0999999999999996</v>
      </c>
      <c r="AE56" s="100">
        <v>5.3</v>
      </c>
      <c r="AF56" s="100">
        <v>4.9000000000000004</v>
      </c>
      <c r="AG56" s="99">
        <v>432.75</v>
      </c>
      <c r="AH56" s="99">
        <v>483.83333333333331</v>
      </c>
      <c r="AI56" s="104">
        <v>502.25</v>
      </c>
      <c r="AJ56" s="104">
        <v>676.58333333333337</v>
      </c>
      <c r="AK56" s="105">
        <v>791.58333333333337</v>
      </c>
      <c r="AL56" s="106">
        <v>18956</v>
      </c>
      <c r="AM56" s="106">
        <v>319</v>
      </c>
      <c r="AN56" s="106">
        <v>121</v>
      </c>
      <c r="AO56" s="106">
        <v>838</v>
      </c>
      <c r="AP56" s="106">
        <v>0</v>
      </c>
      <c r="AQ56" s="106">
        <v>3064</v>
      </c>
      <c r="AR56" s="106">
        <v>16206</v>
      </c>
      <c r="AS56" s="106">
        <v>743</v>
      </c>
      <c r="AT56" s="106">
        <v>111</v>
      </c>
      <c r="AU56" s="106">
        <v>1178</v>
      </c>
      <c r="AV56" s="106">
        <v>394</v>
      </c>
      <c r="AW56" s="106">
        <v>4820</v>
      </c>
      <c r="AX56" s="107">
        <v>29637</v>
      </c>
      <c r="AY56" s="107">
        <v>30347</v>
      </c>
      <c r="AZ56" s="107">
        <v>32708</v>
      </c>
      <c r="BA56" s="107">
        <v>38261</v>
      </c>
      <c r="BB56" s="107">
        <v>38001</v>
      </c>
      <c r="BC56" s="107">
        <v>39354</v>
      </c>
      <c r="BD56" s="107">
        <v>40417</v>
      </c>
      <c r="BE56" s="107">
        <v>42072</v>
      </c>
      <c r="BF56" s="108">
        <v>45499</v>
      </c>
      <c r="BG56" s="108">
        <v>44233</v>
      </c>
      <c r="BH56" s="100">
        <v>12.7</v>
      </c>
      <c r="BI56" s="100">
        <v>11.7</v>
      </c>
      <c r="BJ56" s="100">
        <v>15</v>
      </c>
      <c r="BK56" s="100">
        <v>13.4</v>
      </c>
      <c r="BL56" s="100">
        <v>12.1</v>
      </c>
      <c r="BM56" s="100">
        <v>16.2</v>
      </c>
      <c r="BN56" s="109">
        <v>13.9</v>
      </c>
      <c r="BO56" s="109">
        <v>19.5</v>
      </c>
      <c r="BP56" s="109">
        <v>15.3</v>
      </c>
      <c r="BQ56" s="100">
        <v>17.2</v>
      </c>
      <c r="BR56" s="106">
        <v>3483</v>
      </c>
      <c r="BS56" s="118">
        <v>3471</v>
      </c>
      <c r="BT56" s="118">
        <v>3595</v>
      </c>
      <c r="BU56" s="110">
        <v>3583</v>
      </c>
      <c r="BV56" s="100">
        <v>49.095607235142118</v>
      </c>
      <c r="BW56" s="100">
        <v>51.022760011524056</v>
      </c>
      <c r="BX56" s="100">
        <v>52.823365785813628</v>
      </c>
      <c r="BY56" s="103">
        <v>56.712252302539774</v>
      </c>
      <c r="BZ56" s="100">
        <v>8.5558426643697967</v>
      </c>
      <c r="CA56" s="100">
        <v>8.7294727744165943</v>
      </c>
      <c r="CB56" s="100">
        <v>9.7913769123783023</v>
      </c>
      <c r="CC56" s="103">
        <v>13.591962042980743</v>
      </c>
      <c r="CD56" s="100">
        <v>16.393913293138098</v>
      </c>
      <c r="CE56" s="100">
        <v>16.738692019590896</v>
      </c>
      <c r="CF56" s="100">
        <v>15.215577190542421</v>
      </c>
      <c r="CG56" s="103">
        <v>17.220206530840077</v>
      </c>
      <c r="CH56" s="100">
        <v>78.412698412698418</v>
      </c>
      <c r="CI56" s="105">
        <v>78.78</v>
      </c>
      <c r="CJ56" s="111">
        <v>77.38</v>
      </c>
      <c r="CK56" s="111">
        <v>76</v>
      </c>
      <c r="CL56" s="112">
        <v>1458</v>
      </c>
      <c r="CM56" s="112">
        <v>1439</v>
      </c>
      <c r="CN56" s="112">
        <v>1587</v>
      </c>
      <c r="CO56" s="112">
        <v>1811</v>
      </c>
      <c r="CP56" s="112"/>
      <c r="CQ56" s="113">
        <v>14.417229479180056</v>
      </c>
      <c r="CR56" s="113">
        <v>14.528456187466556</v>
      </c>
      <c r="CS56" s="113">
        <v>15.437893364721447</v>
      </c>
      <c r="CT56" s="113">
        <v>17.604059334720144</v>
      </c>
      <c r="CU56" s="112"/>
      <c r="CV56" s="114">
        <v>3.8677918424753868</v>
      </c>
      <c r="CW56" s="114">
        <v>4.344677769732078</v>
      </c>
      <c r="CX56" s="114">
        <v>5.9090909090909092</v>
      </c>
      <c r="CY56" s="114">
        <v>4.5402951191827468</v>
      </c>
      <c r="CZ56" s="112"/>
      <c r="DA56" s="113">
        <v>7.4538745387453877</v>
      </c>
      <c r="DB56" s="113">
        <v>9.545804464973056</v>
      </c>
      <c r="DC56" s="113">
        <v>10.801144492131616</v>
      </c>
      <c r="DD56" s="113">
        <v>10.575635876840696</v>
      </c>
      <c r="DE56" s="112"/>
      <c r="DF56" s="113">
        <v>82.529699510831591</v>
      </c>
      <c r="DG56" s="113">
        <v>79.759377211606505</v>
      </c>
      <c r="DH56" s="113">
        <v>78.246960972488807</v>
      </c>
      <c r="DI56" s="113">
        <v>78.935447338618346</v>
      </c>
      <c r="DJ56" s="112"/>
      <c r="DK56" s="114">
        <v>6.2412342215988783</v>
      </c>
      <c r="DL56" s="114">
        <v>5.192982456140351</v>
      </c>
      <c r="DM56" s="114">
        <v>6.0088551549652118</v>
      </c>
      <c r="DN56" s="114">
        <v>7.2968490878938637</v>
      </c>
      <c r="DO56" s="112"/>
      <c r="DP56" s="113">
        <v>20.37037037037037</v>
      </c>
      <c r="DQ56" s="113">
        <v>31.13273106323836</v>
      </c>
      <c r="DR56" s="113">
        <v>41.524889729048517</v>
      </c>
      <c r="DS56" s="113">
        <v>48.923246824958589</v>
      </c>
      <c r="DT56" s="112"/>
      <c r="DU56" s="115">
        <v>6</v>
      </c>
      <c r="DV56" s="115">
        <v>5</v>
      </c>
      <c r="DW56" s="115">
        <v>7</v>
      </c>
      <c r="DX56" s="115">
        <v>13</v>
      </c>
      <c r="DY56" s="112"/>
      <c r="DZ56" s="116">
        <v>9.84</v>
      </c>
      <c r="EA56" s="116">
        <v>8.2733812949640289</v>
      </c>
      <c r="EB56" s="116">
        <v>9.51</v>
      </c>
      <c r="EC56" s="116">
        <v>9.454545454545455</v>
      </c>
      <c r="ED56" s="112"/>
      <c r="EE56" s="113">
        <v>47.286821705426355</v>
      </c>
      <c r="EF56" s="113">
        <v>4.3927648578811374</v>
      </c>
      <c r="EG56" s="113">
        <v>0.77519379844961245</v>
      </c>
      <c r="EH56" s="113">
        <v>8.7855297157622747</v>
      </c>
      <c r="EI56" s="113">
        <v>41.450777202072537</v>
      </c>
      <c r="EJ56" s="113">
        <v>68.263473053892213</v>
      </c>
      <c r="EK56" s="113"/>
      <c r="EL56" s="115">
        <v>1043</v>
      </c>
      <c r="EM56" s="115">
        <v>1008</v>
      </c>
      <c r="EN56" s="115">
        <v>905</v>
      </c>
      <c r="EO56" s="115">
        <v>895</v>
      </c>
      <c r="EP56" s="112"/>
      <c r="EQ56" s="114">
        <v>1031.3559908631551</v>
      </c>
      <c r="ER56" s="114">
        <v>1017.6986683089847</v>
      </c>
      <c r="ES56" s="114">
        <v>880.35875835368051</v>
      </c>
      <c r="ET56" s="114">
        <v>869.99630616093475</v>
      </c>
      <c r="EU56" s="112"/>
      <c r="EV56" s="113">
        <v>712.28143886999999</v>
      </c>
      <c r="EW56" s="113">
        <v>689.84455531000003</v>
      </c>
      <c r="EX56" s="113">
        <v>590.63072953999995</v>
      </c>
      <c r="EY56" s="113">
        <v>589.70619428999998</v>
      </c>
      <c r="EZ56" s="112"/>
      <c r="FA56" s="115">
        <v>341</v>
      </c>
      <c r="FB56" s="115">
        <v>310</v>
      </c>
      <c r="FC56" s="115">
        <v>232</v>
      </c>
      <c r="FD56" s="115">
        <v>181</v>
      </c>
      <c r="FE56" s="112"/>
      <c r="FF56" s="115">
        <v>248</v>
      </c>
      <c r="FG56" s="115">
        <v>238</v>
      </c>
      <c r="FH56" s="115">
        <v>218</v>
      </c>
      <c r="FI56" s="115">
        <v>202</v>
      </c>
      <c r="FJ56" s="112"/>
      <c r="FK56" s="115">
        <v>99</v>
      </c>
      <c r="FL56" s="115">
        <v>81</v>
      </c>
      <c r="FM56" s="115">
        <v>66</v>
      </c>
      <c r="FN56" s="115">
        <v>47</v>
      </c>
      <c r="FO56" s="112"/>
      <c r="FP56" s="115">
        <v>38</v>
      </c>
      <c r="FQ56" s="115">
        <v>37</v>
      </c>
      <c r="FR56" s="115">
        <v>36</v>
      </c>
      <c r="FS56" s="115">
        <v>44</v>
      </c>
      <c r="FT56" s="112"/>
      <c r="FU56" s="113">
        <v>226.16965309</v>
      </c>
      <c r="FV56" s="113">
        <v>201.08357455999999</v>
      </c>
      <c r="FW56" s="113">
        <v>145.25228321</v>
      </c>
      <c r="FX56" s="113">
        <v>114.12496174</v>
      </c>
      <c r="FY56" s="112"/>
      <c r="FZ56" s="113">
        <v>176.91332344</v>
      </c>
      <c r="GA56" s="113">
        <v>177.90825996000001</v>
      </c>
      <c r="GB56" s="113">
        <v>154.02968346</v>
      </c>
      <c r="GC56" s="113">
        <v>143.3241956</v>
      </c>
      <c r="GD56" s="112"/>
      <c r="GE56" s="113">
        <v>63.077464470000002</v>
      </c>
      <c r="GF56" s="113">
        <v>49.449982849999998</v>
      </c>
      <c r="GG56" s="113">
        <v>40.95281473</v>
      </c>
      <c r="GH56" s="113">
        <v>28.429584519999999</v>
      </c>
      <c r="GI56" s="112"/>
      <c r="GJ56" s="113">
        <v>32.453098509999997</v>
      </c>
      <c r="GK56" s="113">
        <v>29.269963539999999</v>
      </c>
      <c r="GL56" s="113">
        <v>31.39513844</v>
      </c>
      <c r="GM56" s="113">
        <v>38.468679950000002</v>
      </c>
      <c r="GN56" s="112"/>
      <c r="GO56" s="113">
        <v>921.20440432999999</v>
      </c>
      <c r="GP56" s="113">
        <v>907.38647249999997</v>
      </c>
      <c r="GQ56" s="113">
        <v>742.40423178000003</v>
      </c>
      <c r="GR56" s="113">
        <v>709.12279595999996</v>
      </c>
      <c r="GS56" s="112"/>
      <c r="GT56" s="113">
        <v>566.97206953</v>
      </c>
      <c r="GU56" s="113">
        <v>539.78676043999997</v>
      </c>
      <c r="GV56" s="113">
        <v>491.64473762</v>
      </c>
      <c r="GW56" s="113">
        <v>495.28176216999998</v>
      </c>
      <c r="GX56" s="112"/>
      <c r="GY56" s="112"/>
      <c r="GZ56" s="112"/>
      <c r="HA56" s="112"/>
      <c r="HB56" s="112"/>
      <c r="HC56" s="112"/>
      <c r="HD56" s="115">
        <v>167</v>
      </c>
      <c r="HE56" s="115">
        <v>0</v>
      </c>
      <c r="HF56" s="115">
        <v>1</v>
      </c>
      <c r="HG56" s="115">
        <v>0</v>
      </c>
      <c r="HH56" s="115">
        <v>3</v>
      </c>
      <c r="HI56" s="114">
        <v>42.049156055670714</v>
      </c>
      <c r="HJ56" s="114">
        <v>46.524208817960506</v>
      </c>
      <c r="HK56" s="113">
        <v>48.128342245989302</v>
      </c>
      <c r="HL56" s="112">
        <v>55</v>
      </c>
      <c r="HM56" s="112">
        <v>60</v>
      </c>
      <c r="HN56" s="112">
        <v>91</v>
      </c>
      <c r="HO56" s="112">
        <v>80</v>
      </c>
      <c r="HP56" s="112"/>
      <c r="HQ56" s="112">
        <v>101</v>
      </c>
      <c r="HR56" s="112">
        <v>124</v>
      </c>
      <c r="HS56" s="112">
        <v>151</v>
      </c>
      <c r="HT56" s="112">
        <v>158</v>
      </c>
      <c r="HU56" s="117"/>
    </row>
    <row r="57" spans="1:229" x14ac:dyDescent="0.2">
      <c r="A57" s="93">
        <v>54</v>
      </c>
      <c r="B57" s="98" t="s">
        <v>121</v>
      </c>
      <c r="C57" s="99">
        <v>6850</v>
      </c>
      <c r="D57" s="99">
        <v>6685</v>
      </c>
      <c r="E57" s="99">
        <v>6605</v>
      </c>
      <c r="F57" s="99">
        <v>6455</v>
      </c>
      <c r="G57" s="99">
        <v>6852</v>
      </c>
      <c r="H57" s="99">
        <v>2901</v>
      </c>
      <c r="I57" s="99">
        <v>2891</v>
      </c>
      <c r="J57" s="99">
        <v>2891</v>
      </c>
      <c r="K57" s="99">
        <v>2861</v>
      </c>
      <c r="L57" s="99">
        <v>2863</v>
      </c>
      <c r="M57" s="100">
        <v>34.048640915593701</v>
      </c>
      <c r="N57" s="100">
        <v>34.337788578371807</v>
      </c>
      <c r="O57" s="101">
        <v>34.94809688581315</v>
      </c>
      <c r="P57" s="101">
        <v>35.600313889615485</v>
      </c>
      <c r="Q57" s="102">
        <v>36.388474913065075</v>
      </c>
      <c r="R57" s="100">
        <v>29.279923700524556</v>
      </c>
      <c r="S57" s="100">
        <v>28.116646415552854</v>
      </c>
      <c r="T57" s="100">
        <v>28.299555116164111</v>
      </c>
      <c r="U57" s="100">
        <v>33.246141773476324</v>
      </c>
      <c r="V57" s="100">
        <v>33.80526577247889</v>
      </c>
      <c r="W57" s="100">
        <v>63.328564616118264</v>
      </c>
      <c r="X57" s="100">
        <v>62.454434993924664</v>
      </c>
      <c r="Y57" s="100">
        <v>63.247652001977258</v>
      </c>
      <c r="Z57" s="100">
        <v>68.846455663091817</v>
      </c>
      <c r="AA57" s="100">
        <v>70.193740685543958</v>
      </c>
      <c r="AB57" s="100" t="s">
        <v>189</v>
      </c>
      <c r="AC57" s="100">
        <v>5.0999999999999996</v>
      </c>
      <c r="AD57" s="100">
        <v>5.7</v>
      </c>
      <c r="AE57" s="100">
        <v>6.7</v>
      </c>
      <c r="AF57" s="100">
        <v>6.4</v>
      </c>
      <c r="AG57" s="99">
        <v>172.91666666666666</v>
      </c>
      <c r="AH57" s="99">
        <v>176.75</v>
      </c>
      <c r="AI57" s="104">
        <v>174.91666666666666</v>
      </c>
      <c r="AJ57" s="104">
        <v>219.25</v>
      </c>
      <c r="AK57" s="105">
        <v>266.16666666666669</v>
      </c>
      <c r="AL57" s="106">
        <v>6539</v>
      </c>
      <c r="AM57" s="106">
        <v>17</v>
      </c>
      <c r="AN57" s="106">
        <v>165</v>
      </c>
      <c r="AO57" s="106">
        <v>25</v>
      </c>
      <c r="AP57" s="106">
        <v>0</v>
      </c>
      <c r="AQ57" s="106">
        <v>261</v>
      </c>
      <c r="AR57" s="106">
        <v>6455</v>
      </c>
      <c r="AS57" s="106">
        <v>13</v>
      </c>
      <c r="AT57" s="106">
        <v>109</v>
      </c>
      <c r="AU57" s="106">
        <v>25</v>
      </c>
      <c r="AV57" s="106">
        <v>158</v>
      </c>
      <c r="AW57" s="106">
        <v>276</v>
      </c>
      <c r="AX57" s="107">
        <v>27414</v>
      </c>
      <c r="AY57" s="107">
        <v>29149</v>
      </c>
      <c r="AZ57" s="107">
        <v>33572</v>
      </c>
      <c r="BA57" s="107">
        <v>44339</v>
      </c>
      <c r="BB57" s="107">
        <v>39282</v>
      </c>
      <c r="BC57" s="107">
        <v>35158</v>
      </c>
      <c r="BD57" s="107">
        <v>38071</v>
      </c>
      <c r="BE57" s="107">
        <v>38124</v>
      </c>
      <c r="BF57" s="108">
        <v>41496</v>
      </c>
      <c r="BG57" s="108">
        <v>43976</v>
      </c>
      <c r="BH57" s="100">
        <v>11.9</v>
      </c>
      <c r="BI57" s="100">
        <v>12.5</v>
      </c>
      <c r="BJ57" s="100">
        <v>13.2</v>
      </c>
      <c r="BK57" s="100">
        <v>12</v>
      </c>
      <c r="BL57" s="100">
        <v>14</v>
      </c>
      <c r="BM57" s="100">
        <v>14.5</v>
      </c>
      <c r="BN57" s="109">
        <v>16.5</v>
      </c>
      <c r="BO57" s="109">
        <v>16.399999999999999</v>
      </c>
      <c r="BP57" s="109">
        <v>15.2</v>
      </c>
      <c r="BQ57" s="100">
        <v>19.600000000000001</v>
      </c>
      <c r="BR57" s="106">
        <v>1192</v>
      </c>
      <c r="BS57" s="118">
        <v>1188</v>
      </c>
      <c r="BT57" s="118">
        <v>1136</v>
      </c>
      <c r="BU57" s="110">
        <v>1119</v>
      </c>
      <c r="BV57" s="100">
        <v>45.134228187919462</v>
      </c>
      <c r="BW57" s="100">
        <v>47.222222222222221</v>
      </c>
      <c r="BX57" s="100">
        <v>47.535211267605632</v>
      </c>
      <c r="BY57" s="103">
        <v>45.755138516532618</v>
      </c>
      <c r="BZ57" s="100">
        <v>2.0973154362416109</v>
      </c>
      <c r="CA57" s="100">
        <v>1.6835016835016834</v>
      </c>
      <c r="CB57" s="100">
        <v>1.6725352112676057</v>
      </c>
      <c r="CC57" s="103">
        <v>1.6979445933869526</v>
      </c>
      <c r="CD57" s="100">
        <v>16.191275167785236</v>
      </c>
      <c r="CE57" s="100">
        <v>16.666666666666664</v>
      </c>
      <c r="CF57" s="100">
        <v>16.285211267605632</v>
      </c>
      <c r="CG57" s="103">
        <v>16.443252904378909</v>
      </c>
      <c r="CH57" s="100">
        <v>81.188118811881182</v>
      </c>
      <c r="CI57" s="105">
        <v>88.29</v>
      </c>
      <c r="CJ57" s="111">
        <v>92.86</v>
      </c>
      <c r="CK57" s="111">
        <v>82.291666666666671</v>
      </c>
      <c r="CL57" s="112">
        <v>464</v>
      </c>
      <c r="CM57" s="112">
        <v>401</v>
      </c>
      <c r="CN57" s="112">
        <v>373</v>
      </c>
      <c r="CO57" s="112">
        <v>366</v>
      </c>
      <c r="CP57" s="112"/>
      <c r="CQ57" s="113">
        <v>11.939376785116949</v>
      </c>
      <c r="CR57" s="113">
        <v>10.562638288905278</v>
      </c>
      <c r="CS57" s="113">
        <v>10.377542219625518</v>
      </c>
      <c r="CT57" s="113">
        <v>10.942685442640595</v>
      </c>
      <c r="CU57" s="112"/>
      <c r="CV57" s="114">
        <v>5.2631578947368425</v>
      </c>
      <c r="CW57" s="114">
        <v>3.8560411311053984</v>
      </c>
      <c r="CX57" s="114">
        <v>4.1322314049586772</v>
      </c>
      <c r="CY57" s="114">
        <v>5.7636887608069163</v>
      </c>
      <c r="CZ57" s="112"/>
      <c r="DA57" s="113">
        <v>7.3496659242761693</v>
      </c>
      <c r="DB57" s="113">
        <v>7.4468085106382977</v>
      </c>
      <c r="DC57" s="113">
        <v>11.314984709480122</v>
      </c>
      <c r="DD57" s="113">
        <v>9.120521172638437</v>
      </c>
      <c r="DE57" s="112"/>
      <c r="DF57" s="113">
        <v>75.974025974025977</v>
      </c>
      <c r="DG57" s="113">
        <v>84.962406015037601</v>
      </c>
      <c r="DH57" s="113">
        <v>82.972972972972968</v>
      </c>
      <c r="DI57" s="113">
        <v>79.819277108433738</v>
      </c>
      <c r="DJ57" s="112"/>
      <c r="DK57" s="114">
        <v>19.432314410480348</v>
      </c>
      <c r="DL57" s="114">
        <v>20.802005012531328</v>
      </c>
      <c r="DM57" s="114">
        <v>19.086021505376344</v>
      </c>
      <c r="DN57" s="114">
        <v>18.005540166204987</v>
      </c>
      <c r="DO57" s="112"/>
      <c r="DP57" s="113">
        <v>19.396551724137932</v>
      </c>
      <c r="DQ57" s="113">
        <v>18.952618453865338</v>
      </c>
      <c r="DR57" s="113">
        <v>30.294906166219839</v>
      </c>
      <c r="DS57" s="113">
        <v>32.240437158469945</v>
      </c>
      <c r="DT57" s="112"/>
      <c r="DU57" s="115">
        <v>3</v>
      </c>
      <c r="DV57" s="115">
        <v>1</v>
      </c>
      <c r="DW57" s="115">
        <v>1</v>
      </c>
      <c r="DX57" s="115">
        <v>0</v>
      </c>
      <c r="DY57" s="112"/>
      <c r="DZ57" s="116">
        <v>1.98</v>
      </c>
      <c r="EA57" s="116">
        <v>1.8018018018018018</v>
      </c>
      <c r="EB57" s="116">
        <v>2.04</v>
      </c>
      <c r="EC57" s="116">
        <v>3.125</v>
      </c>
      <c r="ED57" s="112"/>
      <c r="EE57" s="113">
        <v>89.705882352941174</v>
      </c>
      <c r="EF57" s="113">
        <v>0</v>
      </c>
      <c r="EG57" s="113">
        <v>1.4705882352941178</v>
      </c>
      <c r="EH57" s="113">
        <v>1.4705882352941178</v>
      </c>
      <c r="EI57" s="113">
        <v>10.294117647058824</v>
      </c>
      <c r="EJ57" s="113">
        <v>21.636876763875822</v>
      </c>
      <c r="EK57" s="113"/>
      <c r="EL57" s="115">
        <v>612</v>
      </c>
      <c r="EM57" s="115">
        <v>499</v>
      </c>
      <c r="EN57" s="115">
        <v>507</v>
      </c>
      <c r="EO57" s="115">
        <v>507</v>
      </c>
      <c r="EP57" s="112"/>
      <c r="EQ57" s="114">
        <v>1574.7626276921494</v>
      </c>
      <c r="ER57" s="114">
        <v>1314.4031187440733</v>
      </c>
      <c r="ES57" s="114">
        <v>1410.5667306568735</v>
      </c>
      <c r="ET57" s="114">
        <v>1515.8310162346399</v>
      </c>
      <c r="EU57" s="112"/>
      <c r="EV57" s="113">
        <v>886.08325864000005</v>
      </c>
      <c r="EW57" s="113">
        <v>755.01143951999995</v>
      </c>
      <c r="EX57" s="113">
        <v>854.69440374999897</v>
      </c>
      <c r="EY57" s="113">
        <v>843.58788709999999</v>
      </c>
      <c r="EZ57" s="112"/>
      <c r="FA57" s="115">
        <v>215</v>
      </c>
      <c r="FB57" s="115">
        <v>146</v>
      </c>
      <c r="FC57" s="115">
        <v>115</v>
      </c>
      <c r="FD57" s="115">
        <v>88</v>
      </c>
      <c r="FE57" s="112"/>
      <c r="FF57" s="115">
        <v>132</v>
      </c>
      <c r="FG57" s="115">
        <v>111</v>
      </c>
      <c r="FH57" s="115">
        <v>109</v>
      </c>
      <c r="FI57" s="115">
        <v>116</v>
      </c>
      <c r="FJ57" s="112"/>
      <c r="FK57" s="115">
        <v>66</v>
      </c>
      <c r="FL57" s="115">
        <v>45</v>
      </c>
      <c r="FM57" s="115">
        <v>30</v>
      </c>
      <c r="FN57" s="115">
        <v>28</v>
      </c>
      <c r="FO57" s="112"/>
      <c r="FP57" s="115">
        <v>27</v>
      </c>
      <c r="FQ57" s="115">
        <v>20</v>
      </c>
      <c r="FR57" s="115">
        <v>19</v>
      </c>
      <c r="FS57" s="115">
        <v>23</v>
      </c>
      <c r="FT57" s="112"/>
      <c r="FU57" s="113">
        <v>297.66146957000001</v>
      </c>
      <c r="FV57" s="113">
        <v>208.50329997</v>
      </c>
      <c r="FW57" s="113">
        <v>177.99977104000001</v>
      </c>
      <c r="FX57" s="113">
        <v>136.1036435</v>
      </c>
      <c r="FY57" s="112"/>
      <c r="FZ57" s="113">
        <v>208.4481705</v>
      </c>
      <c r="GA57" s="113">
        <v>177.775139289999</v>
      </c>
      <c r="GB57" s="113">
        <v>191.64434051000001</v>
      </c>
      <c r="GC57" s="113">
        <v>209.31984840999999</v>
      </c>
      <c r="GD57" s="112"/>
      <c r="GE57" s="113">
        <v>81.723754369999995</v>
      </c>
      <c r="GF57" s="113">
        <v>58.278685959999997</v>
      </c>
      <c r="GG57" s="113">
        <v>45.47911628</v>
      </c>
      <c r="GH57" s="113">
        <v>41.979026689999998</v>
      </c>
      <c r="GI57" s="112"/>
      <c r="GJ57" s="113">
        <v>58.085426890000001</v>
      </c>
      <c r="GK57" s="113" t="s">
        <v>46</v>
      </c>
      <c r="GL57" s="113" t="s">
        <v>46</v>
      </c>
      <c r="GM57" s="113">
        <v>55.470998180000002</v>
      </c>
      <c r="GN57" s="112"/>
      <c r="GO57" s="113">
        <v>1053.86908584</v>
      </c>
      <c r="GP57" s="113">
        <v>1016.80016759</v>
      </c>
      <c r="GQ57" s="113">
        <v>1125.6428073500001</v>
      </c>
      <c r="GR57" s="113">
        <v>990.89580511999998</v>
      </c>
      <c r="GS57" s="112"/>
      <c r="GT57" s="113">
        <v>751.36428992000003</v>
      </c>
      <c r="GU57" s="113">
        <v>538.66548574000001</v>
      </c>
      <c r="GV57" s="113">
        <v>659.46154617000002</v>
      </c>
      <c r="GW57" s="113">
        <v>707.02707185999998</v>
      </c>
      <c r="GX57" s="112"/>
      <c r="GY57" s="112"/>
      <c r="GZ57" s="112"/>
      <c r="HA57" s="112"/>
      <c r="HB57" s="112"/>
      <c r="HC57" s="112"/>
      <c r="HD57" s="115">
        <v>110</v>
      </c>
      <c r="HE57" s="115">
        <v>0</v>
      </c>
      <c r="HF57" s="115">
        <v>1</v>
      </c>
      <c r="HG57" s="115">
        <v>0</v>
      </c>
      <c r="HH57" s="115">
        <v>0</v>
      </c>
      <c r="HI57" s="114">
        <v>38.893690579083838</v>
      </c>
      <c r="HJ57" s="114">
        <v>22.673964034401877</v>
      </c>
      <c r="HK57" s="113">
        <v>20.27027027027027</v>
      </c>
      <c r="HL57" s="112">
        <v>24</v>
      </c>
      <c r="HM57" s="112">
        <v>15</v>
      </c>
      <c r="HN57" s="112">
        <v>15</v>
      </c>
      <c r="HO57" s="112">
        <v>20</v>
      </c>
      <c r="HP57" s="112"/>
      <c r="HQ57" s="112">
        <v>33</v>
      </c>
      <c r="HR57" s="112">
        <v>28</v>
      </c>
      <c r="HS57" s="112">
        <v>37</v>
      </c>
      <c r="HT57" s="112">
        <v>28</v>
      </c>
      <c r="HU57" s="117"/>
    </row>
    <row r="58" spans="1:229" x14ac:dyDescent="0.2">
      <c r="A58" s="93">
        <v>55</v>
      </c>
      <c r="B58" s="98" t="s">
        <v>122</v>
      </c>
      <c r="C58" s="99">
        <v>137521</v>
      </c>
      <c r="D58" s="99">
        <v>139747</v>
      </c>
      <c r="E58" s="99">
        <v>141360</v>
      </c>
      <c r="F58" s="99">
        <v>143962</v>
      </c>
      <c r="G58" s="99">
        <v>144248</v>
      </c>
      <c r="H58" s="99">
        <v>54850</v>
      </c>
      <c r="I58" s="99">
        <v>55612</v>
      </c>
      <c r="J58" s="99">
        <v>56383</v>
      </c>
      <c r="K58" s="99">
        <v>57109</v>
      </c>
      <c r="L58" s="99">
        <v>57080</v>
      </c>
      <c r="M58" s="100">
        <v>17.171978923728084</v>
      </c>
      <c r="N58" s="100">
        <v>17.529079712624014</v>
      </c>
      <c r="O58" s="101">
        <v>18.102605517065498</v>
      </c>
      <c r="P58" s="101">
        <v>18.598385564060525</v>
      </c>
      <c r="Q58" s="102">
        <v>19.00076493456142</v>
      </c>
      <c r="R58" s="100">
        <v>31.313164032132679</v>
      </c>
      <c r="S58" s="100">
        <v>31.875427642832705</v>
      </c>
      <c r="T58" s="100">
        <v>32.107791048582477</v>
      </c>
      <c r="U58" s="100">
        <v>31.73630183477616</v>
      </c>
      <c r="V58" s="100">
        <v>32.150304402041222</v>
      </c>
      <c r="W58" s="100">
        <v>48.485142955860759</v>
      </c>
      <c r="X58" s="100">
        <v>49.404507355456722</v>
      </c>
      <c r="Y58" s="100">
        <v>50.210396565647976</v>
      </c>
      <c r="Z58" s="100">
        <v>50.334687398836685</v>
      </c>
      <c r="AA58" s="100">
        <v>51.151069336602646</v>
      </c>
      <c r="AB58" s="100" t="s">
        <v>191</v>
      </c>
      <c r="AC58" s="100">
        <v>3.8</v>
      </c>
      <c r="AD58" s="100">
        <v>4.4000000000000004</v>
      </c>
      <c r="AE58" s="100">
        <v>6.2</v>
      </c>
      <c r="AF58" s="100">
        <v>5.6</v>
      </c>
      <c r="AG58" s="99">
        <v>2918.1666666666665</v>
      </c>
      <c r="AH58" s="99">
        <v>2957.6666666666665</v>
      </c>
      <c r="AI58" s="104">
        <v>3083.5833333333335</v>
      </c>
      <c r="AJ58" s="104">
        <v>4027.8333333333335</v>
      </c>
      <c r="AK58" s="105">
        <v>4890</v>
      </c>
      <c r="AL58" s="106">
        <v>123264</v>
      </c>
      <c r="AM58" s="106">
        <v>5252</v>
      </c>
      <c r="AN58" s="106">
        <v>408</v>
      </c>
      <c r="AO58" s="106">
        <v>7031</v>
      </c>
      <c r="AP58" s="106">
        <v>0</v>
      </c>
      <c r="AQ58" s="106">
        <v>3859</v>
      </c>
      <c r="AR58" s="106">
        <v>123605</v>
      </c>
      <c r="AS58" s="106">
        <v>6870</v>
      </c>
      <c r="AT58" s="106">
        <v>353</v>
      </c>
      <c r="AU58" s="106">
        <v>7871</v>
      </c>
      <c r="AV58" s="106">
        <v>3181</v>
      </c>
      <c r="AW58" s="106">
        <v>6081</v>
      </c>
      <c r="AX58" s="107">
        <v>39204</v>
      </c>
      <c r="AY58" s="107">
        <v>40195</v>
      </c>
      <c r="AZ58" s="107">
        <v>42917</v>
      </c>
      <c r="BA58" s="107">
        <v>43833</v>
      </c>
      <c r="BB58" s="107">
        <v>43864</v>
      </c>
      <c r="BC58" s="107">
        <v>58034</v>
      </c>
      <c r="BD58" s="107">
        <v>61068</v>
      </c>
      <c r="BE58" s="107">
        <v>60683</v>
      </c>
      <c r="BF58" s="108">
        <v>66993</v>
      </c>
      <c r="BG58" s="108">
        <v>64050</v>
      </c>
      <c r="BH58" s="100">
        <v>6.6</v>
      </c>
      <c r="BI58" s="100">
        <v>7.2</v>
      </c>
      <c r="BJ58" s="100">
        <v>8.4</v>
      </c>
      <c r="BK58" s="100">
        <v>7.6</v>
      </c>
      <c r="BL58" s="100">
        <v>7.6</v>
      </c>
      <c r="BM58" s="100">
        <v>8.9</v>
      </c>
      <c r="BN58" s="109">
        <v>9.1</v>
      </c>
      <c r="BO58" s="109">
        <v>10.1</v>
      </c>
      <c r="BP58" s="109">
        <v>9.3000000000000007</v>
      </c>
      <c r="BQ58" s="100">
        <v>9.8000000000000007</v>
      </c>
      <c r="BR58" s="106">
        <v>22152</v>
      </c>
      <c r="BS58" s="118">
        <v>22247</v>
      </c>
      <c r="BT58" s="118">
        <v>22353</v>
      </c>
      <c r="BU58" s="110">
        <v>22556</v>
      </c>
      <c r="BV58" s="100">
        <v>26.033766702780785</v>
      </c>
      <c r="BW58" s="100">
        <v>27.325032588663639</v>
      </c>
      <c r="BX58" s="100">
        <v>29.450185657406163</v>
      </c>
      <c r="BY58" s="103">
        <v>30.909735768753325</v>
      </c>
      <c r="BZ58" s="100">
        <v>10.491152040447815</v>
      </c>
      <c r="CA58" s="100">
        <v>10.428372364813233</v>
      </c>
      <c r="CB58" s="100">
        <v>10.302867624032569</v>
      </c>
      <c r="CC58" s="103">
        <v>9.9485724419223267</v>
      </c>
      <c r="CD58" s="100">
        <v>11.700975081256772</v>
      </c>
      <c r="CE58" s="100">
        <v>11.619544208207849</v>
      </c>
      <c r="CF58" s="100">
        <v>11.483917147586453</v>
      </c>
      <c r="CG58" s="103">
        <v>11.83277176804398</v>
      </c>
      <c r="CH58" s="100">
        <v>78.224974200206404</v>
      </c>
      <c r="CI58" s="105">
        <v>79.19</v>
      </c>
      <c r="CJ58" s="111">
        <v>79.489999999999995</v>
      </c>
      <c r="CK58" s="111">
        <v>78.311258278145701</v>
      </c>
      <c r="CL58" s="112">
        <v>8926</v>
      </c>
      <c r="CM58" s="112">
        <v>8889</v>
      </c>
      <c r="CN58" s="112">
        <v>10284</v>
      </c>
      <c r="CO58" s="112">
        <v>11175</v>
      </c>
      <c r="CP58" s="112"/>
      <c r="CQ58" s="113">
        <v>15.998136000286769</v>
      </c>
      <c r="CR58" s="113">
        <v>15.121024330747103</v>
      </c>
      <c r="CS58" s="113">
        <v>15.689074399531341</v>
      </c>
      <c r="CT58" s="113">
        <v>15.809846103350415</v>
      </c>
      <c r="CU58" s="112"/>
      <c r="CV58" s="114">
        <v>4.0730827417665543</v>
      </c>
      <c r="CW58" s="114">
        <v>4.3559938945638139</v>
      </c>
      <c r="CX58" s="114">
        <v>4.6671380947570462</v>
      </c>
      <c r="CY58" s="114">
        <v>4.7411393579513827</v>
      </c>
      <c r="CZ58" s="112"/>
      <c r="DA58" s="113">
        <v>6.5567628325215432</v>
      </c>
      <c r="DB58" s="113">
        <v>8.0497028633171261</v>
      </c>
      <c r="DC58" s="113">
        <v>8.2150313152400827</v>
      </c>
      <c r="DD58" s="113">
        <v>7.9171858525831498</v>
      </c>
      <c r="DE58" s="112"/>
      <c r="DF58" s="113">
        <v>85.210201467334343</v>
      </c>
      <c r="DG58" s="113">
        <v>88.271528889983983</v>
      </c>
      <c r="DH58" s="113">
        <v>90.447234209493914</v>
      </c>
      <c r="DI58" s="113">
        <v>93.43629343629344</v>
      </c>
      <c r="DJ58" s="112"/>
      <c r="DK58" s="114">
        <v>11.189527603870234</v>
      </c>
      <c r="DL58" s="114">
        <v>8.9894041244160867</v>
      </c>
      <c r="DM58" s="114">
        <v>7.5482738443534227</v>
      </c>
      <c r="DN58" s="114">
        <v>6.7622033139274516</v>
      </c>
      <c r="DO58" s="112"/>
      <c r="DP58" s="113">
        <v>15.527671969527225</v>
      </c>
      <c r="DQ58" s="113">
        <v>18.868136813681367</v>
      </c>
      <c r="DR58" s="113">
        <v>22.711798463184515</v>
      </c>
      <c r="DS58" s="113">
        <v>27.336197636949517</v>
      </c>
      <c r="DT58" s="112"/>
      <c r="DU58" s="115">
        <v>62</v>
      </c>
      <c r="DV58" s="115">
        <v>44</v>
      </c>
      <c r="DW58" s="115">
        <v>54</v>
      </c>
      <c r="DX58" s="115">
        <v>65</v>
      </c>
      <c r="DY58" s="112"/>
      <c r="DZ58" s="116">
        <v>5.47</v>
      </c>
      <c r="EA58" s="116">
        <v>5.2932018681888948</v>
      </c>
      <c r="EB58" s="116">
        <v>4.4400000000000004</v>
      </c>
      <c r="EC58" s="116">
        <v>5.5739514348785875</v>
      </c>
      <c r="ED58" s="112"/>
      <c r="EE58" s="113">
        <v>79.541198501872657</v>
      </c>
      <c r="EF58" s="113">
        <v>8.0524344569288395</v>
      </c>
      <c r="EG58" s="113">
        <v>0.23408239700374531</v>
      </c>
      <c r="EH58" s="113">
        <v>8.1928838951310858</v>
      </c>
      <c r="EI58" s="113">
        <v>5.3914674167838728</v>
      </c>
      <c r="EJ58" s="113">
        <v>25.644560871363574</v>
      </c>
      <c r="EK58" s="113"/>
      <c r="EL58" s="115">
        <v>3368</v>
      </c>
      <c r="EM58" s="115">
        <v>3815</v>
      </c>
      <c r="EN58" s="115">
        <v>3970</v>
      </c>
      <c r="EO58" s="115">
        <v>4328</v>
      </c>
      <c r="EP58" s="112"/>
      <c r="EQ58" s="114">
        <v>603.64913790013259</v>
      </c>
      <c r="ER58" s="114">
        <v>648.96735090336597</v>
      </c>
      <c r="ES58" s="114">
        <v>605.65563366529977</v>
      </c>
      <c r="ET58" s="114">
        <v>612.30437525996058</v>
      </c>
      <c r="EU58" s="112"/>
      <c r="EV58" s="113">
        <v>707.22719434999999</v>
      </c>
      <c r="EW58" s="113">
        <v>708.94777638000005</v>
      </c>
      <c r="EX58" s="113">
        <v>618.31673906000003</v>
      </c>
      <c r="EY58" s="113">
        <v>583.18817984999998</v>
      </c>
      <c r="EZ58" s="112"/>
      <c r="FA58" s="115">
        <v>908</v>
      </c>
      <c r="FB58" s="115">
        <v>977</v>
      </c>
      <c r="FC58" s="115">
        <v>892</v>
      </c>
      <c r="FD58" s="115">
        <v>898</v>
      </c>
      <c r="FE58" s="112"/>
      <c r="FF58" s="115">
        <v>902</v>
      </c>
      <c r="FG58" s="115">
        <v>979</v>
      </c>
      <c r="FH58" s="115">
        <v>1031</v>
      </c>
      <c r="FI58" s="115">
        <v>1081</v>
      </c>
      <c r="FJ58" s="112"/>
      <c r="FK58" s="115">
        <v>203</v>
      </c>
      <c r="FL58" s="115">
        <v>281</v>
      </c>
      <c r="FM58" s="115">
        <v>239</v>
      </c>
      <c r="FN58" s="115">
        <v>199</v>
      </c>
      <c r="FO58" s="112"/>
      <c r="FP58" s="115">
        <v>164</v>
      </c>
      <c r="FQ58" s="115">
        <v>230</v>
      </c>
      <c r="FR58" s="115">
        <v>205</v>
      </c>
      <c r="FS58" s="115">
        <v>228</v>
      </c>
      <c r="FT58" s="112"/>
      <c r="FU58" s="113">
        <v>193.52692994</v>
      </c>
      <c r="FV58" s="113">
        <v>181.73543538000001</v>
      </c>
      <c r="FW58" s="113">
        <v>137.92647264999999</v>
      </c>
      <c r="FX58" s="113">
        <v>118.2102653</v>
      </c>
      <c r="FY58" s="112"/>
      <c r="FZ58" s="113">
        <v>196.46037426999999</v>
      </c>
      <c r="GA58" s="113">
        <v>188.59961541999999</v>
      </c>
      <c r="GB58" s="113">
        <v>165.86375045</v>
      </c>
      <c r="GC58" s="113">
        <v>151.43531191</v>
      </c>
      <c r="GD58" s="112"/>
      <c r="GE58" s="113">
        <v>42.886990740000002</v>
      </c>
      <c r="GF58" s="113">
        <v>51.226802910000004</v>
      </c>
      <c r="GG58" s="113">
        <v>36.744832850000002</v>
      </c>
      <c r="GH58" s="113">
        <v>26.17656594</v>
      </c>
      <c r="GI58" s="112"/>
      <c r="GJ58" s="113">
        <v>30.249858710000002</v>
      </c>
      <c r="GK58" s="113">
        <v>40.030975509999998</v>
      </c>
      <c r="GL58" s="113">
        <v>31.385183000000001</v>
      </c>
      <c r="GM58" s="113">
        <v>30.934119020000001</v>
      </c>
      <c r="GN58" s="112"/>
      <c r="GO58" s="113">
        <v>918.41055305999998</v>
      </c>
      <c r="GP58" s="113">
        <v>903.62742391999996</v>
      </c>
      <c r="GQ58" s="113">
        <v>751.79457085000001</v>
      </c>
      <c r="GR58" s="113">
        <v>687.96649396999999</v>
      </c>
      <c r="GS58" s="112"/>
      <c r="GT58" s="113">
        <v>578.92277018000004</v>
      </c>
      <c r="GU58" s="113">
        <v>579.82759477000002</v>
      </c>
      <c r="GV58" s="113">
        <v>513.70400615999995</v>
      </c>
      <c r="GW58" s="113">
        <v>497.40134352000001</v>
      </c>
      <c r="GX58" s="112"/>
      <c r="GY58" s="112"/>
      <c r="GZ58" s="112"/>
      <c r="HA58" s="112"/>
      <c r="HB58" s="112"/>
      <c r="HC58" s="112"/>
      <c r="HD58" s="115">
        <v>869</v>
      </c>
      <c r="HE58" s="115">
        <v>14</v>
      </c>
      <c r="HF58" s="115">
        <v>1</v>
      </c>
      <c r="HG58" s="115">
        <v>14</v>
      </c>
      <c r="HH58" s="115">
        <v>11</v>
      </c>
      <c r="HI58" s="114">
        <v>26.569648861694503</v>
      </c>
      <c r="HJ58" s="114">
        <v>26.11518915866742</v>
      </c>
      <c r="HK58" s="113">
        <v>25.072496096364041</v>
      </c>
      <c r="HL58" s="112">
        <v>350</v>
      </c>
      <c r="HM58" s="112">
        <v>371</v>
      </c>
      <c r="HN58" s="112">
        <v>462</v>
      </c>
      <c r="HO58" s="112">
        <v>511</v>
      </c>
      <c r="HP58" s="112"/>
      <c r="HQ58" s="112">
        <v>525</v>
      </c>
      <c r="HR58" s="112">
        <v>596</v>
      </c>
      <c r="HS58" s="112">
        <v>787</v>
      </c>
      <c r="HT58" s="112">
        <v>826</v>
      </c>
      <c r="HU58" s="117"/>
    </row>
    <row r="59" spans="1:229" x14ac:dyDescent="0.2">
      <c r="A59" s="93">
        <v>56</v>
      </c>
      <c r="B59" s="98" t="s">
        <v>123</v>
      </c>
      <c r="C59" s="99">
        <v>57817</v>
      </c>
      <c r="D59" s="99">
        <v>57031</v>
      </c>
      <c r="E59" s="99">
        <v>56786</v>
      </c>
      <c r="F59" s="99">
        <v>56588</v>
      </c>
      <c r="G59" s="99">
        <v>57303</v>
      </c>
      <c r="H59" s="99">
        <v>23843</v>
      </c>
      <c r="I59" s="99">
        <v>23953</v>
      </c>
      <c r="J59" s="99">
        <v>23956</v>
      </c>
      <c r="K59" s="99">
        <v>24010</v>
      </c>
      <c r="L59" s="99">
        <v>24055</v>
      </c>
      <c r="M59" s="100">
        <v>30.386665584327734</v>
      </c>
      <c r="N59" s="100">
        <v>31.470718476696558</v>
      </c>
      <c r="O59" s="101">
        <v>32.41712244670164</v>
      </c>
      <c r="P59" s="101">
        <v>34.061546359410201</v>
      </c>
      <c r="Q59" s="102">
        <v>34.245054788672263</v>
      </c>
      <c r="R59" s="100">
        <v>26.057309846578459</v>
      </c>
      <c r="S59" s="100">
        <v>26.369976751909661</v>
      </c>
      <c r="T59" s="100">
        <v>26.043643263757115</v>
      </c>
      <c r="U59" s="100">
        <v>27.327952542566237</v>
      </c>
      <c r="V59" s="100">
        <v>28.848726341255158</v>
      </c>
      <c r="W59" s="100">
        <v>56.443975430906193</v>
      </c>
      <c r="X59" s="100">
        <v>57.840695228606222</v>
      </c>
      <c r="Y59" s="100">
        <v>58.460765710458759</v>
      </c>
      <c r="Z59" s="100">
        <v>61.389498901976445</v>
      </c>
      <c r="AA59" s="100">
        <v>63.093781129927422</v>
      </c>
      <c r="AB59" s="100" t="s">
        <v>188</v>
      </c>
      <c r="AC59" s="100">
        <v>5.4</v>
      </c>
      <c r="AD59" s="100">
        <v>6.1</v>
      </c>
      <c r="AE59" s="100">
        <v>8.3000000000000007</v>
      </c>
      <c r="AF59" s="100">
        <v>7.2</v>
      </c>
      <c r="AG59" s="99">
        <v>1146</v>
      </c>
      <c r="AH59" s="99">
        <v>1171.3333333333333</v>
      </c>
      <c r="AI59" s="104">
        <v>1211.0833333333333</v>
      </c>
      <c r="AJ59" s="104">
        <v>1519.1666666666667</v>
      </c>
      <c r="AK59" s="105">
        <v>1792.3333333333333</v>
      </c>
      <c r="AL59" s="106">
        <v>56632</v>
      </c>
      <c r="AM59" s="106">
        <v>231</v>
      </c>
      <c r="AN59" s="106">
        <v>336</v>
      </c>
      <c r="AO59" s="106">
        <v>295</v>
      </c>
      <c r="AP59" s="106">
        <v>0</v>
      </c>
      <c r="AQ59" s="106">
        <v>1077</v>
      </c>
      <c r="AR59" s="106">
        <v>55080</v>
      </c>
      <c r="AS59" s="106">
        <v>430</v>
      </c>
      <c r="AT59" s="106">
        <v>279</v>
      </c>
      <c r="AU59" s="106">
        <v>305</v>
      </c>
      <c r="AV59" s="106">
        <v>699</v>
      </c>
      <c r="AW59" s="106">
        <v>1490</v>
      </c>
      <c r="AX59" s="107">
        <v>27760</v>
      </c>
      <c r="AY59" s="107">
        <v>27984</v>
      </c>
      <c r="AZ59" s="107">
        <v>29763</v>
      </c>
      <c r="BA59" s="107">
        <v>33513</v>
      </c>
      <c r="BB59" s="107">
        <v>33720</v>
      </c>
      <c r="BC59" s="107">
        <v>40446</v>
      </c>
      <c r="BD59" s="107">
        <v>40374</v>
      </c>
      <c r="BE59" s="107">
        <v>40721</v>
      </c>
      <c r="BF59" s="108">
        <v>42873</v>
      </c>
      <c r="BG59" s="108">
        <v>42011</v>
      </c>
      <c r="BH59" s="100">
        <v>10.9</v>
      </c>
      <c r="BI59" s="100">
        <v>12</v>
      </c>
      <c r="BJ59" s="100">
        <v>11.3</v>
      </c>
      <c r="BK59" s="100">
        <v>12.5</v>
      </c>
      <c r="BL59" s="100">
        <v>12.8</v>
      </c>
      <c r="BM59" s="100">
        <v>14.3</v>
      </c>
      <c r="BN59" s="109">
        <v>16.3</v>
      </c>
      <c r="BO59" s="109">
        <v>15.2</v>
      </c>
      <c r="BP59" s="109">
        <v>15.6</v>
      </c>
      <c r="BQ59" s="100">
        <v>16.600000000000001</v>
      </c>
      <c r="BR59" s="106">
        <v>7912</v>
      </c>
      <c r="BS59" s="118">
        <v>7809</v>
      </c>
      <c r="BT59" s="118">
        <v>7747</v>
      </c>
      <c r="BU59" s="110">
        <v>7714</v>
      </c>
      <c r="BV59" s="100">
        <v>35.427199191102119</v>
      </c>
      <c r="BW59" s="100">
        <v>36.009732360097324</v>
      </c>
      <c r="BX59" s="100">
        <v>38.608493610429846</v>
      </c>
      <c r="BY59" s="103">
        <v>40.031112263417164</v>
      </c>
      <c r="BZ59" s="100">
        <v>3.3998988877654193</v>
      </c>
      <c r="CA59" s="100">
        <v>3.5343834037648869</v>
      </c>
      <c r="CB59" s="100">
        <v>1.8716922679746999</v>
      </c>
      <c r="CC59" s="103">
        <v>2.1778584392014517</v>
      </c>
      <c r="CD59" s="100">
        <v>14.244186046511627</v>
      </c>
      <c r="CE59" s="100">
        <v>14.406454091432963</v>
      </c>
      <c r="CF59" s="100">
        <v>15.063895701561895</v>
      </c>
      <c r="CG59" s="103">
        <v>15.595022037853253</v>
      </c>
      <c r="CH59" s="100">
        <v>80.814717477003938</v>
      </c>
      <c r="CI59" s="105">
        <v>79.39</v>
      </c>
      <c r="CJ59" s="111">
        <v>78.319999999999993</v>
      </c>
      <c r="CK59" s="111">
        <v>80.283505154639172</v>
      </c>
      <c r="CL59" s="112">
        <v>2942</v>
      </c>
      <c r="CM59" s="112">
        <v>2870</v>
      </c>
      <c r="CN59" s="112">
        <v>2943</v>
      </c>
      <c r="CO59" s="112">
        <v>3126</v>
      </c>
      <c r="CP59" s="112"/>
      <c r="CQ59" s="113">
        <v>11.303385636785567</v>
      </c>
      <c r="CR59" s="113">
        <v>10.407449848421114</v>
      </c>
      <c r="CS59" s="113">
        <v>10.149360793740021</v>
      </c>
      <c r="CT59" s="113">
        <v>10.948253217756763</v>
      </c>
      <c r="CU59" s="112"/>
      <c r="CV59" s="114">
        <v>3.8824763903462749</v>
      </c>
      <c r="CW59" s="114">
        <v>4.2007831968672127</v>
      </c>
      <c r="CX59" s="114">
        <v>4.0153631284916198</v>
      </c>
      <c r="CY59" s="114">
        <v>4.3035479632063076</v>
      </c>
      <c r="CZ59" s="112"/>
      <c r="DA59" s="113">
        <v>6.8768996960486319</v>
      </c>
      <c r="DB59" s="113">
        <v>8.053691275167786</v>
      </c>
      <c r="DC59" s="113">
        <v>6.7128785114921561</v>
      </c>
      <c r="DD59" s="113">
        <v>5.4682159945317839</v>
      </c>
      <c r="DE59" s="112"/>
      <c r="DF59" s="113">
        <v>82.569469505593645</v>
      </c>
      <c r="DG59" s="113">
        <v>81.612903225806448</v>
      </c>
      <c r="DH59" s="113">
        <v>85.704514363885096</v>
      </c>
      <c r="DI59" s="113">
        <v>90.394566623544634</v>
      </c>
      <c r="DJ59" s="112"/>
      <c r="DK59" s="114">
        <v>17.309697601668404</v>
      </c>
      <c r="DL59" s="114">
        <v>18.64406779661017</v>
      </c>
      <c r="DM59" s="114">
        <v>15.688949522510232</v>
      </c>
      <c r="DN59" s="114">
        <v>10.195575504969542</v>
      </c>
      <c r="DO59" s="112"/>
      <c r="DP59" s="113">
        <v>21.380013596193066</v>
      </c>
      <c r="DQ59" s="113">
        <v>25.226480836236934</v>
      </c>
      <c r="DR59" s="113">
        <v>28.848114169215087</v>
      </c>
      <c r="DS59" s="113">
        <v>28.017931476144732</v>
      </c>
      <c r="DT59" s="112"/>
      <c r="DU59" s="115">
        <v>27</v>
      </c>
      <c r="DV59" s="115">
        <v>16</v>
      </c>
      <c r="DW59" s="115">
        <v>15</v>
      </c>
      <c r="DX59" s="115">
        <v>6</v>
      </c>
      <c r="DY59" s="112"/>
      <c r="DZ59" s="116">
        <v>4.47</v>
      </c>
      <c r="EA59" s="116">
        <v>5.9888579387186631</v>
      </c>
      <c r="EB59" s="116">
        <v>6.38</v>
      </c>
      <c r="EC59" s="116">
        <v>4.3814432989690726</v>
      </c>
      <c r="ED59" s="112"/>
      <c r="EE59" s="113">
        <v>91.710758377425037</v>
      </c>
      <c r="EF59" s="113">
        <v>2.2927689594356262</v>
      </c>
      <c r="EG59" s="113">
        <v>0.52910052910052907</v>
      </c>
      <c r="EH59" s="113">
        <v>0.52910052910052907</v>
      </c>
      <c r="EI59" s="113">
        <v>5.6537102473498235</v>
      </c>
      <c r="EJ59" s="113">
        <v>19.54035749972244</v>
      </c>
      <c r="EK59" s="113"/>
      <c r="EL59" s="115">
        <v>2965</v>
      </c>
      <c r="EM59" s="115">
        <v>3180</v>
      </c>
      <c r="EN59" s="115">
        <v>3223</v>
      </c>
      <c r="EO59" s="115">
        <v>3115</v>
      </c>
      <c r="EP59" s="112"/>
      <c r="EQ59" s="114">
        <v>1139.175336950007</v>
      </c>
      <c r="ER59" s="114">
        <v>1153.1599483616426</v>
      </c>
      <c r="ES59" s="114">
        <v>1111.4981256617086</v>
      </c>
      <c r="ET59" s="114">
        <v>1090.9727694597671</v>
      </c>
      <c r="EU59" s="112"/>
      <c r="EV59" s="113">
        <v>772.86273052000001</v>
      </c>
      <c r="EW59" s="113">
        <v>769.59598355000003</v>
      </c>
      <c r="EX59" s="113">
        <v>721.40580179999995</v>
      </c>
      <c r="EY59" s="113">
        <v>651.37631064000004</v>
      </c>
      <c r="EZ59" s="112"/>
      <c r="FA59" s="115">
        <v>998</v>
      </c>
      <c r="FB59" s="115">
        <v>873</v>
      </c>
      <c r="FC59" s="115">
        <v>807</v>
      </c>
      <c r="FD59" s="115">
        <v>759</v>
      </c>
      <c r="FE59" s="112"/>
      <c r="FF59" s="115">
        <v>646</v>
      </c>
      <c r="FG59" s="115">
        <v>763</v>
      </c>
      <c r="FH59" s="115">
        <v>714</v>
      </c>
      <c r="FI59" s="115">
        <v>708</v>
      </c>
      <c r="FJ59" s="112"/>
      <c r="FK59" s="115">
        <v>219</v>
      </c>
      <c r="FL59" s="115">
        <v>246</v>
      </c>
      <c r="FM59" s="115">
        <v>252</v>
      </c>
      <c r="FN59" s="115">
        <v>207</v>
      </c>
      <c r="FO59" s="112"/>
      <c r="FP59" s="115">
        <v>95</v>
      </c>
      <c r="FQ59" s="115">
        <v>137</v>
      </c>
      <c r="FR59" s="115">
        <v>125</v>
      </c>
      <c r="FS59" s="115">
        <v>129</v>
      </c>
      <c r="FT59" s="112"/>
      <c r="FU59" s="113">
        <v>249.36459428000001</v>
      </c>
      <c r="FV59" s="113">
        <v>203.95180438</v>
      </c>
      <c r="FW59" s="113">
        <v>174.35072539999999</v>
      </c>
      <c r="FX59" s="113">
        <v>154.83961335000001</v>
      </c>
      <c r="FY59" s="112"/>
      <c r="FZ59" s="113">
        <v>175.5953408</v>
      </c>
      <c r="GA59" s="113">
        <v>195.34310421000001</v>
      </c>
      <c r="GB59" s="113">
        <v>168.43363765999999</v>
      </c>
      <c r="GC59" s="113">
        <v>158.13095541000001</v>
      </c>
      <c r="GD59" s="112"/>
      <c r="GE59" s="113">
        <v>52.7909097</v>
      </c>
      <c r="GF59" s="113">
        <v>54.182833420000001</v>
      </c>
      <c r="GG59" s="113">
        <v>50.53524127</v>
      </c>
      <c r="GH59" s="113">
        <v>39.180925180000003</v>
      </c>
      <c r="GI59" s="112"/>
      <c r="GJ59" s="113">
        <v>33.797877769999999</v>
      </c>
      <c r="GK59" s="113">
        <v>42.376605189999999</v>
      </c>
      <c r="GL59" s="113">
        <v>37.29818264</v>
      </c>
      <c r="GM59" s="113">
        <v>35.905865429999899</v>
      </c>
      <c r="GN59" s="112"/>
      <c r="GO59" s="113">
        <v>979.58362008999995</v>
      </c>
      <c r="GP59" s="113">
        <v>956.58693641000002</v>
      </c>
      <c r="GQ59" s="113">
        <v>894.83438637999996</v>
      </c>
      <c r="GR59" s="113">
        <v>806.02191684000002</v>
      </c>
      <c r="GS59" s="112"/>
      <c r="GT59" s="113">
        <v>606.91666671999997</v>
      </c>
      <c r="GU59" s="113">
        <v>613.57376476000002</v>
      </c>
      <c r="GV59" s="113">
        <v>578.05824280000002</v>
      </c>
      <c r="GW59" s="113">
        <v>525.00699270999996</v>
      </c>
      <c r="GX59" s="112"/>
      <c r="GY59" s="112"/>
      <c r="GZ59" s="112"/>
      <c r="HA59" s="112"/>
      <c r="HB59" s="112"/>
      <c r="HC59" s="112"/>
      <c r="HD59" s="115">
        <v>626</v>
      </c>
      <c r="HE59" s="115">
        <v>2</v>
      </c>
      <c r="HF59" s="115">
        <v>6</v>
      </c>
      <c r="HG59" s="115">
        <v>1</v>
      </c>
      <c r="HH59" s="115">
        <v>1</v>
      </c>
      <c r="HI59" s="114">
        <v>34.292035398230091</v>
      </c>
      <c r="HJ59" s="114">
        <v>30.107743429664687</v>
      </c>
      <c r="HK59" s="113">
        <v>25.132275132275133</v>
      </c>
      <c r="HL59" s="112">
        <v>111</v>
      </c>
      <c r="HM59" s="112">
        <v>118</v>
      </c>
      <c r="HN59" s="112">
        <v>115</v>
      </c>
      <c r="HO59" s="112">
        <v>131</v>
      </c>
      <c r="HP59" s="112"/>
      <c r="HQ59" s="112">
        <v>181</v>
      </c>
      <c r="HR59" s="112">
        <v>216</v>
      </c>
      <c r="HS59" s="112">
        <v>184</v>
      </c>
      <c r="HT59" s="112">
        <v>160</v>
      </c>
      <c r="HU59" s="117"/>
    </row>
    <row r="60" spans="1:229" ht="21" customHeight="1" x14ac:dyDescent="0.2">
      <c r="A60" s="93">
        <v>57</v>
      </c>
      <c r="B60" s="98" t="s">
        <v>124</v>
      </c>
      <c r="C60" s="99">
        <v>13709</v>
      </c>
      <c r="D60" s="99">
        <v>13756</v>
      </c>
      <c r="E60" s="99">
        <v>13747</v>
      </c>
      <c r="F60" s="99">
        <v>13842</v>
      </c>
      <c r="G60" s="99">
        <v>13930</v>
      </c>
      <c r="H60" s="99">
        <v>5741</v>
      </c>
      <c r="I60" s="99">
        <v>5786</v>
      </c>
      <c r="J60" s="99">
        <v>5805</v>
      </c>
      <c r="K60" s="99">
        <v>5852</v>
      </c>
      <c r="L60" s="99">
        <v>5836</v>
      </c>
      <c r="M60" s="100">
        <v>23.168975069252078</v>
      </c>
      <c r="N60" s="100">
        <v>23.120238489566081</v>
      </c>
      <c r="O60" s="101">
        <v>23.45294967225864</v>
      </c>
      <c r="P60" s="101">
        <v>24.00176971573941</v>
      </c>
      <c r="Q60" s="102">
        <v>24.723370962333743</v>
      </c>
      <c r="R60" s="100">
        <v>28.731301939058174</v>
      </c>
      <c r="S60" s="100">
        <v>28.762283316771558</v>
      </c>
      <c r="T60" s="100">
        <v>29.274525052771917</v>
      </c>
      <c r="U60" s="100">
        <v>29.10076318991262</v>
      </c>
      <c r="V60" s="100">
        <v>30.97127528780597</v>
      </c>
      <c r="W60" s="100">
        <v>51.900277008310248</v>
      </c>
      <c r="X60" s="100">
        <v>51.882521806337643</v>
      </c>
      <c r="Y60" s="100">
        <v>52.727474725030554</v>
      </c>
      <c r="Z60" s="100">
        <v>53.102532905652026</v>
      </c>
      <c r="AA60" s="100">
        <v>55.694646250139712</v>
      </c>
      <c r="AB60" s="100" t="s">
        <v>171</v>
      </c>
      <c r="AC60" s="100">
        <v>6.9</v>
      </c>
      <c r="AD60" s="100">
        <v>7.2</v>
      </c>
      <c r="AE60" s="100">
        <v>9</v>
      </c>
      <c r="AF60" s="100">
        <v>8.1</v>
      </c>
      <c r="AG60" s="99">
        <v>366.41666666666669</v>
      </c>
      <c r="AH60" s="99">
        <v>361.66666666666669</v>
      </c>
      <c r="AI60" s="104">
        <v>412.75</v>
      </c>
      <c r="AJ60" s="104">
        <v>533.16666666666663</v>
      </c>
      <c r="AK60" s="105">
        <v>601.91666666666663</v>
      </c>
      <c r="AL60" s="106">
        <v>13213</v>
      </c>
      <c r="AM60" s="106">
        <v>63</v>
      </c>
      <c r="AN60" s="106">
        <v>191</v>
      </c>
      <c r="AO60" s="106">
        <v>123</v>
      </c>
      <c r="AP60" s="106">
        <v>0</v>
      </c>
      <c r="AQ60" s="106">
        <v>320</v>
      </c>
      <c r="AR60" s="106">
        <v>13067</v>
      </c>
      <c r="AS60" s="106">
        <v>192</v>
      </c>
      <c r="AT60" s="106">
        <v>213</v>
      </c>
      <c r="AU60" s="106">
        <v>88</v>
      </c>
      <c r="AV60" s="106">
        <v>249</v>
      </c>
      <c r="AW60" s="106">
        <v>380</v>
      </c>
      <c r="AX60" s="107">
        <v>33671</v>
      </c>
      <c r="AY60" s="107">
        <v>33250</v>
      </c>
      <c r="AZ60" s="107">
        <v>35873</v>
      </c>
      <c r="BA60" s="107">
        <v>38607</v>
      </c>
      <c r="BB60" s="107">
        <v>39138</v>
      </c>
      <c r="BC60" s="107">
        <v>40655</v>
      </c>
      <c r="BD60" s="107">
        <v>39891</v>
      </c>
      <c r="BE60" s="107">
        <v>41785</v>
      </c>
      <c r="BF60" s="108">
        <v>47614</v>
      </c>
      <c r="BG60" s="108">
        <v>41027</v>
      </c>
      <c r="BH60" s="100">
        <v>10.1</v>
      </c>
      <c r="BI60" s="100">
        <v>10.7</v>
      </c>
      <c r="BJ60" s="100">
        <v>11.3</v>
      </c>
      <c r="BK60" s="100">
        <v>11.3</v>
      </c>
      <c r="BL60" s="100">
        <v>13</v>
      </c>
      <c r="BM60" s="100">
        <v>12.5</v>
      </c>
      <c r="BN60" s="109">
        <v>13.1</v>
      </c>
      <c r="BO60" s="109">
        <v>13.3</v>
      </c>
      <c r="BP60" s="109">
        <v>12.9</v>
      </c>
      <c r="BQ60" s="100">
        <v>14.9</v>
      </c>
      <c r="BR60" s="106">
        <v>2174</v>
      </c>
      <c r="BS60" s="118">
        <v>2195</v>
      </c>
      <c r="BT60" s="118">
        <v>2213</v>
      </c>
      <c r="BU60" s="110">
        <v>2209</v>
      </c>
      <c r="BV60" s="100">
        <v>34.912603495860168</v>
      </c>
      <c r="BW60" s="100">
        <v>34.760820045558091</v>
      </c>
      <c r="BX60" s="100">
        <v>38.499774062358789</v>
      </c>
      <c r="BY60" s="103">
        <v>39.112720688094157</v>
      </c>
      <c r="BZ60" s="100">
        <v>1.1959521619135236</v>
      </c>
      <c r="CA60" s="100">
        <v>1.2300683371298404</v>
      </c>
      <c r="CB60" s="100">
        <v>0.99412562132851334</v>
      </c>
      <c r="CC60" s="103">
        <v>1.2675418741511997</v>
      </c>
      <c r="CD60" s="100">
        <v>16.237350505979762</v>
      </c>
      <c r="CE60" s="100">
        <v>16.036446469248293</v>
      </c>
      <c r="CF60" s="100">
        <v>16.041572525982829</v>
      </c>
      <c r="CG60" s="103">
        <v>16.794929832503396</v>
      </c>
      <c r="CH60" s="100">
        <v>85.641025641025635</v>
      </c>
      <c r="CI60" s="105">
        <v>85.31</v>
      </c>
      <c r="CJ60" s="111">
        <v>85.95</v>
      </c>
      <c r="CK60" s="111">
        <v>81.25</v>
      </c>
      <c r="CL60" s="112">
        <v>822</v>
      </c>
      <c r="CM60" s="112">
        <v>864</v>
      </c>
      <c r="CN60" s="112">
        <v>881</v>
      </c>
      <c r="CO60" s="112">
        <v>942</v>
      </c>
      <c r="CP60" s="112"/>
      <c r="CQ60" s="113">
        <v>12.265727587441805</v>
      </c>
      <c r="CR60" s="113">
        <v>12.740732002241424</v>
      </c>
      <c r="CS60" s="113">
        <v>13.022527050198072</v>
      </c>
      <c r="CT60" s="113">
        <v>13.655340368781166</v>
      </c>
      <c r="CU60" s="112"/>
      <c r="CV60" s="114">
        <v>3.4696406443618342</v>
      </c>
      <c r="CW60" s="114">
        <v>4.5990566037735849</v>
      </c>
      <c r="CX60" s="114">
        <v>4.6349942062572422</v>
      </c>
      <c r="CY60" s="114">
        <v>5.4644808743169397</v>
      </c>
      <c r="CZ60" s="112"/>
      <c r="DA60" s="113">
        <v>6.657963446475196</v>
      </c>
      <c r="DB60" s="113">
        <v>8.0820265379975869</v>
      </c>
      <c r="DC60" s="113">
        <v>7.8692493946731235</v>
      </c>
      <c r="DD60" s="113">
        <v>9.4159713945172818</v>
      </c>
      <c r="DE60" s="112"/>
      <c r="DF60" s="113">
        <v>73.152709359605907</v>
      </c>
      <c r="DG60" s="113">
        <v>78.76312718786464</v>
      </c>
      <c r="DH60" s="113">
        <v>82.433983926521236</v>
      </c>
      <c r="DI60" s="113">
        <v>84.41988950276243</v>
      </c>
      <c r="DJ60" s="112"/>
      <c r="DK60" s="114">
        <v>14.676616915422885</v>
      </c>
      <c r="DL60" s="114">
        <v>19.208381839348078</v>
      </c>
      <c r="DM60" s="114">
        <v>20.091324200913242</v>
      </c>
      <c r="DN60" s="114">
        <v>26.226012793176974</v>
      </c>
      <c r="DO60" s="112"/>
      <c r="DP60" s="113">
        <v>28.953771289537713</v>
      </c>
      <c r="DQ60" s="113">
        <v>33.217592592592595</v>
      </c>
      <c r="DR60" s="113">
        <v>32.463110102156641</v>
      </c>
      <c r="DS60" s="113">
        <v>43.099787685774949</v>
      </c>
      <c r="DT60" s="112"/>
      <c r="DU60" s="115">
        <v>5</v>
      </c>
      <c r="DV60" s="115">
        <v>7</v>
      </c>
      <c r="DW60" s="115">
        <v>5</v>
      </c>
      <c r="DX60" s="115">
        <v>5</v>
      </c>
      <c r="DY60" s="112"/>
      <c r="DZ60" s="116">
        <v>3.08</v>
      </c>
      <c r="EA60" s="116">
        <v>7.3446327683615822</v>
      </c>
      <c r="EB60" s="116">
        <v>7.03</v>
      </c>
      <c r="EC60" s="116">
        <v>5.729166666666667</v>
      </c>
      <c r="ED60" s="112"/>
      <c r="EE60" s="113">
        <v>90.395480225988706</v>
      </c>
      <c r="EF60" s="113">
        <v>1.6949152542372881</v>
      </c>
      <c r="EG60" s="113">
        <v>3.9548022598870056</v>
      </c>
      <c r="EH60" s="113">
        <v>0.56497175141242939</v>
      </c>
      <c r="EI60" s="113">
        <v>4.5197740112994351</v>
      </c>
      <c r="EJ60" s="113">
        <v>32.112166440524646</v>
      </c>
      <c r="EK60" s="113"/>
      <c r="EL60" s="115">
        <v>756</v>
      </c>
      <c r="EM60" s="115">
        <v>744</v>
      </c>
      <c r="EN60" s="115">
        <v>719</v>
      </c>
      <c r="EO60" s="115">
        <v>649</v>
      </c>
      <c r="EP60" s="112"/>
      <c r="EQ60" s="114">
        <v>1128.088814611436</v>
      </c>
      <c r="ER60" s="114">
        <v>1097.1185890819004</v>
      </c>
      <c r="ES60" s="114">
        <v>1062.7919351977769</v>
      </c>
      <c r="ET60" s="114">
        <v>940.79786617186596</v>
      </c>
      <c r="EU60" s="112"/>
      <c r="EV60" s="113">
        <v>831.42814231</v>
      </c>
      <c r="EW60" s="113">
        <v>798.32304431</v>
      </c>
      <c r="EX60" s="113">
        <v>782.63643350999996</v>
      </c>
      <c r="EY60" s="113">
        <v>677.88781840000001</v>
      </c>
      <c r="EZ60" s="112"/>
      <c r="FA60" s="115">
        <v>204</v>
      </c>
      <c r="FB60" s="115">
        <v>199</v>
      </c>
      <c r="FC60" s="115">
        <v>190</v>
      </c>
      <c r="FD60" s="115">
        <v>139</v>
      </c>
      <c r="FE60" s="112"/>
      <c r="FF60" s="115">
        <v>154</v>
      </c>
      <c r="FG60" s="115">
        <v>156</v>
      </c>
      <c r="FH60" s="115">
        <v>153</v>
      </c>
      <c r="FI60" s="115">
        <v>150</v>
      </c>
      <c r="FJ60" s="112"/>
      <c r="FK60" s="115">
        <v>81</v>
      </c>
      <c r="FL60" s="115">
        <v>71</v>
      </c>
      <c r="FM60" s="115">
        <v>58</v>
      </c>
      <c r="FN60" s="115">
        <v>34</v>
      </c>
      <c r="FO60" s="112"/>
      <c r="FP60" s="115">
        <v>42</v>
      </c>
      <c r="FQ60" s="115">
        <v>33</v>
      </c>
      <c r="FR60" s="115">
        <v>30</v>
      </c>
      <c r="FS60" s="115">
        <v>40</v>
      </c>
      <c r="FT60" s="112"/>
      <c r="FU60" s="113">
        <v>221.31135144000001</v>
      </c>
      <c r="FV60" s="113">
        <v>208.38537338</v>
      </c>
      <c r="FW60" s="113">
        <v>200.20473125999999</v>
      </c>
      <c r="FX60" s="113">
        <v>143.58812497</v>
      </c>
      <c r="FY60" s="112"/>
      <c r="FZ60" s="113">
        <v>181.56580761000001</v>
      </c>
      <c r="GA60" s="113">
        <v>184.42511906999999</v>
      </c>
      <c r="GB60" s="113">
        <v>179.58445044999999</v>
      </c>
      <c r="GC60" s="113">
        <v>163.89459712999999</v>
      </c>
      <c r="GD60" s="112"/>
      <c r="GE60" s="113">
        <v>77.612597399999999</v>
      </c>
      <c r="GF60" s="113">
        <v>71.819101900000007</v>
      </c>
      <c r="GG60" s="113">
        <v>57.589952840000002</v>
      </c>
      <c r="GH60" s="113">
        <v>30.420749480000001</v>
      </c>
      <c r="GI60" s="112"/>
      <c r="GJ60" s="113">
        <v>57.752789219999997</v>
      </c>
      <c r="GK60" s="113">
        <v>42.051399140000001</v>
      </c>
      <c r="GL60" s="113">
        <v>39.38829123</v>
      </c>
      <c r="GM60" s="113">
        <v>51.359476559999997</v>
      </c>
      <c r="GN60" s="112"/>
      <c r="GO60" s="113">
        <v>1070.12642852</v>
      </c>
      <c r="GP60" s="113">
        <v>988.23685773</v>
      </c>
      <c r="GQ60" s="113">
        <v>1003.76308052</v>
      </c>
      <c r="GR60" s="113">
        <v>822.63338175000001</v>
      </c>
      <c r="GS60" s="112"/>
      <c r="GT60" s="113">
        <v>645.76029779999999</v>
      </c>
      <c r="GU60" s="113">
        <v>651.74648308999997</v>
      </c>
      <c r="GV60" s="113">
        <v>618.63252164999994</v>
      </c>
      <c r="GW60" s="113">
        <v>573.46304080000004</v>
      </c>
      <c r="GX60" s="112"/>
      <c r="GY60" s="112"/>
      <c r="GZ60" s="112"/>
      <c r="HA60" s="112"/>
      <c r="HB60" s="112"/>
      <c r="HC60" s="112"/>
      <c r="HD60" s="115">
        <v>119</v>
      </c>
      <c r="HE60" s="115">
        <v>0</v>
      </c>
      <c r="HF60" s="115">
        <v>2</v>
      </c>
      <c r="HG60" s="115">
        <v>1</v>
      </c>
      <c r="HH60" s="115">
        <v>1</v>
      </c>
      <c r="HI60" s="114">
        <v>39.584166333466612</v>
      </c>
      <c r="HJ60" s="114">
        <v>35.196687370600415</v>
      </c>
      <c r="HK60" s="113">
        <v>28.243962341383543</v>
      </c>
      <c r="HL60" s="112">
        <v>28</v>
      </c>
      <c r="HM60" s="112">
        <v>39</v>
      </c>
      <c r="HN60" s="112">
        <v>40</v>
      </c>
      <c r="HO60" s="112">
        <v>50</v>
      </c>
      <c r="HP60" s="112"/>
      <c r="HQ60" s="112">
        <v>51</v>
      </c>
      <c r="HR60" s="112">
        <v>67</v>
      </c>
      <c r="HS60" s="112">
        <v>65</v>
      </c>
      <c r="HT60" s="112">
        <v>79</v>
      </c>
      <c r="HU60" s="117"/>
    </row>
    <row r="61" spans="1:229" x14ac:dyDescent="0.2">
      <c r="A61" s="93">
        <v>58</v>
      </c>
      <c r="B61" s="98" t="s">
        <v>125</v>
      </c>
      <c r="C61" s="99">
        <v>28419</v>
      </c>
      <c r="D61" s="99">
        <v>28164</v>
      </c>
      <c r="E61" s="99">
        <v>28297</v>
      </c>
      <c r="F61" s="99">
        <v>28368</v>
      </c>
      <c r="G61" s="99">
        <v>29750</v>
      </c>
      <c r="H61" s="99">
        <v>11031</v>
      </c>
      <c r="I61" s="99">
        <v>11073</v>
      </c>
      <c r="J61" s="99">
        <v>11014</v>
      </c>
      <c r="K61" s="99">
        <v>11014</v>
      </c>
      <c r="L61" s="99">
        <v>11373</v>
      </c>
      <c r="M61" s="100">
        <v>22.71377208066281</v>
      </c>
      <c r="N61" s="100">
        <v>23.325904701262868</v>
      </c>
      <c r="O61" s="101">
        <v>23.572181243414121</v>
      </c>
      <c r="P61" s="101">
        <v>24.942706390236104</v>
      </c>
      <c r="Q61" s="102">
        <v>24.925572323170105</v>
      </c>
      <c r="R61" s="100">
        <v>25.371267781772705</v>
      </c>
      <c r="S61" s="100">
        <v>26.116947893452192</v>
      </c>
      <c r="T61" s="100">
        <v>25.516332982086411</v>
      </c>
      <c r="U61" s="100">
        <v>26.248467729041199</v>
      </c>
      <c r="V61" s="100">
        <v>27.779488758854328</v>
      </c>
      <c r="W61" s="100">
        <v>48.085039862435522</v>
      </c>
      <c r="X61" s="100">
        <v>49.442852594715056</v>
      </c>
      <c r="Y61" s="100">
        <v>49.088514225500532</v>
      </c>
      <c r="Z61" s="100">
        <v>51.191174119277299</v>
      </c>
      <c r="AA61" s="100">
        <v>52.705061082024436</v>
      </c>
      <c r="AB61" s="100" t="s">
        <v>193</v>
      </c>
      <c r="AC61" s="100">
        <v>7.8</v>
      </c>
      <c r="AD61" s="100">
        <v>8.6</v>
      </c>
      <c r="AE61" s="100">
        <v>11.4</v>
      </c>
      <c r="AF61" s="100">
        <v>10.1</v>
      </c>
      <c r="AG61" s="99">
        <v>779.83333333333337</v>
      </c>
      <c r="AH61" s="99">
        <v>834</v>
      </c>
      <c r="AI61" s="104">
        <v>929</v>
      </c>
      <c r="AJ61" s="104">
        <v>1199.4166666666667</v>
      </c>
      <c r="AK61" s="105">
        <v>1461</v>
      </c>
      <c r="AL61" s="106">
        <v>26745</v>
      </c>
      <c r="AM61" s="106">
        <v>392</v>
      </c>
      <c r="AN61" s="106">
        <v>852</v>
      </c>
      <c r="AO61" s="106">
        <v>110</v>
      </c>
      <c r="AP61" s="106">
        <v>0</v>
      </c>
      <c r="AQ61" s="106">
        <v>533</v>
      </c>
      <c r="AR61" s="106">
        <v>27347</v>
      </c>
      <c r="AS61" s="106">
        <v>597</v>
      </c>
      <c r="AT61" s="106">
        <v>921</v>
      </c>
      <c r="AU61" s="106">
        <v>139</v>
      </c>
      <c r="AV61" s="106">
        <v>558</v>
      </c>
      <c r="AW61" s="106">
        <v>723</v>
      </c>
      <c r="AX61" s="107">
        <v>23909</v>
      </c>
      <c r="AY61" s="107">
        <v>24501</v>
      </c>
      <c r="AZ61" s="107">
        <v>25230</v>
      </c>
      <c r="BA61" s="107">
        <v>27506</v>
      </c>
      <c r="BB61" s="107">
        <v>28453</v>
      </c>
      <c r="BC61" s="107">
        <v>41232</v>
      </c>
      <c r="BD61" s="107">
        <v>41458</v>
      </c>
      <c r="BE61" s="107">
        <v>43809</v>
      </c>
      <c r="BF61" s="108">
        <v>44945</v>
      </c>
      <c r="BG61" s="108">
        <v>39309</v>
      </c>
      <c r="BH61" s="100">
        <v>11.2</v>
      </c>
      <c r="BI61" s="100">
        <v>11.9</v>
      </c>
      <c r="BJ61" s="100">
        <v>12.3</v>
      </c>
      <c r="BK61" s="100">
        <v>13.6</v>
      </c>
      <c r="BL61" s="100">
        <v>18.899999999999999</v>
      </c>
      <c r="BM61" s="100">
        <v>16.600000000000001</v>
      </c>
      <c r="BN61" s="109">
        <v>17.100000000000001</v>
      </c>
      <c r="BO61" s="109">
        <v>19</v>
      </c>
      <c r="BP61" s="109">
        <v>18</v>
      </c>
      <c r="BQ61" s="100">
        <v>25.7</v>
      </c>
      <c r="BR61" s="106">
        <v>3943</v>
      </c>
      <c r="BS61" s="118">
        <v>3899</v>
      </c>
      <c r="BT61" s="118">
        <v>3907</v>
      </c>
      <c r="BU61" s="110">
        <v>3910</v>
      </c>
      <c r="BV61" s="100">
        <v>43.570885112858235</v>
      </c>
      <c r="BW61" s="100">
        <v>44.832008207232626</v>
      </c>
      <c r="BX61" s="100">
        <v>47.888405426158172</v>
      </c>
      <c r="BY61" s="103">
        <v>49.744245524296673</v>
      </c>
      <c r="BZ61" s="100">
        <v>0.40578239918843517</v>
      </c>
      <c r="CA61" s="100">
        <v>0.56424724288279049</v>
      </c>
      <c r="CB61" s="100">
        <v>0.58868697210135656</v>
      </c>
      <c r="CC61" s="103">
        <v>0.61381074168797956</v>
      </c>
      <c r="CD61" s="100">
        <v>11.843773776312453</v>
      </c>
      <c r="CE61" s="100">
        <v>10.746345216722236</v>
      </c>
      <c r="CF61" s="100">
        <v>11.645764013309444</v>
      </c>
      <c r="CG61" s="103">
        <v>12.327365728900256</v>
      </c>
      <c r="CH61" s="100">
        <v>74.127906976744185</v>
      </c>
      <c r="CI61" s="105">
        <v>78.47</v>
      </c>
      <c r="CJ61" s="111">
        <v>75.55</v>
      </c>
      <c r="CK61" s="111">
        <v>81.26888217522658</v>
      </c>
      <c r="CL61" s="112">
        <v>1320</v>
      </c>
      <c r="CM61" s="112">
        <v>1435</v>
      </c>
      <c r="CN61" s="112">
        <v>1563</v>
      </c>
      <c r="CO61" s="112">
        <v>1648</v>
      </c>
      <c r="CP61" s="112"/>
      <c r="CQ61" s="113">
        <v>11.882792456227213</v>
      </c>
      <c r="CR61" s="113">
        <v>11.765477547205391</v>
      </c>
      <c r="CS61" s="113">
        <v>11.264053041222255</v>
      </c>
      <c r="CT61" s="113">
        <v>11.524636708205708</v>
      </c>
      <c r="CU61" s="112"/>
      <c r="CV61" s="114">
        <v>4.8024786986831911</v>
      </c>
      <c r="CW61" s="114">
        <v>3.9341917024320456</v>
      </c>
      <c r="CX61" s="114">
        <v>5.6430446194225725</v>
      </c>
      <c r="CY61" s="114">
        <v>4.9313358302122348</v>
      </c>
      <c r="CZ61" s="112"/>
      <c r="DA61" s="113">
        <v>7.8414096916299556</v>
      </c>
      <c r="DB61" s="113">
        <v>5.9701492537313436</v>
      </c>
      <c r="DC61" s="113">
        <v>10.034904013961606</v>
      </c>
      <c r="DD61" s="113">
        <v>9.0295358649789037</v>
      </c>
      <c r="DE61" s="112"/>
      <c r="DF61" s="113">
        <v>75.712025316455694</v>
      </c>
      <c r="DG61" s="113">
        <v>76.851186196980592</v>
      </c>
      <c r="DH61" s="113">
        <v>80.6282722513089</v>
      </c>
      <c r="DI61" s="113">
        <v>81.203473945409428</v>
      </c>
      <c r="DJ61" s="112"/>
      <c r="DK61" s="114">
        <v>23.688524590163933</v>
      </c>
      <c r="DL61" s="114">
        <v>26.002865329512893</v>
      </c>
      <c r="DM61" s="114">
        <v>25.712435233160623</v>
      </c>
      <c r="DN61" s="114">
        <v>26.499388004895962</v>
      </c>
      <c r="DO61" s="112"/>
      <c r="DP61" s="113">
        <v>29.772727272727273</v>
      </c>
      <c r="DQ61" s="113">
        <v>37.351916376306619</v>
      </c>
      <c r="DR61" s="113">
        <v>38.1317978246961</v>
      </c>
      <c r="DS61" s="113">
        <v>44.053398058252426</v>
      </c>
      <c r="DT61" s="112"/>
      <c r="DU61" s="115">
        <v>12</v>
      </c>
      <c r="DV61" s="115">
        <v>7</v>
      </c>
      <c r="DW61" s="115">
        <v>12</v>
      </c>
      <c r="DX61" s="115">
        <v>12</v>
      </c>
      <c r="DY61" s="112"/>
      <c r="DZ61" s="116">
        <v>6.1</v>
      </c>
      <c r="EA61" s="116">
        <v>7.6487252124645888</v>
      </c>
      <c r="EB61" s="116">
        <v>7.52</v>
      </c>
      <c r="EC61" s="116">
        <v>7.8549848942598191</v>
      </c>
      <c r="ED61" s="112"/>
      <c r="EE61" s="113">
        <v>92.758620689655174</v>
      </c>
      <c r="EF61" s="113">
        <v>0.68965517241379315</v>
      </c>
      <c r="EG61" s="113">
        <v>4.8275862068965516</v>
      </c>
      <c r="EH61" s="113">
        <v>0.68965517241379315</v>
      </c>
      <c r="EI61" s="113">
        <v>2.4822695035460991</v>
      </c>
      <c r="EJ61" s="113">
        <v>41.265474552957357</v>
      </c>
      <c r="EK61" s="113"/>
      <c r="EL61" s="115">
        <v>1158</v>
      </c>
      <c r="EM61" s="115">
        <v>1183</v>
      </c>
      <c r="EN61" s="115">
        <v>1202</v>
      </c>
      <c r="EO61" s="115">
        <v>1240</v>
      </c>
      <c r="EP61" s="112"/>
      <c r="EQ61" s="114">
        <v>1042.4449745690238</v>
      </c>
      <c r="ER61" s="114">
        <v>969.9344904769323</v>
      </c>
      <c r="ES61" s="114">
        <v>866.24387431536468</v>
      </c>
      <c r="ET61" s="114">
        <v>867.1449950348956</v>
      </c>
      <c r="EU61" s="112"/>
      <c r="EV61" s="113">
        <v>887.24105155999996</v>
      </c>
      <c r="EW61" s="113">
        <v>827.19957949000002</v>
      </c>
      <c r="EX61" s="113">
        <v>739.79108292000001</v>
      </c>
      <c r="EY61" s="113">
        <v>704.99159421000002</v>
      </c>
      <c r="EZ61" s="112"/>
      <c r="FA61" s="115">
        <v>371</v>
      </c>
      <c r="FB61" s="115">
        <v>332</v>
      </c>
      <c r="FC61" s="115">
        <v>326</v>
      </c>
      <c r="FD61" s="115">
        <v>262</v>
      </c>
      <c r="FE61" s="112"/>
      <c r="FF61" s="115">
        <v>248</v>
      </c>
      <c r="FG61" s="115">
        <v>320</v>
      </c>
      <c r="FH61" s="115">
        <v>312</v>
      </c>
      <c r="FI61" s="115">
        <v>336</v>
      </c>
      <c r="FJ61" s="112"/>
      <c r="FK61" s="115">
        <v>98</v>
      </c>
      <c r="FL61" s="115">
        <v>80</v>
      </c>
      <c r="FM61" s="115">
        <v>71</v>
      </c>
      <c r="FN61" s="115">
        <v>76</v>
      </c>
      <c r="FO61" s="112"/>
      <c r="FP61" s="115">
        <v>62</v>
      </c>
      <c r="FQ61" s="115">
        <v>61</v>
      </c>
      <c r="FR61" s="115">
        <v>76</v>
      </c>
      <c r="FS61" s="115">
        <v>74</v>
      </c>
      <c r="FT61" s="112"/>
      <c r="FU61" s="113">
        <v>278.04583152999999</v>
      </c>
      <c r="FV61" s="113">
        <v>227.48497180000001</v>
      </c>
      <c r="FW61" s="113">
        <v>197.22941954999999</v>
      </c>
      <c r="FX61" s="113">
        <v>145.29672844000001</v>
      </c>
      <c r="FY61" s="112"/>
      <c r="FZ61" s="113">
        <v>190.0563731</v>
      </c>
      <c r="GA61" s="113">
        <v>222.62276317000001</v>
      </c>
      <c r="GB61" s="113">
        <v>190.75541192</v>
      </c>
      <c r="GC61" s="113">
        <v>190.20346268</v>
      </c>
      <c r="GD61" s="112"/>
      <c r="GE61" s="113">
        <v>71.519138249999997</v>
      </c>
      <c r="GF61" s="113">
        <v>54.522782020000001</v>
      </c>
      <c r="GG61" s="113">
        <v>42.1052144699999</v>
      </c>
      <c r="GH61" s="113">
        <v>42.361148640000003</v>
      </c>
      <c r="GI61" s="112"/>
      <c r="GJ61" s="113">
        <v>53.657336669999999</v>
      </c>
      <c r="GK61" s="113">
        <v>48.433375910000002</v>
      </c>
      <c r="GL61" s="113">
        <v>51.065944539999997</v>
      </c>
      <c r="GM61" s="113">
        <v>44.878621410000001</v>
      </c>
      <c r="GN61" s="112"/>
      <c r="GO61" s="113">
        <v>1112.98457609</v>
      </c>
      <c r="GP61" s="113">
        <v>1031.7250846699999</v>
      </c>
      <c r="GQ61" s="113">
        <v>902.62981134999995</v>
      </c>
      <c r="GR61" s="113">
        <v>839.59619330999999</v>
      </c>
      <c r="GS61" s="112"/>
      <c r="GT61" s="113">
        <v>701.21528699999999</v>
      </c>
      <c r="GU61" s="113">
        <v>648.46583422000003</v>
      </c>
      <c r="GV61" s="113">
        <v>595.51720770999998</v>
      </c>
      <c r="GW61" s="113">
        <v>592.03485856999998</v>
      </c>
      <c r="GX61" s="112"/>
      <c r="GY61" s="112"/>
      <c r="GZ61" s="112"/>
      <c r="HA61" s="112"/>
      <c r="HB61" s="112"/>
      <c r="HC61" s="112"/>
      <c r="HD61" s="115">
        <v>243</v>
      </c>
      <c r="HE61" s="115">
        <v>2</v>
      </c>
      <c r="HF61" s="115">
        <v>3</v>
      </c>
      <c r="HG61" s="115">
        <v>1</v>
      </c>
      <c r="HH61" s="115">
        <v>3</v>
      </c>
      <c r="HI61" s="114">
        <v>48.794011644025503</v>
      </c>
      <c r="HJ61" s="114">
        <v>41.96269982238011</v>
      </c>
      <c r="HK61" s="113">
        <v>37.290868776456357</v>
      </c>
      <c r="HL61" s="112">
        <v>62</v>
      </c>
      <c r="HM61" s="112">
        <v>55</v>
      </c>
      <c r="HN61" s="112">
        <v>86</v>
      </c>
      <c r="HO61" s="112">
        <v>79</v>
      </c>
      <c r="HP61" s="112"/>
      <c r="HQ61" s="112">
        <v>89</v>
      </c>
      <c r="HR61" s="112">
        <v>76</v>
      </c>
      <c r="HS61" s="112">
        <v>115</v>
      </c>
      <c r="HT61" s="112">
        <v>107</v>
      </c>
      <c r="HU61" s="117"/>
    </row>
    <row r="62" spans="1:229" x14ac:dyDescent="0.2">
      <c r="A62" s="93">
        <v>59</v>
      </c>
      <c r="B62" s="98" t="s">
        <v>126</v>
      </c>
      <c r="C62" s="99">
        <v>9423</v>
      </c>
      <c r="D62" s="99">
        <v>9305</v>
      </c>
      <c r="E62" s="99">
        <v>9395</v>
      </c>
      <c r="F62" s="99">
        <v>9353</v>
      </c>
      <c r="G62" s="99">
        <v>9596</v>
      </c>
      <c r="H62" s="99">
        <v>4030</v>
      </c>
      <c r="I62" s="99">
        <v>4027</v>
      </c>
      <c r="J62" s="99">
        <v>4053</v>
      </c>
      <c r="K62" s="99">
        <v>4056</v>
      </c>
      <c r="L62" s="99">
        <v>4054</v>
      </c>
      <c r="M62" s="100">
        <v>35.834663828277449</v>
      </c>
      <c r="N62" s="100">
        <v>35.980638221584798</v>
      </c>
      <c r="O62" s="101">
        <v>35.652173913043477</v>
      </c>
      <c r="P62" s="101">
        <v>35.764144011756059</v>
      </c>
      <c r="Q62" s="102">
        <v>33.164689462665734</v>
      </c>
      <c r="R62" s="100">
        <v>31.32872095086039</v>
      </c>
      <c r="S62" s="100">
        <v>30.835424883470779</v>
      </c>
      <c r="T62" s="100">
        <v>31.073646850044369</v>
      </c>
      <c r="U62" s="100">
        <v>36.039676708302721</v>
      </c>
      <c r="V62" s="100">
        <v>34.246336357292392</v>
      </c>
      <c r="W62" s="100">
        <v>67.163384779137829</v>
      </c>
      <c r="X62" s="100">
        <v>66.816063105055576</v>
      </c>
      <c r="Y62" s="100">
        <v>66.725820763087839</v>
      </c>
      <c r="Z62" s="100">
        <v>71.803820720058781</v>
      </c>
      <c r="AA62" s="100">
        <v>67.411025819958127</v>
      </c>
      <c r="AB62" s="100" t="s">
        <v>191</v>
      </c>
      <c r="AC62" s="100">
        <v>3.8</v>
      </c>
      <c r="AD62" s="100">
        <v>4.4000000000000004</v>
      </c>
      <c r="AE62" s="100">
        <v>6.6</v>
      </c>
      <c r="AF62" s="100">
        <v>6</v>
      </c>
      <c r="AG62" s="99">
        <v>212.5</v>
      </c>
      <c r="AH62" s="99">
        <v>222.5</v>
      </c>
      <c r="AI62" s="104">
        <v>231.41666666666666</v>
      </c>
      <c r="AJ62" s="104">
        <v>294.41666666666669</v>
      </c>
      <c r="AK62" s="105">
        <v>344.08333333333331</v>
      </c>
      <c r="AL62" s="106">
        <v>9063</v>
      </c>
      <c r="AM62" s="106">
        <v>27</v>
      </c>
      <c r="AN62" s="106">
        <v>159</v>
      </c>
      <c r="AO62" s="106">
        <v>67</v>
      </c>
      <c r="AP62" s="106">
        <v>0</v>
      </c>
      <c r="AQ62" s="106">
        <v>105</v>
      </c>
      <c r="AR62" s="106">
        <v>8975</v>
      </c>
      <c r="AS62" s="106">
        <v>56</v>
      </c>
      <c r="AT62" s="106">
        <v>100</v>
      </c>
      <c r="AU62" s="106">
        <v>69</v>
      </c>
      <c r="AV62" s="106">
        <v>180</v>
      </c>
      <c r="AW62" s="106">
        <v>355</v>
      </c>
      <c r="AX62" s="107">
        <v>31597</v>
      </c>
      <c r="AY62" s="107">
        <v>31478</v>
      </c>
      <c r="AZ62" s="107">
        <v>33421</v>
      </c>
      <c r="BA62" s="107">
        <v>39890</v>
      </c>
      <c r="BB62" s="107">
        <v>39137</v>
      </c>
      <c r="BC62" s="107">
        <v>37440</v>
      </c>
      <c r="BD62" s="107">
        <v>38594</v>
      </c>
      <c r="BE62" s="107">
        <v>36411</v>
      </c>
      <c r="BF62" s="108">
        <v>41421</v>
      </c>
      <c r="BG62" s="108">
        <v>41306</v>
      </c>
      <c r="BH62" s="100">
        <v>10.7</v>
      </c>
      <c r="BI62" s="100">
        <v>10.7</v>
      </c>
      <c r="BJ62" s="100">
        <v>11.5</v>
      </c>
      <c r="BK62" s="100">
        <v>10.6</v>
      </c>
      <c r="BL62" s="100">
        <v>10.6</v>
      </c>
      <c r="BM62" s="100">
        <v>12.4</v>
      </c>
      <c r="BN62" s="109">
        <v>13.8</v>
      </c>
      <c r="BO62" s="109">
        <v>14.6</v>
      </c>
      <c r="BP62" s="109">
        <v>14.1</v>
      </c>
      <c r="BQ62" s="100">
        <v>14.2</v>
      </c>
      <c r="BR62" s="106">
        <v>1467</v>
      </c>
      <c r="BS62" s="118">
        <v>1477</v>
      </c>
      <c r="BT62" s="118">
        <v>1491</v>
      </c>
      <c r="BU62" s="110">
        <v>1475</v>
      </c>
      <c r="BV62" s="100">
        <v>37.76414451261077</v>
      </c>
      <c r="BW62" s="100">
        <v>40.758293838862556</v>
      </c>
      <c r="BX62" s="100">
        <v>42.991281019450035</v>
      </c>
      <c r="BY62" s="103">
        <v>43.050847457627121</v>
      </c>
      <c r="BZ62" s="100">
        <v>3.4083162917518748</v>
      </c>
      <c r="CA62" s="100">
        <v>3.2498307379823967</v>
      </c>
      <c r="CB62" s="100">
        <v>3.8900067069081152</v>
      </c>
      <c r="CC62" s="103">
        <v>4.0677966101694913</v>
      </c>
      <c r="CD62" s="100">
        <v>15.47375596455351</v>
      </c>
      <c r="CE62" s="100">
        <v>16.113744075829384</v>
      </c>
      <c r="CF62" s="100">
        <v>16.834339369550637</v>
      </c>
      <c r="CG62" s="103">
        <v>15.932203389830509</v>
      </c>
      <c r="CH62" s="100">
        <v>78.294573643410857</v>
      </c>
      <c r="CI62" s="105">
        <v>82.61</v>
      </c>
      <c r="CJ62" s="111">
        <v>85.29</v>
      </c>
      <c r="CK62" s="111">
        <v>89.6</v>
      </c>
      <c r="CL62" s="112">
        <v>641</v>
      </c>
      <c r="CM62" s="112">
        <v>571</v>
      </c>
      <c r="CN62" s="112">
        <v>598</v>
      </c>
      <c r="CO62" s="112">
        <v>656</v>
      </c>
      <c r="CP62" s="112"/>
      <c r="CQ62" s="113">
        <v>12.331428791289126</v>
      </c>
      <c r="CR62" s="113">
        <v>11.377448343196445</v>
      </c>
      <c r="CS62" s="113">
        <v>12.377877131975493</v>
      </c>
      <c r="CT62" s="113">
        <v>13.936097892590075</v>
      </c>
      <c r="CU62" s="112"/>
      <c r="CV62" s="114">
        <v>4.3062200956937797</v>
      </c>
      <c r="CW62" s="114">
        <v>3.7366548042704628</v>
      </c>
      <c r="CX62" s="114">
        <v>5.4794520547945202</v>
      </c>
      <c r="CY62" s="114">
        <v>4.5741324921135647</v>
      </c>
      <c r="CZ62" s="112"/>
      <c r="DA62" s="113">
        <v>6.9491525423728815</v>
      </c>
      <c r="DB62" s="113">
        <v>9.5588235294117645</v>
      </c>
      <c r="DC62" s="113">
        <v>8.1705150976909415</v>
      </c>
      <c r="DD62" s="113">
        <v>8.4745762711864412</v>
      </c>
      <c r="DE62" s="112"/>
      <c r="DF62" s="113">
        <v>87.101910828025481</v>
      </c>
      <c r="DG62" s="113">
        <v>82.709447415329763</v>
      </c>
      <c r="DH62" s="113">
        <v>80.402010050251263</v>
      </c>
      <c r="DI62" s="113">
        <v>84.786053882725838</v>
      </c>
      <c r="DJ62" s="112"/>
      <c r="DK62" s="114">
        <v>11.986863711001641</v>
      </c>
      <c r="DL62" s="114">
        <v>13.580246913580247</v>
      </c>
      <c r="DM62" s="114">
        <v>16.946308724832214</v>
      </c>
      <c r="DN62" s="114">
        <v>18.529862174578867</v>
      </c>
      <c r="DO62" s="112"/>
      <c r="DP62" s="113">
        <v>17.472698907956318</v>
      </c>
      <c r="DQ62" s="113">
        <v>19.089316987740805</v>
      </c>
      <c r="DR62" s="113">
        <v>28.260869565217391</v>
      </c>
      <c r="DS62" s="113">
        <v>34.045801526717554</v>
      </c>
      <c r="DT62" s="112"/>
      <c r="DU62" s="115">
        <v>4</v>
      </c>
      <c r="DV62" s="115">
        <v>4</v>
      </c>
      <c r="DW62" s="115">
        <v>3</v>
      </c>
      <c r="DX62" s="115">
        <v>3</v>
      </c>
      <c r="DY62" s="112"/>
      <c r="DZ62" s="116">
        <v>9.3000000000000007</v>
      </c>
      <c r="EA62" s="116">
        <v>4.3478260869565215</v>
      </c>
      <c r="EB62" s="116">
        <v>2.94</v>
      </c>
      <c r="EC62" s="116">
        <v>1.6</v>
      </c>
      <c r="ED62" s="112"/>
      <c r="EE62" s="113">
        <v>85.123966942148755</v>
      </c>
      <c r="EF62" s="113">
        <v>1.6528925619834711</v>
      </c>
      <c r="EG62" s="113">
        <v>3.3057851239669422</v>
      </c>
      <c r="EH62" s="113">
        <v>4.1322314049586772</v>
      </c>
      <c r="EI62" s="113">
        <v>10.084033613445378</v>
      </c>
      <c r="EJ62" s="113">
        <v>31.936127744510976</v>
      </c>
      <c r="EK62" s="113"/>
      <c r="EL62" s="115">
        <v>654</v>
      </c>
      <c r="EM62" s="115">
        <v>622</v>
      </c>
      <c r="EN62" s="115">
        <v>644</v>
      </c>
      <c r="EO62" s="115">
        <v>616</v>
      </c>
      <c r="EP62" s="112"/>
      <c r="EQ62" s="114">
        <v>1258.152017083165</v>
      </c>
      <c r="ER62" s="114">
        <v>1239.3647757387371</v>
      </c>
      <c r="ES62" s="114">
        <v>1333.0021526742839</v>
      </c>
      <c r="ET62" s="114">
        <v>1308.6335825968729</v>
      </c>
      <c r="EU62" s="112"/>
      <c r="EV62" s="113">
        <v>777.18284930000004</v>
      </c>
      <c r="EW62" s="113">
        <v>735.90234253999995</v>
      </c>
      <c r="EX62" s="113">
        <v>723.77590744999998</v>
      </c>
      <c r="EY62" s="113">
        <v>727.66074479999997</v>
      </c>
      <c r="EZ62" s="112"/>
      <c r="FA62" s="115">
        <v>205</v>
      </c>
      <c r="FB62" s="115">
        <v>141</v>
      </c>
      <c r="FC62" s="115">
        <v>125</v>
      </c>
      <c r="FD62" s="115">
        <v>117</v>
      </c>
      <c r="FE62" s="112"/>
      <c r="FF62" s="115">
        <v>145</v>
      </c>
      <c r="FG62" s="115">
        <v>134</v>
      </c>
      <c r="FH62" s="115">
        <v>137</v>
      </c>
      <c r="FI62" s="115">
        <v>154</v>
      </c>
      <c r="FJ62" s="112"/>
      <c r="FK62" s="115">
        <v>63</v>
      </c>
      <c r="FL62" s="115">
        <v>61</v>
      </c>
      <c r="FM62" s="115">
        <v>60</v>
      </c>
      <c r="FN62" s="115">
        <v>57</v>
      </c>
      <c r="FO62" s="112"/>
      <c r="FP62" s="115">
        <v>16</v>
      </c>
      <c r="FQ62" s="115">
        <v>26</v>
      </c>
      <c r="FR62" s="115">
        <v>26</v>
      </c>
      <c r="FS62" s="115">
        <v>31</v>
      </c>
      <c r="FT62" s="112"/>
      <c r="FU62" s="113">
        <v>228.22407025999999</v>
      </c>
      <c r="FV62" s="113">
        <v>156.95423036</v>
      </c>
      <c r="FW62" s="113">
        <v>128.56804733999999</v>
      </c>
      <c r="FX62" s="113">
        <v>124.13845823</v>
      </c>
      <c r="FY62" s="112"/>
      <c r="FZ62" s="113">
        <v>191.90206448000001</v>
      </c>
      <c r="GA62" s="113">
        <v>173.36659607000001</v>
      </c>
      <c r="GB62" s="113">
        <v>170.14632817</v>
      </c>
      <c r="GC62" s="113">
        <v>207.51157387999999</v>
      </c>
      <c r="GD62" s="112"/>
      <c r="GE62" s="113">
        <v>65.24313952</v>
      </c>
      <c r="GF62" s="113">
        <v>61.875798420000002</v>
      </c>
      <c r="GG62" s="113">
        <v>57.154805690000003</v>
      </c>
      <c r="GH62" s="113">
        <v>52.230032510000001</v>
      </c>
      <c r="GI62" s="112"/>
      <c r="GJ62" s="113" t="s">
        <v>46</v>
      </c>
      <c r="GK62" s="113">
        <v>47.91834283</v>
      </c>
      <c r="GL62" s="113">
        <v>37.747038080000003</v>
      </c>
      <c r="GM62" s="113">
        <v>51.811650219999997</v>
      </c>
      <c r="GN62" s="112"/>
      <c r="GO62" s="113">
        <v>1008.9776051699999</v>
      </c>
      <c r="GP62" s="113">
        <v>918.19811749999997</v>
      </c>
      <c r="GQ62" s="113">
        <v>958.03714714</v>
      </c>
      <c r="GR62" s="113">
        <v>966.32647439000004</v>
      </c>
      <c r="GS62" s="112"/>
      <c r="GT62" s="113">
        <v>629.74690380000004</v>
      </c>
      <c r="GU62" s="113">
        <v>594.97581855999999</v>
      </c>
      <c r="GV62" s="113">
        <v>543.98414978999995</v>
      </c>
      <c r="GW62" s="113">
        <v>546.27542501000005</v>
      </c>
      <c r="GX62" s="112"/>
      <c r="GY62" s="112"/>
      <c r="GZ62" s="112"/>
      <c r="HA62" s="112"/>
      <c r="HB62" s="112"/>
      <c r="HC62" s="112"/>
      <c r="HD62" s="115">
        <v>108</v>
      </c>
      <c r="HE62" s="115">
        <v>0</v>
      </c>
      <c r="HF62" s="115">
        <v>1</v>
      </c>
      <c r="HG62" s="115">
        <v>0</v>
      </c>
      <c r="HH62" s="115">
        <v>1</v>
      </c>
      <c r="HI62" s="114">
        <v>35.944206008583691</v>
      </c>
      <c r="HJ62" s="114">
        <v>18.500486854917234</v>
      </c>
      <c r="HK62" s="113">
        <v>35.398230088495573</v>
      </c>
      <c r="HL62" s="112">
        <v>27</v>
      </c>
      <c r="HM62" s="112">
        <v>21</v>
      </c>
      <c r="HN62" s="112">
        <v>32</v>
      </c>
      <c r="HO62" s="112">
        <v>29</v>
      </c>
      <c r="HP62" s="112"/>
      <c r="HQ62" s="112">
        <v>41</v>
      </c>
      <c r="HR62" s="112">
        <v>52</v>
      </c>
      <c r="HS62" s="112">
        <v>46</v>
      </c>
      <c r="HT62" s="112">
        <v>50</v>
      </c>
      <c r="HU62" s="117"/>
    </row>
    <row r="63" spans="1:229" x14ac:dyDescent="0.2">
      <c r="A63" s="93">
        <v>60</v>
      </c>
      <c r="B63" s="98" t="s">
        <v>127</v>
      </c>
      <c r="C63" s="99">
        <v>31088</v>
      </c>
      <c r="D63" s="99">
        <v>30708</v>
      </c>
      <c r="E63" s="99">
        <v>30694</v>
      </c>
      <c r="F63" s="99">
        <v>30776</v>
      </c>
      <c r="G63" s="99">
        <v>31600</v>
      </c>
      <c r="H63" s="99">
        <v>12484</v>
      </c>
      <c r="I63" s="99">
        <v>12500</v>
      </c>
      <c r="J63" s="99">
        <v>12529</v>
      </c>
      <c r="K63" s="99">
        <v>12527</v>
      </c>
      <c r="L63" s="99">
        <v>12704</v>
      </c>
      <c r="M63" s="100">
        <v>25.706535141800245</v>
      </c>
      <c r="N63" s="100">
        <v>26.159787351421837</v>
      </c>
      <c r="O63" s="101">
        <v>26.447150804390319</v>
      </c>
      <c r="P63" s="101">
        <v>26.44076433121019</v>
      </c>
      <c r="Q63" s="102">
        <v>25.840304935399239</v>
      </c>
      <c r="R63" s="100">
        <v>27.625154130702832</v>
      </c>
      <c r="S63" s="100">
        <v>27.849942324088474</v>
      </c>
      <c r="T63" s="100">
        <v>27.384353230090714</v>
      </c>
      <c r="U63" s="100">
        <v>30.379617834394903</v>
      </c>
      <c r="V63" s="100">
        <v>30.587594673531012</v>
      </c>
      <c r="W63" s="100">
        <v>53.331689272503077</v>
      </c>
      <c r="X63" s="100">
        <v>54.009729675510307</v>
      </c>
      <c r="Y63" s="100">
        <v>53.831504034481028</v>
      </c>
      <c r="Z63" s="100">
        <v>56.820382165605096</v>
      </c>
      <c r="AA63" s="100">
        <v>56.427899608930254</v>
      </c>
      <c r="AB63" s="100" t="s">
        <v>170</v>
      </c>
      <c r="AC63" s="100">
        <v>4.5</v>
      </c>
      <c r="AD63" s="100">
        <v>5</v>
      </c>
      <c r="AE63" s="100">
        <v>6.2</v>
      </c>
      <c r="AF63" s="100">
        <v>5.5</v>
      </c>
      <c r="AG63" s="99">
        <v>992.25</v>
      </c>
      <c r="AH63" s="99">
        <v>1045.5</v>
      </c>
      <c r="AI63" s="104">
        <v>1088</v>
      </c>
      <c r="AJ63" s="104">
        <v>1292.3333333333333</v>
      </c>
      <c r="AK63" s="105">
        <v>1531.25</v>
      </c>
      <c r="AL63" s="106">
        <v>29906</v>
      </c>
      <c r="AM63" s="106">
        <v>193</v>
      </c>
      <c r="AN63" s="106">
        <v>474</v>
      </c>
      <c r="AO63" s="106">
        <v>163</v>
      </c>
      <c r="AP63" s="106">
        <v>0</v>
      </c>
      <c r="AQ63" s="106">
        <v>1365</v>
      </c>
      <c r="AR63" s="106">
        <v>29495</v>
      </c>
      <c r="AS63" s="106">
        <v>270</v>
      </c>
      <c r="AT63" s="106">
        <v>453</v>
      </c>
      <c r="AU63" s="106">
        <v>220</v>
      </c>
      <c r="AV63" s="106">
        <v>665</v>
      </c>
      <c r="AW63" s="106">
        <v>1720</v>
      </c>
      <c r="AX63" s="107">
        <v>27502</v>
      </c>
      <c r="AY63" s="107">
        <v>28277</v>
      </c>
      <c r="AZ63" s="107">
        <v>30420</v>
      </c>
      <c r="BA63" s="107">
        <v>36854</v>
      </c>
      <c r="BB63" s="107">
        <v>36080</v>
      </c>
      <c r="BC63" s="107">
        <v>39622</v>
      </c>
      <c r="BD63" s="107">
        <v>41780</v>
      </c>
      <c r="BE63" s="107">
        <v>43188</v>
      </c>
      <c r="BF63" s="108">
        <v>44323</v>
      </c>
      <c r="BG63" s="108">
        <v>43731</v>
      </c>
      <c r="BH63" s="100">
        <v>12.2</v>
      </c>
      <c r="BI63" s="100">
        <v>12.3</v>
      </c>
      <c r="BJ63" s="100">
        <v>15.7</v>
      </c>
      <c r="BK63" s="100">
        <v>12.2</v>
      </c>
      <c r="BL63" s="100">
        <v>12.2</v>
      </c>
      <c r="BM63" s="100">
        <v>14.6</v>
      </c>
      <c r="BN63" s="109">
        <v>16.100000000000001</v>
      </c>
      <c r="BO63" s="109">
        <v>16.100000000000001</v>
      </c>
      <c r="BP63" s="109">
        <v>15.2</v>
      </c>
      <c r="BQ63" s="100">
        <v>16.899999999999999</v>
      </c>
      <c r="BR63" s="106">
        <v>5176</v>
      </c>
      <c r="BS63" s="118">
        <v>5104</v>
      </c>
      <c r="BT63" s="118">
        <v>5071</v>
      </c>
      <c r="BU63" s="110">
        <v>5021</v>
      </c>
      <c r="BV63" s="100">
        <v>36.688562596599688</v>
      </c>
      <c r="BW63" s="100">
        <v>36.402821316614421</v>
      </c>
      <c r="BX63" s="100">
        <v>38.670873594951686</v>
      </c>
      <c r="BY63" s="103">
        <v>37.821151165106549</v>
      </c>
      <c r="BZ63" s="100">
        <v>2.0865533230293662</v>
      </c>
      <c r="CA63" s="100">
        <v>2.0180250783699059</v>
      </c>
      <c r="CB63" s="100">
        <v>1.5184381778741864</v>
      </c>
      <c r="CC63" s="103">
        <v>1.254730133439554</v>
      </c>
      <c r="CD63" s="100">
        <v>15.610510046367851</v>
      </c>
      <c r="CE63" s="100">
        <v>15.517241379310345</v>
      </c>
      <c r="CF63" s="100">
        <v>15.657661210806546</v>
      </c>
      <c r="CG63" s="103">
        <v>15.674168492332205</v>
      </c>
      <c r="CH63" s="100">
        <v>81.481481481481481</v>
      </c>
      <c r="CI63" s="105">
        <v>80.849999999999994</v>
      </c>
      <c r="CJ63" s="111">
        <v>81</v>
      </c>
      <c r="CK63" s="111">
        <v>83.050847457627114</v>
      </c>
      <c r="CL63" s="112">
        <v>2142</v>
      </c>
      <c r="CM63" s="112">
        <v>1834</v>
      </c>
      <c r="CN63" s="112">
        <v>1779</v>
      </c>
      <c r="CO63" s="112">
        <v>1963</v>
      </c>
      <c r="CP63" s="112"/>
      <c r="CQ63" s="113">
        <v>13.136913377327478</v>
      </c>
      <c r="CR63" s="113">
        <v>11.634545846708198</v>
      </c>
      <c r="CS63" s="113">
        <v>11.446918854922046</v>
      </c>
      <c r="CT63" s="113">
        <v>12.675474280991308</v>
      </c>
      <c r="CU63" s="112"/>
      <c r="CV63" s="114">
        <v>3.0432715168806466</v>
      </c>
      <c r="CW63" s="114">
        <v>3.9842873176206508</v>
      </c>
      <c r="CX63" s="114">
        <v>5.7570523891767413</v>
      </c>
      <c r="CY63" s="114">
        <v>4.4078597981943703</v>
      </c>
      <c r="CZ63" s="112"/>
      <c r="DA63" s="113">
        <v>7.4165029469548136</v>
      </c>
      <c r="DB63" s="113">
        <v>8.3381586566299948</v>
      </c>
      <c r="DC63" s="113">
        <v>10.357583230579531</v>
      </c>
      <c r="DD63" s="113">
        <v>8.2853855005753747</v>
      </c>
      <c r="DE63" s="112"/>
      <c r="DF63" s="113">
        <v>73.937677053824359</v>
      </c>
      <c r="DG63" s="113">
        <v>77.071823204419886</v>
      </c>
      <c r="DH63" s="113">
        <v>85.136674259681087</v>
      </c>
      <c r="DI63" s="113">
        <v>79.341963322545851</v>
      </c>
      <c r="DJ63" s="112"/>
      <c r="DK63" s="114">
        <v>17.666666666666668</v>
      </c>
      <c r="DL63" s="114">
        <v>14.686468646864686</v>
      </c>
      <c r="DM63" s="114">
        <v>13.11936936936937</v>
      </c>
      <c r="DN63" s="114">
        <v>13.954685890834192</v>
      </c>
      <c r="DO63" s="112"/>
      <c r="DP63" s="113">
        <v>26.563958916900095</v>
      </c>
      <c r="DQ63" s="113">
        <v>29.514457174031641</v>
      </c>
      <c r="DR63" s="113">
        <v>34.139482564679412</v>
      </c>
      <c r="DS63" s="113">
        <v>33.944954128440365</v>
      </c>
      <c r="DT63" s="112"/>
      <c r="DU63" s="115">
        <v>14</v>
      </c>
      <c r="DV63" s="115">
        <v>11</v>
      </c>
      <c r="DW63" s="115">
        <v>8</v>
      </c>
      <c r="DX63" s="115">
        <v>12</v>
      </c>
      <c r="DY63" s="112"/>
      <c r="DZ63" s="116">
        <v>7.61</v>
      </c>
      <c r="EA63" s="116">
        <v>6.653225806451613</v>
      </c>
      <c r="EB63" s="116">
        <v>4.9800000000000004</v>
      </c>
      <c r="EC63" s="116">
        <v>5.9322033898305087</v>
      </c>
      <c r="ED63" s="112"/>
      <c r="EE63" s="113">
        <v>89.84375</v>
      </c>
      <c r="EF63" s="113">
        <v>1.3020833333333333</v>
      </c>
      <c r="EG63" s="113">
        <v>2.8645833333333335</v>
      </c>
      <c r="EH63" s="113">
        <v>1.5625</v>
      </c>
      <c r="EI63" s="113">
        <v>7.552083333333333</v>
      </c>
      <c r="EJ63" s="113">
        <v>31.898204636569634</v>
      </c>
      <c r="EK63" s="113"/>
      <c r="EL63" s="115">
        <v>2003</v>
      </c>
      <c r="EM63" s="115">
        <v>1898</v>
      </c>
      <c r="EN63" s="115">
        <v>1776</v>
      </c>
      <c r="EO63" s="115">
        <v>1778</v>
      </c>
      <c r="EP63" s="112"/>
      <c r="EQ63" s="114">
        <v>1228.4424600740867</v>
      </c>
      <c r="ER63" s="114">
        <v>1204.0549627618407</v>
      </c>
      <c r="ES63" s="114">
        <v>1142.7615450444944</v>
      </c>
      <c r="ET63" s="114">
        <v>1148.0893159247348</v>
      </c>
      <c r="EU63" s="112"/>
      <c r="EV63" s="113">
        <v>903.33176876000005</v>
      </c>
      <c r="EW63" s="113">
        <v>864.94998419000001</v>
      </c>
      <c r="EX63" s="113">
        <v>779.51006086999996</v>
      </c>
      <c r="EY63" s="113">
        <v>771.13591867000002</v>
      </c>
      <c r="EZ63" s="112"/>
      <c r="FA63" s="115">
        <v>610</v>
      </c>
      <c r="FB63" s="115">
        <v>492</v>
      </c>
      <c r="FC63" s="115">
        <v>383</v>
      </c>
      <c r="FD63" s="115">
        <v>369</v>
      </c>
      <c r="FE63" s="112"/>
      <c r="FF63" s="115">
        <v>457</v>
      </c>
      <c r="FG63" s="115">
        <v>422</v>
      </c>
      <c r="FH63" s="115">
        <v>357</v>
      </c>
      <c r="FI63" s="115">
        <v>354</v>
      </c>
      <c r="FJ63" s="112"/>
      <c r="FK63" s="115">
        <v>173</v>
      </c>
      <c r="FL63" s="115">
        <v>176</v>
      </c>
      <c r="FM63" s="115">
        <v>148</v>
      </c>
      <c r="FN63" s="115">
        <v>102</v>
      </c>
      <c r="FO63" s="112"/>
      <c r="FP63" s="115">
        <v>89</v>
      </c>
      <c r="FQ63" s="115">
        <v>68</v>
      </c>
      <c r="FR63" s="115">
        <v>58</v>
      </c>
      <c r="FS63" s="115">
        <v>102</v>
      </c>
      <c r="FT63" s="112"/>
      <c r="FU63" s="113">
        <v>267.81154197000001</v>
      </c>
      <c r="FV63" s="113">
        <v>216.23570294999999</v>
      </c>
      <c r="FW63" s="113">
        <v>162.86134870999999</v>
      </c>
      <c r="FX63" s="113">
        <v>148.64740065999999</v>
      </c>
      <c r="FY63" s="112"/>
      <c r="FZ63" s="113">
        <v>216.48654651999999</v>
      </c>
      <c r="GA63" s="113">
        <v>211.2755828</v>
      </c>
      <c r="GB63" s="113">
        <v>171.87715184000001</v>
      </c>
      <c r="GC63" s="113">
        <v>165.47638782000001</v>
      </c>
      <c r="GD63" s="112"/>
      <c r="GE63" s="113">
        <v>71.228898610000002</v>
      </c>
      <c r="GF63" s="113">
        <v>72.925794920000001</v>
      </c>
      <c r="GG63" s="113">
        <v>57.447715369999997</v>
      </c>
      <c r="GH63" s="113">
        <v>36.033532620000003</v>
      </c>
      <c r="GI63" s="112"/>
      <c r="GJ63" s="113">
        <v>48.354441340000001</v>
      </c>
      <c r="GK63" s="113">
        <v>34.710172470000003</v>
      </c>
      <c r="GL63" s="113">
        <v>31.389187840000002</v>
      </c>
      <c r="GM63" s="113">
        <v>56.705064499999999</v>
      </c>
      <c r="GN63" s="112"/>
      <c r="GO63" s="113">
        <v>1158.20418137</v>
      </c>
      <c r="GP63" s="113">
        <v>1094.4827899899999</v>
      </c>
      <c r="GQ63" s="113">
        <v>978.63172179000003</v>
      </c>
      <c r="GR63" s="113">
        <v>998.61925599000006</v>
      </c>
      <c r="GS63" s="112"/>
      <c r="GT63" s="113">
        <v>705.87187249999999</v>
      </c>
      <c r="GU63" s="113">
        <v>683.5660742</v>
      </c>
      <c r="GV63" s="113">
        <v>629.91598742999997</v>
      </c>
      <c r="GW63" s="113">
        <v>615.78857089999997</v>
      </c>
      <c r="GX63" s="112"/>
      <c r="GY63" s="112"/>
      <c r="GZ63" s="112"/>
      <c r="HA63" s="112"/>
      <c r="HB63" s="112"/>
      <c r="HC63" s="112"/>
      <c r="HD63" s="115">
        <v>340</v>
      </c>
      <c r="HE63" s="115">
        <v>1</v>
      </c>
      <c r="HF63" s="115">
        <v>3</v>
      </c>
      <c r="HG63" s="115">
        <v>0</v>
      </c>
      <c r="HH63" s="115">
        <v>4</v>
      </c>
      <c r="HI63" s="114">
        <v>40.88616714697406</v>
      </c>
      <c r="HJ63" s="114">
        <v>32.507241712262633</v>
      </c>
      <c r="HK63" s="113">
        <v>33.848176141965169</v>
      </c>
      <c r="HL63" s="112">
        <v>64</v>
      </c>
      <c r="HM63" s="112">
        <v>71</v>
      </c>
      <c r="HN63" s="112">
        <v>100</v>
      </c>
      <c r="HO63" s="112">
        <v>83</v>
      </c>
      <c r="HP63" s="112"/>
      <c r="HQ63" s="112">
        <v>151</v>
      </c>
      <c r="HR63" s="112">
        <v>144</v>
      </c>
      <c r="HS63" s="112">
        <v>168</v>
      </c>
      <c r="HT63" s="112">
        <v>144</v>
      </c>
      <c r="HU63" s="117"/>
    </row>
    <row r="64" spans="1:229" x14ac:dyDescent="0.2">
      <c r="A64" s="93">
        <v>61</v>
      </c>
      <c r="B64" s="98" t="s">
        <v>128</v>
      </c>
      <c r="C64" s="99">
        <v>11212</v>
      </c>
      <c r="D64" s="99">
        <v>11065</v>
      </c>
      <c r="E64" s="99">
        <v>11030</v>
      </c>
      <c r="F64" s="99">
        <v>10869</v>
      </c>
      <c r="G64" s="99">
        <v>10995</v>
      </c>
      <c r="H64" s="99">
        <v>4696</v>
      </c>
      <c r="I64" s="99">
        <v>4697</v>
      </c>
      <c r="J64" s="99">
        <v>4703</v>
      </c>
      <c r="K64" s="99">
        <v>4672</v>
      </c>
      <c r="L64" s="99">
        <v>4736</v>
      </c>
      <c r="M64" s="100">
        <v>32.645903479236814</v>
      </c>
      <c r="N64" s="100">
        <v>33.32855504587156</v>
      </c>
      <c r="O64" s="101">
        <v>33.813156758312942</v>
      </c>
      <c r="P64" s="101">
        <v>33.200059232933512</v>
      </c>
      <c r="Q64" s="102">
        <v>34.765799256505574</v>
      </c>
      <c r="R64" s="100">
        <v>24.649270482603818</v>
      </c>
      <c r="S64" s="100">
        <v>25.286697247706424</v>
      </c>
      <c r="T64" s="100">
        <v>24.96041456743918</v>
      </c>
      <c r="U64" s="100">
        <v>27.750629349918555</v>
      </c>
      <c r="V64" s="100">
        <v>28.728624535315983</v>
      </c>
      <c r="W64" s="100">
        <v>57.295173961840632</v>
      </c>
      <c r="X64" s="100">
        <v>58.615252293577981</v>
      </c>
      <c r="Y64" s="100">
        <v>58.77357132575213</v>
      </c>
      <c r="Z64" s="100">
        <v>60.950688582852067</v>
      </c>
      <c r="AA64" s="100">
        <v>63.494423791821561</v>
      </c>
      <c r="AB64" s="100" t="s">
        <v>185</v>
      </c>
      <c r="AC64" s="100">
        <v>4.5</v>
      </c>
      <c r="AD64" s="100">
        <v>5.3</v>
      </c>
      <c r="AE64" s="100">
        <v>7.5</v>
      </c>
      <c r="AF64" s="100">
        <v>6.6</v>
      </c>
      <c r="AG64" s="99">
        <v>191.75</v>
      </c>
      <c r="AH64" s="99">
        <v>189.66666666666666</v>
      </c>
      <c r="AI64" s="104">
        <v>202.75</v>
      </c>
      <c r="AJ64" s="104">
        <v>253.58333333333334</v>
      </c>
      <c r="AK64" s="105">
        <v>327.83333333333331</v>
      </c>
      <c r="AL64" s="106">
        <v>11051</v>
      </c>
      <c r="AM64" s="106">
        <v>31</v>
      </c>
      <c r="AN64" s="106">
        <v>33</v>
      </c>
      <c r="AO64" s="106">
        <v>33</v>
      </c>
      <c r="AP64" s="106">
        <v>0</v>
      </c>
      <c r="AQ64" s="106">
        <v>75</v>
      </c>
      <c r="AR64" s="106">
        <v>10766</v>
      </c>
      <c r="AS64" s="106">
        <v>38</v>
      </c>
      <c r="AT64" s="106">
        <v>24</v>
      </c>
      <c r="AU64" s="106">
        <v>41</v>
      </c>
      <c r="AV64" s="106">
        <v>97</v>
      </c>
      <c r="AW64" s="106">
        <v>95</v>
      </c>
      <c r="AX64" s="107">
        <v>30316</v>
      </c>
      <c r="AY64" s="107">
        <v>30176</v>
      </c>
      <c r="AZ64" s="107">
        <v>31901</v>
      </c>
      <c r="BA64" s="107">
        <v>37542</v>
      </c>
      <c r="BB64" s="107">
        <v>37029</v>
      </c>
      <c r="BC64" s="107">
        <v>40643</v>
      </c>
      <c r="BD64" s="107">
        <v>41835</v>
      </c>
      <c r="BE64" s="107">
        <v>43090</v>
      </c>
      <c r="BF64" s="108">
        <v>47055</v>
      </c>
      <c r="BG64" s="108">
        <v>48844</v>
      </c>
      <c r="BH64" s="100">
        <v>10.5</v>
      </c>
      <c r="BI64" s="100">
        <v>9.1999999999999993</v>
      </c>
      <c r="BJ64" s="100">
        <v>9.1</v>
      </c>
      <c r="BK64" s="100">
        <v>10.1</v>
      </c>
      <c r="BL64" s="100">
        <v>9.9</v>
      </c>
      <c r="BM64" s="100">
        <v>14.6</v>
      </c>
      <c r="BN64" s="109">
        <v>12</v>
      </c>
      <c r="BO64" s="109">
        <v>12.9</v>
      </c>
      <c r="BP64" s="109">
        <v>13.4</v>
      </c>
      <c r="BQ64" s="100">
        <v>13.8</v>
      </c>
      <c r="BR64" s="106">
        <v>1348</v>
      </c>
      <c r="BS64" s="118">
        <v>1333</v>
      </c>
      <c r="BT64" s="118">
        <v>1295</v>
      </c>
      <c r="BU64" s="110">
        <v>1269</v>
      </c>
      <c r="BV64" s="100">
        <v>35.163204747774479</v>
      </c>
      <c r="BW64" s="100">
        <v>36.984246061515378</v>
      </c>
      <c r="BX64" s="100">
        <v>39.536679536679536</v>
      </c>
      <c r="BY64" s="103">
        <v>39.952718676122934</v>
      </c>
      <c r="BZ64" s="100">
        <v>7.4183976261127604E-2</v>
      </c>
      <c r="CA64" s="100">
        <v>0.22505626406601648</v>
      </c>
      <c r="CB64" s="100">
        <v>0.30888030888030887</v>
      </c>
      <c r="CC64" s="103">
        <v>0.15760441292356187</v>
      </c>
      <c r="CD64" s="100">
        <v>22.997032640949556</v>
      </c>
      <c r="CE64" s="100">
        <v>22.50562640660165</v>
      </c>
      <c r="CF64" s="100">
        <v>22.625482625482626</v>
      </c>
      <c r="CG64" s="103">
        <v>24.034672970843182</v>
      </c>
      <c r="CH64" s="100">
        <v>87.074829931972786</v>
      </c>
      <c r="CI64" s="105">
        <v>87.13</v>
      </c>
      <c r="CJ64" s="111">
        <v>87.39</v>
      </c>
      <c r="CK64" s="111">
        <v>88.181818181818187</v>
      </c>
      <c r="CL64" s="112">
        <v>539</v>
      </c>
      <c r="CM64" s="112">
        <v>528</v>
      </c>
      <c r="CN64" s="112">
        <v>592</v>
      </c>
      <c r="CO64" s="112">
        <v>619</v>
      </c>
      <c r="CP64" s="112"/>
      <c r="CQ64" s="113">
        <v>9.9093633371941241</v>
      </c>
      <c r="CR64" s="113">
        <v>9.6068121031276732</v>
      </c>
      <c r="CS64" s="113">
        <v>10.550327915597377</v>
      </c>
      <c r="CT64" s="113">
        <v>11.21966250385166</v>
      </c>
      <c r="CU64" s="112"/>
      <c r="CV64" s="114">
        <v>3.8095238095238093</v>
      </c>
      <c r="CW64" s="114">
        <v>3.3138401559454191</v>
      </c>
      <c r="CX64" s="114">
        <v>4.1366906474820144</v>
      </c>
      <c r="CY64" s="114">
        <v>4.7700170357751279</v>
      </c>
      <c r="CZ64" s="112"/>
      <c r="DA64" s="113">
        <v>7.4</v>
      </c>
      <c r="DB64" s="113">
        <v>6.1752988047808763</v>
      </c>
      <c r="DC64" s="113">
        <v>7.285974499089253</v>
      </c>
      <c r="DD64" s="113">
        <v>9.7391304347826093</v>
      </c>
      <c r="DE64" s="112"/>
      <c r="DF64" s="113">
        <v>79.238095238095241</v>
      </c>
      <c r="DG64" s="113">
        <v>86.897880539499042</v>
      </c>
      <c r="DH64" s="113">
        <v>90.03378378378379</v>
      </c>
      <c r="DI64" s="113">
        <v>86.829268292682926</v>
      </c>
      <c r="DJ64" s="112"/>
      <c r="DK64" s="114">
        <v>14.340344168260039</v>
      </c>
      <c r="DL64" s="114">
        <v>14.258555133079849</v>
      </c>
      <c r="DM64" s="114">
        <v>13.513513513513514</v>
      </c>
      <c r="DN64" s="114">
        <v>12.965964343598054</v>
      </c>
      <c r="DO64" s="112"/>
      <c r="DP64" s="113">
        <v>19.109461966604822</v>
      </c>
      <c r="DQ64" s="113">
        <v>17.424242424242426</v>
      </c>
      <c r="DR64" s="113">
        <v>21.621621621621621</v>
      </c>
      <c r="DS64" s="113">
        <v>26.494345718901453</v>
      </c>
      <c r="DT64" s="112"/>
      <c r="DU64" s="115">
        <v>2</v>
      </c>
      <c r="DV64" s="115">
        <v>1</v>
      </c>
      <c r="DW64" s="115">
        <v>3</v>
      </c>
      <c r="DX64" s="115">
        <v>4</v>
      </c>
      <c r="DY64" s="112"/>
      <c r="DZ64" s="116">
        <v>2.72</v>
      </c>
      <c r="EA64" s="116">
        <v>1.9801980198019802</v>
      </c>
      <c r="EB64" s="116">
        <v>2.7</v>
      </c>
      <c r="EC64" s="116">
        <v>0.90909090909090906</v>
      </c>
      <c r="ED64" s="112"/>
      <c r="EE64" s="113">
        <v>97.47899159663865</v>
      </c>
      <c r="EF64" s="113">
        <v>0.84033613445378152</v>
      </c>
      <c r="EG64" s="113">
        <v>0.84033613445378152</v>
      </c>
      <c r="EH64" s="113">
        <v>0.84033613445378152</v>
      </c>
      <c r="EI64" s="113">
        <v>0.84033613445378152</v>
      </c>
      <c r="EJ64" s="113">
        <v>13.69047619047619</v>
      </c>
      <c r="EK64" s="113"/>
      <c r="EL64" s="115">
        <v>690</v>
      </c>
      <c r="EM64" s="115">
        <v>778</v>
      </c>
      <c r="EN64" s="115">
        <v>728</v>
      </c>
      <c r="EO64" s="115">
        <v>691</v>
      </c>
      <c r="EP64" s="112"/>
      <c r="EQ64" s="114">
        <v>1268.545584909823</v>
      </c>
      <c r="ER64" s="114">
        <v>1415.5492076199487</v>
      </c>
      <c r="ES64" s="114">
        <v>1297.4051896207584</v>
      </c>
      <c r="ET64" s="114">
        <v>1252.4695945333599</v>
      </c>
      <c r="EU64" s="112"/>
      <c r="EV64" s="113">
        <v>761.54674810999995</v>
      </c>
      <c r="EW64" s="113">
        <v>826.24664736</v>
      </c>
      <c r="EX64" s="113">
        <v>717.62679643000001</v>
      </c>
      <c r="EY64" s="113">
        <v>687.82450979999999</v>
      </c>
      <c r="EZ64" s="112"/>
      <c r="FA64" s="115">
        <v>220</v>
      </c>
      <c r="FB64" s="115">
        <v>239</v>
      </c>
      <c r="FC64" s="115">
        <v>196</v>
      </c>
      <c r="FD64" s="115">
        <v>168</v>
      </c>
      <c r="FE64" s="112"/>
      <c r="FF64" s="115">
        <v>159</v>
      </c>
      <c r="FG64" s="115">
        <v>173</v>
      </c>
      <c r="FH64" s="115">
        <v>148</v>
      </c>
      <c r="FI64" s="115">
        <v>158</v>
      </c>
      <c r="FJ64" s="112"/>
      <c r="FK64" s="115">
        <v>45</v>
      </c>
      <c r="FL64" s="115">
        <v>65</v>
      </c>
      <c r="FM64" s="115">
        <v>63</v>
      </c>
      <c r="FN64" s="115">
        <v>46</v>
      </c>
      <c r="FO64" s="112"/>
      <c r="FP64" s="115">
        <v>22</v>
      </c>
      <c r="FQ64" s="115">
        <v>31</v>
      </c>
      <c r="FR64" s="115">
        <v>25</v>
      </c>
      <c r="FS64" s="115">
        <v>31</v>
      </c>
      <c r="FT64" s="112"/>
      <c r="FU64" s="113">
        <v>236.11342851000001</v>
      </c>
      <c r="FV64" s="113">
        <v>242.41022132000001</v>
      </c>
      <c r="FW64" s="113">
        <v>185.0138369</v>
      </c>
      <c r="FX64" s="113">
        <v>145.66140809000001</v>
      </c>
      <c r="FY64" s="112"/>
      <c r="FZ64" s="113">
        <v>187.49200988999999</v>
      </c>
      <c r="GA64" s="113">
        <v>197.89252169</v>
      </c>
      <c r="GB64" s="113">
        <v>158.12677681</v>
      </c>
      <c r="GC64" s="113">
        <v>177.3280412</v>
      </c>
      <c r="GD64" s="112"/>
      <c r="GE64" s="113">
        <v>46.356009219999997</v>
      </c>
      <c r="GF64" s="113">
        <v>61.362908269999998</v>
      </c>
      <c r="GG64" s="113">
        <v>54.567254290000001</v>
      </c>
      <c r="GH64" s="113">
        <v>42.599195889999997</v>
      </c>
      <c r="GI64" s="112"/>
      <c r="GJ64" s="113">
        <v>37.293180100000001</v>
      </c>
      <c r="GK64" s="113">
        <v>42.824859199999899</v>
      </c>
      <c r="GL64" s="113">
        <v>37.786098289999998</v>
      </c>
      <c r="GM64" s="113">
        <v>42.85261208</v>
      </c>
      <c r="GN64" s="112"/>
      <c r="GO64" s="113">
        <v>949.26624669</v>
      </c>
      <c r="GP64" s="113">
        <v>993.98351381999998</v>
      </c>
      <c r="GQ64" s="113">
        <v>890.98731812999995</v>
      </c>
      <c r="GR64" s="113">
        <v>819.33465038999998</v>
      </c>
      <c r="GS64" s="112"/>
      <c r="GT64" s="113">
        <v>618.42017163000003</v>
      </c>
      <c r="GU64" s="113">
        <v>683.55785895999998</v>
      </c>
      <c r="GV64" s="113">
        <v>597.50376468000002</v>
      </c>
      <c r="GW64" s="113">
        <v>571.23518639999998</v>
      </c>
      <c r="GX64" s="112"/>
      <c r="GY64" s="112"/>
      <c r="GZ64" s="112"/>
      <c r="HA64" s="112"/>
      <c r="HB64" s="112"/>
      <c r="HC64" s="112"/>
      <c r="HD64" s="115">
        <v>137</v>
      </c>
      <c r="HE64" s="115">
        <v>0</v>
      </c>
      <c r="HF64" s="115">
        <v>0</v>
      </c>
      <c r="HG64" s="115">
        <v>0</v>
      </c>
      <c r="HH64" s="115">
        <v>1</v>
      </c>
      <c r="HI64" s="114">
        <v>26.147959183673468</v>
      </c>
      <c r="HJ64" s="114">
        <v>16.111707841031148</v>
      </c>
      <c r="HK64" s="113">
        <v>16.324626865671643</v>
      </c>
      <c r="HL64" s="112">
        <v>20</v>
      </c>
      <c r="HM64" s="112">
        <v>17</v>
      </c>
      <c r="HN64" s="112">
        <v>23</v>
      </c>
      <c r="HO64" s="112">
        <v>28</v>
      </c>
      <c r="HP64" s="112"/>
      <c r="HQ64" s="112">
        <v>37</v>
      </c>
      <c r="HR64" s="112">
        <v>31</v>
      </c>
      <c r="HS64" s="112">
        <v>40</v>
      </c>
      <c r="HT64" s="112">
        <v>56</v>
      </c>
      <c r="HU64" s="117"/>
    </row>
    <row r="65" spans="1:229" ht="21" customHeight="1" x14ac:dyDescent="0.2">
      <c r="A65" s="93">
        <v>62</v>
      </c>
      <c r="B65" s="98" t="s">
        <v>129</v>
      </c>
      <c r="C65" s="99">
        <v>493215</v>
      </c>
      <c r="D65" s="99">
        <v>499891</v>
      </c>
      <c r="E65" s="99">
        <v>501428</v>
      </c>
      <c r="F65" s="99">
        <v>506278</v>
      </c>
      <c r="G65" s="99">
        <v>508640</v>
      </c>
      <c r="H65" s="99">
        <v>206149</v>
      </c>
      <c r="I65" s="99">
        <v>207678</v>
      </c>
      <c r="J65" s="99">
        <v>208611</v>
      </c>
      <c r="K65" s="99">
        <v>209214</v>
      </c>
      <c r="L65" s="99">
        <v>202691</v>
      </c>
      <c r="M65" s="100">
        <v>19.049202634798501</v>
      </c>
      <c r="N65" s="100">
        <v>18.8723073084372</v>
      </c>
      <c r="O65" s="101">
        <v>19.422126495848712</v>
      </c>
      <c r="P65" s="101">
        <v>19.76332711845059</v>
      </c>
      <c r="Q65" s="102">
        <v>17.514965345670142</v>
      </c>
      <c r="R65" s="100">
        <v>31.428118144901713</v>
      </c>
      <c r="S65" s="100">
        <v>29.616636764373894</v>
      </c>
      <c r="T65" s="100">
        <v>29.955105919643472</v>
      </c>
      <c r="U65" s="100">
        <v>28.421527104986637</v>
      </c>
      <c r="V65" s="100">
        <v>28.099064719573327</v>
      </c>
      <c r="W65" s="100">
        <v>50.477320779700221</v>
      </c>
      <c r="X65" s="100">
        <v>48.488944072811094</v>
      </c>
      <c r="Y65" s="100">
        <v>49.37723241549218</v>
      </c>
      <c r="Z65" s="100">
        <v>48.184854223437227</v>
      </c>
      <c r="AA65" s="100">
        <v>45.614030065243469</v>
      </c>
      <c r="AB65" s="100" t="s">
        <v>185</v>
      </c>
      <c r="AC65" s="100">
        <v>4.4000000000000004</v>
      </c>
      <c r="AD65" s="100">
        <v>5.3</v>
      </c>
      <c r="AE65" s="100">
        <v>7.8</v>
      </c>
      <c r="AF65" s="100">
        <v>7</v>
      </c>
      <c r="AG65" s="99">
        <v>20198</v>
      </c>
      <c r="AH65" s="99">
        <v>20744.583333333332</v>
      </c>
      <c r="AI65" s="104">
        <v>21546.5</v>
      </c>
      <c r="AJ65" s="104">
        <v>25482.916666666668</v>
      </c>
      <c r="AK65" s="105">
        <v>30617.666666666668</v>
      </c>
      <c r="AL65" s="106">
        <v>386171</v>
      </c>
      <c r="AM65" s="106">
        <v>47696</v>
      </c>
      <c r="AN65" s="106">
        <v>4340</v>
      </c>
      <c r="AO65" s="106">
        <v>43454</v>
      </c>
      <c r="AP65" s="106">
        <v>0</v>
      </c>
      <c r="AQ65" s="106">
        <v>30293</v>
      </c>
      <c r="AR65" s="106">
        <v>356547</v>
      </c>
      <c r="AS65" s="106">
        <v>56170</v>
      </c>
      <c r="AT65" s="106">
        <v>4043</v>
      </c>
      <c r="AU65" s="106">
        <v>59548</v>
      </c>
      <c r="AV65" s="106">
        <v>17556</v>
      </c>
      <c r="AW65" s="106">
        <v>36483</v>
      </c>
      <c r="AX65" s="107">
        <v>40883</v>
      </c>
      <c r="AY65" s="107">
        <v>42798</v>
      </c>
      <c r="AZ65" s="107">
        <v>45180</v>
      </c>
      <c r="BA65" s="107">
        <v>45677</v>
      </c>
      <c r="BB65" s="107">
        <v>44381</v>
      </c>
      <c r="BC65" s="107">
        <v>49873</v>
      </c>
      <c r="BD65" s="107">
        <v>50813</v>
      </c>
      <c r="BE65" s="107">
        <v>51803</v>
      </c>
      <c r="BF65" s="108">
        <v>52762</v>
      </c>
      <c r="BG65" s="108">
        <v>48008</v>
      </c>
      <c r="BH65" s="100">
        <v>13.1</v>
      </c>
      <c r="BI65" s="100">
        <v>14.3</v>
      </c>
      <c r="BJ65" s="100">
        <v>13.5</v>
      </c>
      <c r="BK65" s="100">
        <v>13.5</v>
      </c>
      <c r="BL65" s="100">
        <v>16.399999999999999</v>
      </c>
      <c r="BM65" s="100">
        <v>18.399999999999999</v>
      </c>
      <c r="BN65" s="109">
        <v>18.7</v>
      </c>
      <c r="BO65" s="109">
        <v>19.3</v>
      </c>
      <c r="BP65" s="109">
        <v>18.7</v>
      </c>
      <c r="BQ65" s="100">
        <v>25.5</v>
      </c>
      <c r="BR65" s="106">
        <v>83815</v>
      </c>
      <c r="BS65" s="118">
        <v>83710</v>
      </c>
      <c r="BT65" s="118">
        <v>84542</v>
      </c>
      <c r="BU65" s="110">
        <v>84777</v>
      </c>
      <c r="BV65" s="100">
        <v>50.519596730895422</v>
      </c>
      <c r="BW65" s="100">
        <v>50.76454425994504</v>
      </c>
      <c r="BX65" s="100">
        <v>53.992098601878361</v>
      </c>
      <c r="BY65" s="103">
        <v>53.777557592271492</v>
      </c>
      <c r="BZ65" s="100">
        <v>21.9722006800692</v>
      </c>
      <c r="CA65" s="100">
        <v>23.54796320630749</v>
      </c>
      <c r="CB65" s="100">
        <v>21.494641716543256</v>
      </c>
      <c r="CC65" s="103">
        <v>21.773594253158286</v>
      </c>
      <c r="CD65" s="100">
        <v>15.102308655968502</v>
      </c>
      <c r="CE65" s="100">
        <v>15.28013379524549</v>
      </c>
      <c r="CF65" s="100">
        <v>15.699888812661163</v>
      </c>
      <c r="CG65" s="103">
        <v>15.957158191490617</v>
      </c>
      <c r="CH65" s="100">
        <v>64.743589743589737</v>
      </c>
      <c r="CI65" s="105">
        <v>65.569999999999993</v>
      </c>
      <c r="CJ65" s="111">
        <v>66.489999999999995</v>
      </c>
      <c r="CK65" s="111">
        <v>68.9124965054515</v>
      </c>
      <c r="CL65" s="112">
        <v>39097</v>
      </c>
      <c r="CM65" s="112">
        <v>37388</v>
      </c>
      <c r="CN65" s="112">
        <v>36774</v>
      </c>
      <c r="CO65" s="112">
        <v>37892</v>
      </c>
      <c r="CP65" s="112"/>
      <c r="CQ65" s="113">
        <v>16.106255061912911</v>
      </c>
      <c r="CR65" s="113">
        <v>15.249434794472386</v>
      </c>
      <c r="CS65" s="113">
        <v>14.567889399081494</v>
      </c>
      <c r="CT65" s="113">
        <v>15.099711012603548</v>
      </c>
      <c r="CU65" s="112"/>
      <c r="CV65" s="114">
        <v>4.8736982923694354</v>
      </c>
      <c r="CW65" s="114">
        <v>5.2884085143928532</v>
      </c>
      <c r="CX65" s="114">
        <v>5.6100233165716213</v>
      </c>
      <c r="CY65" s="114">
        <v>5.7022809123649463</v>
      </c>
      <c r="CZ65" s="112"/>
      <c r="DA65" s="113">
        <v>7.9557720920734019</v>
      </c>
      <c r="DB65" s="113">
        <v>7.7220463256123981</v>
      </c>
      <c r="DC65" s="113">
        <v>8.0108858727888066</v>
      </c>
      <c r="DD65" s="113">
        <v>8.4031100478468908</v>
      </c>
      <c r="DE65" s="112"/>
      <c r="DF65" s="113">
        <v>76.146346689522176</v>
      </c>
      <c r="DG65" s="113">
        <v>77.992769342010121</v>
      </c>
      <c r="DH65" s="113">
        <v>80.086222711429102</v>
      </c>
      <c r="DI65" s="113">
        <v>79.70004285102128</v>
      </c>
      <c r="DJ65" s="112"/>
      <c r="DK65" s="114">
        <v>14.15073907629</v>
      </c>
      <c r="DL65" s="114">
        <v>11.222356370917872</v>
      </c>
      <c r="DM65" s="114">
        <v>8.7238388443207722</v>
      </c>
      <c r="DN65" s="114">
        <v>8.6572014597373546</v>
      </c>
      <c r="DO65" s="112"/>
      <c r="DP65" s="113">
        <v>30.148619957537154</v>
      </c>
      <c r="DQ65" s="113">
        <v>33.358300786474771</v>
      </c>
      <c r="DR65" s="113">
        <v>37.237139204004464</v>
      </c>
      <c r="DS65" s="113">
        <v>43.402951971061178</v>
      </c>
      <c r="DT65" s="112"/>
      <c r="DU65" s="115">
        <v>307</v>
      </c>
      <c r="DV65" s="115">
        <v>311</v>
      </c>
      <c r="DW65" s="115">
        <v>210</v>
      </c>
      <c r="DX65" s="115">
        <v>265</v>
      </c>
      <c r="DY65" s="112"/>
      <c r="DZ65" s="116">
        <v>9.31</v>
      </c>
      <c r="EA65" s="116">
        <v>8.6979581012993901</v>
      </c>
      <c r="EB65" s="116">
        <v>7.6</v>
      </c>
      <c r="EC65" s="116">
        <v>6.8772714565278168</v>
      </c>
      <c r="ED65" s="112"/>
      <c r="EE65" s="113">
        <v>50.767741043021168</v>
      </c>
      <c r="EF65" s="113">
        <v>18.688615299488173</v>
      </c>
      <c r="EG65" s="113">
        <v>1.1619864434914926</v>
      </c>
      <c r="EH65" s="113">
        <v>21.814912159358141</v>
      </c>
      <c r="EI65" s="113">
        <v>10.334304341794979</v>
      </c>
      <c r="EJ65" s="113">
        <v>37.171400246211505</v>
      </c>
      <c r="EK65" s="113"/>
      <c r="EL65" s="115">
        <v>19573</v>
      </c>
      <c r="EM65" s="115">
        <v>20545</v>
      </c>
      <c r="EN65" s="115">
        <v>19352</v>
      </c>
      <c r="EO65" s="115">
        <v>18810</v>
      </c>
      <c r="EP65" s="112"/>
      <c r="EQ65" s="114">
        <v>806.32204600563057</v>
      </c>
      <c r="ER65" s="114">
        <v>837.96843332736489</v>
      </c>
      <c r="ES65" s="114">
        <v>766.62260197700846</v>
      </c>
      <c r="ET65" s="114">
        <v>749.56604071327126</v>
      </c>
      <c r="EU65" s="112"/>
      <c r="EV65" s="113">
        <v>830.50739338000005</v>
      </c>
      <c r="EW65" s="113">
        <v>823.17367267999998</v>
      </c>
      <c r="EX65" s="113">
        <v>731.89786486000003</v>
      </c>
      <c r="EY65" s="113">
        <v>659.15237172000002</v>
      </c>
      <c r="EZ65" s="112"/>
      <c r="FA65" s="115">
        <v>5255</v>
      </c>
      <c r="FB65" s="115">
        <v>4700</v>
      </c>
      <c r="FC65" s="115">
        <v>3626</v>
      </c>
      <c r="FD65" s="115">
        <v>3152</v>
      </c>
      <c r="FE65" s="112"/>
      <c r="FF65" s="115">
        <v>4698</v>
      </c>
      <c r="FG65" s="115">
        <v>4863</v>
      </c>
      <c r="FH65" s="115">
        <v>4585</v>
      </c>
      <c r="FI65" s="115">
        <v>4496</v>
      </c>
      <c r="FJ65" s="112"/>
      <c r="FK65" s="115">
        <v>1522</v>
      </c>
      <c r="FL65" s="115">
        <v>1620</v>
      </c>
      <c r="FM65" s="115">
        <v>1363</v>
      </c>
      <c r="FN65" s="115">
        <v>1112</v>
      </c>
      <c r="FO65" s="112"/>
      <c r="FP65" s="115">
        <v>655</v>
      </c>
      <c r="FQ65" s="115">
        <v>731</v>
      </c>
      <c r="FR65" s="115">
        <v>776</v>
      </c>
      <c r="FS65" s="115">
        <v>854</v>
      </c>
      <c r="FT65" s="112"/>
      <c r="FU65" s="113">
        <v>222.84992274000001</v>
      </c>
      <c r="FV65" s="113">
        <v>186.07938910999999</v>
      </c>
      <c r="FW65" s="113">
        <v>134.51713143000001</v>
      </c>
      <c r="FX65" s="113">
        <v>106.94551241000001</v>
      </c>
      <c r="FY65" s="112"/>
      <c r="FZ65" s="113">
        <v>206.15065835999999</v>
      </c>
      <c r="GA65" s="113">
        <v>203.39419963</v>
      </c>
      <c r="GB65" s="113">
        <v>182.56791812</v>
      </c>
      <c r="GC65" s="113">
        <v>165.21840904000001</v>
      </c>
      <c r="GD65" s="112"/>
      <c r="GE65" s="113">
        <v>63.467891770000001</v>
      </c>
      <c r="GF65" s="113">
        <v>62.953710030000003</v>
      </c>
      <c r="GG65" s="113">
        <v>50.178424589999999</v>
      </c>
      <c r="GH65" s="113">
        <v>37.588751979999998</v>
      </c>
      <c r="GI65" s="112"/>
      <c r="GJ65" s="113">
        <v>25.6778531</v>
      </c>
      <c r="GK65" s="113">
        <v>28.193344620000001</v>
      </c>
      <c r="GL65" s="113">
        <v>29.421119090000001</v>
      </c>
      <c r="GM65" s="113">
        <v>31.36264126</v>
      </c>
      <c r="GN65" s="112"/>
      <c r="GO65" s="113">
        <v>1083.6751011700001</v>
      </c>
      <c r="GP65" s="113">
        <v>1028.61724061</v>
      </c>
      <c r="GQ65" s="113">
        <v>885.82580059999998</v>
      </c>
      <c r="GR65" s="113">
        <v>794.05925659000002</v>
      </c>
      <c r="GS65" s="112"/>
      <c r="GT65" s="113">
        <v>674.81636854999897</v>
      </c>
      <c r="GU65" s="113">
        <v>693.60353194000004</v>
      </c>
      <c r="GV65" s="113">
        <v>625.39821389999997</v>
      </c>
      <c r="GW65" s="113">
        <v>560.45166942000003</v>
      </c>
      <c r="GX65" s="112"/>
      <c r="GY65" s="112"/>
      <c r="GZ65" s="112"/>
      <c r="HA65" s="112"/>
      <c r="HB65" s="112"/>
      <c r="HC65" s="112"/>
      <c r="HD65" s="115">
        <v>3390</v>
      </c>
      <c r="HE65" s="115">
        <v>206</v>
      </c>
      <c r="HF65" s="115">
        <v>22</v>
      </c>
      <c r="HG65" s="115">
        <v>168</v>
      </c>
      <c r="HH65" s="115">
        <v>54</v>
      </c>
      <c r="HI65" s="114">
        <v>52.872387844463674</v>
      </c>
      <c r="HJ65" s="114">
        <v>48.238146247956251</v>
      </c>
      <c r="HK65" s="113">
        <v>38.092997390597596</v>
      </c>
      <c r="HL65" s="112">
        <v>1858</v>
      </c>
      <c r="HM65" s="112">
        <v>1918</v>
      </c>
      <c r="HN65" s="112">
        <v>1997</v>
      </c>
      <c r="HO65" s="112">
        <v>2090</v>
      </c>
      <c r="HP65" s="112"/>
      <c r="HQ65" s="112">
        <v>2727</v>
      </c>
      <c r="HR65" s="112">
        <v>2317</v>
      </c>
      <c r="HS65" s="112">
        <v>2296</v>
      </c>
      <c r="HT65" s="112">
        <v>2529</v>
      </c>
      <c r="HU65" s="117"/>
    </row>
    <row r="66" spans="1:229" x14ac:dyDescent="0.2">
      <c r="A66" s="93">
        <v>63</v>
      </c>
      <c r="B66" s="98" t="s">
        <v>130</v>
      </c>
      <c r="C66" s="99">
        <v>4168</v>
      </c>
      <c r="D66" s="99">
        <v>4118</v>
      </c>
      <c r="E66" s="99">
        <v>4069</v>
      </c>
      <c r="F66" s="99">
        <v>4188</v>
      </c>
      <c r="G66" s="99">
        <v>4089</v>
      </c>
      <c r="H66" s="99">
        <v>1759</v>
      </c>
      <c r="I66" s="99">
        <v>1755</v>
      </c>
      <c r="J66" s="99">
        <v>1761</v>
      </c>
      <c r="K66" s="99">
        <v>1779</v>
      </c>
      <c r="L66" s="99">
        <v>1737</v>
      </c>
      <c r="M66" s="100">
        <v>27.027027027027028</v>
      </c>
      <c r="N66" s="100">
        <v>26.25925925925926</v>
      </c>
      <c r="O66" s="101">
        <v>25.725986597170515</v>
      </c>
      <c r="P66" s="101">
        <v>29.414003044140031</v>
      </c>
      <c r="Q66" s="102">
        <v>27.631060307449744</v>
      </c>
      <c r="R66" s="100">
        <v>27.286190299888929</v>
      </c>
      <c r="S66" s="100">
        <v>26.25925925925926</v>
      </c>
      <c r="T66" s="100">
        <v>25.763216679076695</v>
      </c>
      <c r="U66" s="100">
        <v>29.946727549467276</v>
      </c>
      <c r="V66" s="100">
        <v>33.543555380370513</v>
      </c>
      <c r="W66" s="100">
        <v>54.313217326915954</v>
      </c>
      <c r="X66" s="100">
        <v>52.518518518518519</v>
      </c>
      <c r="Y66" s="100">
        <v>51.48920327624721</v>
      </c>
      <c r="Z66" s="100">
        <v>59.360730593607308</v>
      </c>
      <c r="AA66" s="100">
        <v>61.174615687820257</v>
      </c>
      <c r="AB66" s="100" t="s">
        <v>183</v>
      </c>
      <c r="AC66" s="100">
        <v>8.4</v>
      </c>
      <c r="AD66" s="100">
        <v>8.1999999999999993</v>
      </c>
      <c r="AE66" s="100">
        <v>10</v>
      </c>
      <c r="AF66" s="100">
        <v>9</v>
      </c>
      <c r="AG66" s="99">
        <v>106.58333333333333</v>
      </c>
      <c r="AH66" s="99">
        <v>115.5</v>
      </c>
      <c r="AI66" s="104">
        <v>125.33333333333333</v>
      </c>
      <c r="AJ66" s="104">
        <v>150.25</v>
      </c>
      <c r="AK66" s="105">
        <v>169.58333333333334</v>
      </c>
      <c r="AL66" s="106">
        <v>4063</v>
      </c>
      <c r="AM66" s="106">
        <v>10</v>
      </c>
      <c r="AN66" s="106">
        <v>65</v>
      </c>
      <c r="AO66" s="106">
        <v>2</v>
      </c>
      <c r="AP66" s="106">
        <v>0</v>
      </c>
      <c r="AQ66" s="106">
        <v>77</v>
      </c>
      <c r="AR66" s="106">
        <v>3934</v>
      </c>
      <c r="AS66" s="106">
        <v>8</v>
      </c>
      <c r="AT66" s="106">
        <v>52</v>
      </c>
      <c r="AU66" s="106">
        <v>8</v>
      </c>
      <c r="AV66" s="106">
        <v>60</v>
      </c>
      <c r="AW66" s="106">
        <v>101</v>
      </c>
      <c r="AX66" s="107">
        <v>23698</v>
      </c>
      <c r="AY66" s="107">
        <v>24243</v>
      </c>
      <c r="AZ66" s="107">
        <v>28206</v>
      </c>
      <c r="BA66" s="107">
        <v>29707</v>
      </c>
      <c r="BB66" s="107">
        <v>29750</v>
      </c>
      <c r="BC66" s="107">
        <v>35857</v>
      </c>
      <c r="BD66" s="107">
        <v>39869</v>
      </c>
      <c r="BE66" s="107">
        <v>40008</v>
      </c>
      <c r="BF66" s="108">
        <v>42772</v>
      </c>
      <c r="BG66" s="108">
        <v>41510</v>
      </c>
      <c r="BH66" s="100">
        <v>10.4</v>
      </c>
      <c r="BI66" s="100">
        <v>10.8</v>
      </c>
      <c r="BJ66" s="100">
        <v>11.1</v>
      </c>
      <c r="BK66" s="100">
        <v>11.5</v>
      </c>
      <c r="BL66" s="100">
        <v>11.1</v>
      </c>
      <c r="BM66" s="100">
        <v>12.5</v>
      </c>
      <c r="BN66" s="109">
        <v>13.9</v>
      </c>
      <c r="BO66" s="109">
        <v>13.4</v>
      </c>
      <c r="BP66" s="109">
        <v>14.4</v>
      </c>
      <c r="BQ66" s="100">
        <v>15.9</v>
      </c>
      <c r="BR66" s="106">
        <v>710</v>
      </c>
      <c r="BS66" s="118">
        <v>739</v>
      </c>
      <c r="BT66" s="118">
        <v>730</v>
      </c>
      <c r="BU66" s="110">
        <v>767</v>
      </c>
      <c r="BV66" s="100">
        <v>51.971830985915489</v>
      </c>
      <c r="BW66" s="100">
        <v>50.744248985115028</v>
      </c>
      <c r="BX66" s="100">
        <v>53.972602739726028</v>
      </c>
      <c r="BY66" s="103">
        <v>50.195567144719689</v>
      </c>
      <c r="BZ66" s="100">
        <v>0</v>
      </c>
      <c r="CA66" s="100">
        <v>0.2706359945872801</v>
      </c>
      <c r="CB66" s="100">
        <v>0</v>
      </c>
      <c r="CC66" s="103">
        <v>0</v>
      </c>
      <c r="CD66" s="100">
        <v>15.91549295774648</v>
      </c>
      <c r="CE66" s="100">
        <v>14.343707713125845</v>
      </c>
      <c r="CF66" s="100">
        <v>13.561643835616438</v>
      </c>
      <c r="CG66" s="103">
        <v>13.689700130378096</v>
      </c>
      <c r="CH66" s="100">
        <v>96.428571428571431</v>
      </c>
      <c r="CI66" s="105">
        <v>90.32</v>
      </c>
      <c r="CJ66" s="111">
        <v>82.54</v>
      </c>
      <c r="CK66" s="111">
        <v>92.982456140350877</v>
      </c>
      <c r="CL66" s="112">
        <v>251</v>
      </c>
      <c r="CM66" s="112">
        <v>239</v>
      </c>
      <c r="CN66" s="112">
        <v>237</v>
      </c>
      <c r="CO66" s="112">
        <v>265</v>
      </c>
      <c r="CP66" s="112"/>
      <c r="CQ66" s="113">
        <v>11.3205845210175</v>
      </c>
      <c r="CR66" s="113">
        <v>11.138556182131705</v>
      </c>
      <c r="CS66" s="113">
        <v>10.995128740431454</v>
      </c>
      <c r="CT66" s="113">
        <v>12.844125630089183</v>
      </c>
      <c r="CU66" s="112"/>
      <c r="CV66" s="114">
        <v>4.4534412955465585</v>
      </c>
      <c r="CW66" s="114">
        <v>5.1948051948051948</v>
      </c>
      <c r="CX66" s="114">
        <v>4.7210300429184553</v>
      </c>
      <c r="CY66" s="114">
        <v>6.1776061776061777</v>
      </c>
      <c r="CZ66" s="112"/>
      <c r="DA66" s="113">
        <v>7.2033898305084749</v>
      </c>
      <c r="DB66" s="113">
        <v>5.7522123893805306</v>
      </c>
      <c r="DC66" s="113">
        <v>5.7268722466960353</v>
      </c>
      <c r="DD66" s="113">
        <v>9.0909090909090917</v>
      </c>
      <c r="DE66" s="112"/>
      <c r="DF66" s="113">
        <v>72</v>
      </c>
      <c r="DG66" s="113">
        <v>72.151898734177209</v>
      </c>
      <c r="DH66" s="113">
        <v>82.700421940928265</v>
      </c>
      <c r="DI66" s="113">
        <v>82.745098039215691</v>
      </c>
      <c r="DJ66" s="112"/>
      <c r="DK66" s="114">
        <v>8.5714285714285712</v>
      </c>
      <c r="DL66" s="114">
        <v>16.386554621848738</v>
      </c>
      <c r="DM66" s="114">
        <v>13.617021276595745</v>
      </c>
      <c r="DN66" s="114">
        <v>16.60377358490566</v>
      </c>
      <c r="DO66" s="112"/>
      <c r="DP66" s="113">
        <v>18.725099601593627</v>
      </c>
      <c r="DQ66" s="113">
        <v>25.10460251046025</v>
      </c>
      <c r="DR66" s="113">
        <v>25.316455696202532</v>
      </c>
      <c r="DS66" s="113">
        <v>29.056603773584907</v>
      </c>
      <c r="DT66" s="112"/>
      <c r="DU66" s="115">
        <v>1</v>
      </c>
      <c r="DV66" s="115">
        <v>2</v>
      </c>
      <c r="DW66" s="115">
        <v>3</v>
      </c>
      <c r="DX66" s="115">
        <v>0</v>
      </c>
      <c r="DY66" s="112"/>
      <c r="DZ66" s="116">
        <v>0</v>
      </c>
      <c r="EA66" s="116">
        <v>4.838709677419355</v>
      </c>
      <c r="EB66" s="116">
        <v>1.59</v>
      </c>
      <c r="EC66" s="116">
        <v>5.2631578947368425</v>
      </c>
      <c r="ED66" s="112"/>
      <c r="EE66" s="113">
        <v>92.452830188679243</v>
      </c>
      <c r="EF66" s="113">
        <v>0</v>
      </c>
      <c r="EG66" s="113">
        <v>5.6603773584905657</v>
      </c>
      <c r="EH66" s="113">
        <v>0</v>
      </c>
      <c r="EI66" s="113">
        <v>3.7735849056603774</v>
      </c>
      <c r="EJ66" s="113" t="s">
        <v>46</v>
      </c>
      <c r="EK66" s="113"/>
      <c r="EL66" s="115">
        <v>288</v>
      </c>
      <c r="EM66" s="115">
        <v>249</v>
      </c>
      <c r="EN66" s="115">
        <v>228</v>
      </c>
      <c r="EO66" s="115">
        <v>204</v>
      </c>
      <c r="EP66" s="112"/>
      <c r="EQ66" s="114">
        <v>1298.9355944434421</v>
      </c>
      <c r="ER66" s="114">
        <v>1160.4604557953116</v>
      </c>
      <c r="ES66" s="114">
        <v>1057.759220598469</v>
      </c>
      <c r="ET66" s="114">
        <v>988.75533152384651</v>
      </c>
      <c r="EU66" s="112"/>
      <c r="EV66" s="113">
        <v>941.11569053000005</v>
      </c>
      <c r="EW66" s="113">
        <v>837.59479297999997</v>
      </c>
      <c r="EX66" s="113">
        <v>704.94585920999998</v>
      </c>
      <c r="EY66" s="113">
        <v>696.42285402000005</v>
      </c>
      <c r="EZ66" s="112"/>
      <c r="FA66" s="115">
        <v>71</v>
      </c>
      <c r="FB66" s="115">
        <v>78</v>
      </c>
      <c r="FC66" s="115">
        <v>59</v>
      </c>
      <c r="FD66" s="115">
        <v>51</v>
      </c>
      <c r="FE66" s="112"/>
      <c r="FF66" s="115">
        <v>51</v>
      </c>
      <c r="FG66" s="115">
        <v>48</v>
      </c>
      <c r="FH66" s="115">
        <v>49</v>
      </c>
      <c r="FI66" s="115">
        <v>47</v>
      </c>
      <c r="FJ66" s="112"/>
      <c r="FK66" s="115">
        <v>32</v>
      </c>
      <c r="FL66" s="115">
        <v>30</v>
      </c>
      <c r="FM66" s="115">
        <v>20</v>
      </c>
      <c r="FN66" s="115">
        <v>14</v>
      </c>
      <c r="FO66" s="112"/>
      <c r="FP66" s="115">
        <v>16</v>
      </c>
      <c r="FQ66" s="115">
        <v>10</v>
      </c>
      <c r="FR66" s="115">
        <v>11</v>
      </c>
      <c r="FS66" s="115">
        <v>11</v>
      </c>
      <c r="FT66" s="112"/>
      <c r="FU66" s="113">
        <v>232.05020772</v>
      </c>
      <c r="FV66" s="113">
        <v>258.68173948999998</v>
      </c>
      <c r="FW66" s="113">
        <v>180.40934822</v>
      </c>
      <c r="FX66" s="113">
        <v>162.69306778999999</v>
      </c>
      <c r="FY66" s="112"/>
      <c r="FZ66" s="113">
        <v>173.82172120999999</v>
      </c>
      <c r="GA66" s="113">
        <v>169.85134357000001</v>
      </c>
      <c r="GB66" s="113">
        <v>164.40568440000001</v>
      </c>
      <c r="GC66" s="113">
        <v>164.60157516999999</v>
      </c>
      <c r="GD66" s="112"/>
      <c r="GE66" s="113">
        <v>94.701987340000002</v>
      </c>
      <c r="GF66" s="113">
        <v>91.332123519999996</v>
      </c>
      <c r="GG66" s="113" t="s">
        <v>46</v>
      </c>
      <c r="GH66" s="113" t="s">
        <v>46</v>
      </c>
      <c r="GI66" s="112"/>
      <c r="GJ66" s="113" t="s">
        <v>46</v>
      </c>
      <c r="GK66" s="113" t="s">
        <v>46</v>
      </c>
      <c r="GL66" s="113" t="s">
        <v>46</v>
      </c>
      <c r="GM66" s="113" t="s">
        <v>46</v>
      </c>
      <c r="GN66" s="112"/>
      <c r="GO66" s="113">
        <v>1236.6264234800001</v>
      </c>
      <c r="GP66" s="113">
        <v>1032.35755477</v>
      </c>
      <c r="GQ66" s="113">
        <v>879.03833402999999</v>
      </c>
      <c r="GR66" s="113">
        <v>943.22667952999996</v>
      </c>
      <c r="GS66" s="112"/>
      <c r="GT66" s="113">
        <v>693.25162542999999</v>
      </c>
      <c r="GU66" s="113">
        <v>646.32814665000001</v>
      </c>
      <c r="GV66" s="113">
        <v>555.98374791000003</v>
      </c>
      <c r="GW66" s="113">
        <v>519.72651966000001</v>
      </c>
      <c r="GX66" s="112"/>
      <c r="GY66" s="112"/>
      <c r="GZ66" s="112"/>
      <c r="HA66" s="112"/>
      <c r="HB66" s="112"/>
      <c r="HC66" s="112"/>
      <c r="HD66" s="115">
        <v>32</v>
      </c>
      <c r="HE66" s="115">
        <v>0</v>
      </c>
      <c r="HF66" s="115">
        <v>2</v>
      </c>
      <c r="HG66" s="115">
        <v>0</v>
      </c>
      <c r="HH66" s="115">
        <v>0</v>
      </c>
      <c r="HI66" s="114">
        <v>30.013642564802183</v>
      </c>
      <c r="HJ66" s="114">
        <v>29.62962962962963</v>
      </c>
      <c r="HK66" s="113" t="s">
        <v>46</v>
      </c>
      <c r="HL66" s="112">
        <v>11</v>
      </c>
      <c r="HM66" s="112">
        <v>12</v>
      </c>
      <c r="HN66" s="112">
        <v>11</v>
      </c>
      <c r="HO66" s="112">
        <v>16</v>
      </c>
      <c r="HP66" s="112"/>
      <c r="HQ66" s="112">
        <v>17</v>
      </c>
      <c r="HR66" s="112">
        <v>13</v>
      </c>
      <c r="HS66" s="112">
        <v>13</v>
      </c>
      <c r="HT66" s="112">
        <v>22</v>
      </c>
      <c r="HU66" s="117"/>
    </row>
    <row r="67" spans="1:229" x14ac:dyDescent="0.2">
      <c r="A67" s="93">
        <v>64</v>
      </c>
      <c r="B67" s="98" t="s">
        <v>131</v>
      </c>
      <c r="C67" s="99">
        <v>15791</v>
      </c>
      <c r="D67" s="99">
        <v>15519</v>
      </c>
      <c r="E67" s="99">
        <v>15493</v>
      </c>
      <c r="F67" s="99">
        <v>15464</v>
      </c>
      <c r="G67" s="99">
        <v>16059</v>
      </c>
      <c r="H67" s="99">
        <v>6558</v>
      </c>
      <c r="I67" s="99">
        <v>6564</v>
      </c>
      <c r="J67" s="99">
        <v>6538</v>
      </c>
      <c r="K67" s="99">
        <v>6521</v>
      </c>
      <c r="L67" s="99">
        <v>6580</v>
      </c>
      <c r="M67" s="100">
        <v>31.534500514933058</v>
      </c>
      <c r="N67" s="100">
        <v>31.436596275876415</v>
      </c>
      <c r="O67" s="101">
        <v>31.452794640988067</v>
      </c>
      <c r="P67" s="101">
        <v>33.564088696592755</v>
      </c>
      <c r="Q67" s="102">
        <v>33.027139874739042</v>
      </c>
      <c r="R67" s="100">
        <v>31.091658084449019</v>
      </c>
      <c r="S67" s="100">
        <v>30.001040257983981</v>
      </c>
      <c r="T67" s="100">
        <v>30.709650408205984</v>
      </c>
      <c r="U67" s="100">
        <v>33.704705246078959</v>
      </c>
      <c r="V67" s="100">
        <v>34.603340292275576</v>
      </c>
      <c r="W67" s="100">
        <v>62.626158599382073</v>
      </c>
      <c r="X67" s="100">
        <v>61.437636533860399</v>
      </c>
      <c r="Y67" s="100">
        <v>62.162445049194062</v>
      </c>
      <c r="Z67" s="100">
        <v>67.268793942671721</v>
      </c>
      <c r="AA67" s="100">
        <v>67.630480167014611</v>
      </c>
      <c r="AB67" s="100" t="s">
        <v>174</v>
      </c>
      <c r="AC67" s="100">
        <v>4.8</v>
      </c>
      <c r="AD67" s="100">
        <v>5.5</v>
      </c>
      <c r="AE67" s="100">
        <v>7</v>
      </c>
      <c r="AF67" s="100">
        <v>6.4</v>
      </c>
      <c r="AG67" s="99">
        <v>277</v>
      </c>
      <c r="AH67" s="99">
        <v>286.33333333333331</v>
      </c>
      <c r="AI67" s="104">
        <v>303.25</v>
      </c>
      <c r="AJ67" s="104">
        <v>382.83333333333331</v>
      </c>
      <c r="AK67" s="105">
        <v>456.75</v>
      </c>
      <c r="AL67" s="106">
        <v>14586</v>
      </c>
      <c r="AM67" s="106">
        <v>44</v>
      </c>
      <c r="AN67" s="106">
        <v>576</v>
      </c>
      <c r="AO67" s="106">
        <v>380</v>
      </c>
      <c r="AP67" s="106">
        <v>0</v>
      </c>
      <c r="AQ67" s="106">
        <v>242</v>
      </c>
      <c r="AR67" s="106">
        <v>14305</v>
      </c>
      <c r="AS67" s="106">
        <v>75</v>
      </c>
      <c r="AT67" s="106">
        <v>796</v>
      </c>
      <c r="AU67" s="106">
        <v>509</v>
      </c>
      <c r="AV67" s="106">
        <v>315</v>
      </c>
      <c r="AW67" s="106">
        <v>335</v>
      </c>
      <c r="AX67" s="107">
        <v>29193</v>
      </c>
      <c r="AY67" s="107">
        <v>28368</v>
      </c>
      <c r="AZ67" s="107">
        <v>30675</v>
      </c>
      <c r="BA67" s="107">
        <v>37782</v>
      </c>
      <c r="BB67" s="107">
        <v>38493</v>
      </c>
      <c r="BC67" s="107">
        <v>43281</v>
      </c>
      <c r="BD67" s="107">
        <v>41182</v>
      </c>
      <c r="BE67" s="107">
        <v>46177</v>
      </c>
      <c r="BF67" s="108">
        <v>45184</v>
      </c>
      <c r="BG67" s="108">
        <v>46550</v>
      </c>
      <c r="BH67" s="100">
        <v>8.8000000000000007</v>
      </c>
      <c r="BI67" s="100">
        <v>10.199999999999999</v>
      </c>
      <c r="BJ67" s="100">
        <v>9</v>
      </c>
      <c r="BK67" s="100">
        <v>9.9</v>
      </c>
      <c r="BL67" s="100">
        <v>10</v>
      </c>
      <c r="BM67" s="100">
        <v>11.2</v>
      </c>
      <c r="BN67" s="109">
        <v>12.7</v>
      </c>
      <c r="BO67" s="109">
        <v>12.2</v>
      </c>
      <c r="BP67" s="109">
        <v>12.2</v>
      </c>
      <c r="BQ67" s="100">
        <v>12.9</v>
      </c>
      <c r="BR67" s="106">
        <v>2209</v>
      </c>
      <c r="BS67" s="118">
        <v>2231</v>
      </c>
      <c r="BT67" s="118">
        <v>2190</v>
      </c>
      <c r="BU67" s="110">
        <v>2188</v>
      </c>
      <c r="BV67" s="100">
        <v>35.400633770937077</v>
      </c>
      <c r="BW67" s="100">
        <v>34.379202151501573</v>
      </c>
      <c r="BX67" s="100">
        <v>34.520547945205479</v>
      </c>
      <c r="BY67" s="103">
        <v>36.745886654478973</v>
      </c>
      <c r="BZ67" s="100">
        <v>1.1317338162064281</v>
      </c>
      <c r="CA67" s="100">
        <v>0.98610488570147914</v>
      </c>
      <c r="CB67" s="100">
        <v>0.91324200913242004</v>
      </c>
      <c r="CC67" s="103">
        <v>0.82266910420475325</v>
      </c>
      <c r="CD67" s="100">
        <v>15.074694431869624</v>
      </c>
      <c r="CE67" s="100">
        <v>15.23980277902286</v>
      </c>
      <c r="CF67" s="100">
        <v>14.657534246575343</v>
      </c>
      <c r="CG67" s="103">
        <v>16.13345521023766</v>
      </c>
      <c r="CH67" s="100">
        <v>85.892116182572607</v>
      </c>
      <c r="CI67" s="105">
        <v>85.71</v>
      </c>
      <c r="CJ67" s="111">
        <v>87.44</v>
      </c>
      <c r="CK67" s="111">
        <v>86.956521739130437</v>
      </c>
      <c r="CL67" s="112">
        <v>1068</v>
      </c>
      <c r="CM67" s="112">
        <v>961</v>
      </c>
      <c r="CN67" s="112">
        <v>1005</v>
      </c>
      <c r="CO67" s="112">
        <v>1023</v>
      </c>
      <c r="CP67" s="112"/>
      <c r="CQ67" s="113">
        <v>12.460913800345359</v>
      </c>
      <c r="CR67" s="113">
        <v>11.542295727789188</v>
      </c>
      <c r="CS67" s="113">
        <v>12.364361113161586</v>
      </c>
      <c r="CT67" s="113">
        <v>13.06079718101269</v>
      </c>
      <c r="CU67" s="112"/>
      <c r="CV67" s="114">
        <v>2.6692087702573879</v>
      </c>
      <c r="CW67" s="114">
        <v>2.6709401709401708</v>
      </c>
      <c r="CX67" s="114">
        <v>3.5269709543568464</v>
      </c>
      <c r="CY67" s="114">
        <v>4.0609137055837561</v>
      </c>
      <c r="CZ67" s="112"/>
      <c r="DA67" s="113">
        <v>6.1099796334012222</v>
      </c>
      <c r="DB67" s="113">
        <v>5.5679287305122491</v>
      </c>
      <c r="DC67" s="113">
        <v>8.5956416464891046</v>
      </c>
      <c r="DD67" s="113">
        <v>8.0367393800229614</v>
      </c>
      <c r="DE67" s="112"/>
      <c r="DF67" s="113">
        <v>87.671232876712324</v>
      </c>
      <c r="DG67" s="113">
        <v>87.98235942668137</v>
      </c>
      <c r="DH67" s="113">
        <v>86.513486513486512</v>
      </c>
      <c r="DI67" s="113">
        <v>83.810463968410659</v>
      </c>
      <c r="DJ67" s="112"/>
      <c r="DK67" s="114">
        <v>14.489571899012075</v>
      </c>
      <c r="DL67" s="114">
        <v>14.103923647932131</v>
      </c>
      <c r="DM67" s="114">
        <v>16.432865731462925</v>
      </c>
      <c r="DN67" s="114">
        <v>18.021547502448581</v>
      </c>
      <c r="DO67" s="112"/>
      <c r="DP67" s="113">
        <v>20.224719101123597</v>
      </c>
      <c r="DQ67" s="113">
        <v>23.020833333333332</v>
      </c>
      <c r="DR67" s="113">
        <v>26.567164179104477</v>
      </c>
      <c r="DS67" s="113">
        <v>37.732160312805476</v>
      </c>
      <c r="DT67" s="112"/>
      <c r="DU67" s="115">
        <v>2</v>
      </c>
      <c r="DV67" s="115">
        <v>5</v>
      </c>
      <c r="DW67" s="115">
        <v>3</v>
      </c>
      <c r="DX67" s="115">
        <v>2</v>
      </c>
      <c r="DY67" s="112"/>
      <c r="DZ67" s="116">
        <v>6.22</v>
      </c>
      <c r="EA67" s="116">
        <v>7.1428571428571432</v>
      </c>
      <c r="EB67" s="116">
        <v>3.72</v>
      </c>
      <c r="EC67" s="116">
        <v>3.0434782608695654</v>
      </c>
      <c r="ED67" s="112"/>
      <c r="EE67" s="113">
        <v>82.539682539682545</v>
      </c>
      <c r="EF67" s="113">
        <v>0</v>
      </c>
      <c r="EG67" s="113">
        <v>6.3492063492063489</v>
      </c>
      <c r="EH67" s="113">
        <v>9.5238095238095237</v>
      </c>
      <c r="EI67" s="113">
        <v>2.6455026455026456</v>
      </c>
      <c r="EJ67" s="113">
        <v>31.474103585657371</v>
      </c>
      <c r="EK67" s="113"/>
      <c r="EL67" s="115">
        <v>1071</v>
      </c>
      <c r="EM67" s="115">
        <v>1088</v>
      </c>
      <c r="EN67" s="115">
        <v>1034</v>
      </c>
      <c r="EO67" s="115">
        <v>936</v>
      </c>
      <c r="EP67" s="112"/>
      <c r="EQ67" s="114">
        <v>1249.5916367200261</v>
      </c>
      <c r="ER67" s="114">
        <v>1306.7656349463721</v>
      </c>
      <c r="ES67" s="114">
        <v>1272.1143672645851</v>
      </c>
      <c r="ET67" s="114">
        <v>1195.005489875648</v>
      </c>
      <c r="EU67" s="112"/>
      <c r="EV67" s="113">
        <v>776.09772004000001</v>
      </c>
      <c r="EW67" s="113">
        <v>820.02847829999996</v>
      </c>
      <c r="EX67" s="113">
        <v>746.67900785999996</v>
      </c>
      <c r="EY67" s="113">
        <v>702.92878447999897</v>
      </c>
      <c r="EZ67" s="112"/>
      <c r="FA67" s="115">
        <v>381</v>
      </c>
      <c r="FB67" s="115">
        <v>319</v>
      </c>
      <c r="FC67" s="115">
        <v>284</v>
      </c>
      <c r="FD67" s="115">
        <v>226</v>
      </c>
      <c r="FE67" s="112"/>
      <c r="FF67" s="115">
        <v>235</v>
      </c>
      <c r="FG67" s="115">
        <v>261</v>
      </c>
      <c r="FH67" s="115">
        <v>235</v>
      </c>
      <c r="FI67" s="115">
        <v>217</v>
      </c>
      <c r="FJ67" s="112"/>
      <c r="FK67" s="115">
        <v>110</v>
      </c>
      <c r="FL67" s="115">
        <v>97</v>
      </c>
      <c r="FM67" s="115">
        <v>78</v>
      </c>
      <c r="FN67" s="115">
        <v>63</v>
      </c>
      <c r="FO67" s="112"/>
      <c r="FP67" s="115">
        <v>46</v>
      </c>
      <c r="FQ67" s="115">
        <v>49</v>
      </c>
      <c r="FR67" s="115">
        <v>47</v>
      </c>
      <c r="FS67" s="115">
        <v>43</v>
      </c>
      <c r="FT67" s="112"/>
      <c r="FU67" s="113">
        <v>259.84689587000003</v>
      </c>
      <c r="FV67" s="113">
        <v>229.54253360000001</v>
      </c>
      <c r="FW67" s="113">
        <v>189.12123735</v>
      </c>
      <c r="FX67" s="113">
        <v>152.79334845</v>
      </c>
      <c r="FY67" s="112"/>
      <c r="FZ67" s="113">
        <v>184.35071446000001</v>
      </c>
      <c r="GA67" s="113">
        <v>206.86127579999999</v>
      </c>
      <c r="GB67" s="113">
        <v>190.189843</v>
      </c>
      <c r="GC67" s="113">
        <v>178.47783924000001</v>
      </c>
      <c r="GD67" s="112"/>
      <c r="GE67" s="113">
        <v>71.180723090000001</v>
      </c>
      <c r="GF67" s="113">
        <v>63.089606179999997</v>
      </c>
      <c r="GG67" s="113">
        <v>49.813414430000002</v>
      </c>
      <c r="GH67" s="113">
        <v>42.67960652</v>
      </c>
      <c r="GI67" s="112"/>
      <c r="GJ67" s="113">
        <v>45.268860060000002</v>
      </c>
      <c r="GK67" s="113">
        <v>56.855873850000002</v>
      </c>
      <c r="GL67" s="113">
        <v>48.22568467</v>
      </c>
      <c r="GM67" s="113">
        <v>45.718319809999997</v>
      </c>
      <c r="GN67" s="112"/>
      <c r="GO67" s="113">
        <v>991.04513767000003</v>
      </c>
      <c r="GP67" s="113">
        <v>1061.57100711</v>
      </c>
      <c r="GQ67" s="113">
        <v>966.43825646000005</v>
      </c>
      <c r="GR67" s="113">
        <v>883.15393322</v>
      </c>
      <c r="GS67" s="112"/>
      <c r="GT67" s="113">
        <v>616.02220886999999</v>
      </c>
      <c r="GU67" s="113">
        <v>624.08726015000002</v>
      </c>
      <c r="GV67" s="113">
        <v>574.85246932999996</v>
      </c>
      <c r="GW67" s="113">
        <v>555.60348074000001</v>
      </c>
      <c r="GX67" s="112"/>
      <c r="GY67" s="112"/>
      <c r="GZ67" s="112"/>
      <c r="HA67" s="112"/>
      <c r="HB67" s="112"/>
      <c r="HC67" s="112"/>
      <c r="HD67" s="115">
        <v>168</v>
      </c>
      <c r="HE67" s="115">
        <v>1</v>
      </c>
      <c r="HF67" s="115">
        <v>4</v>
      </c>
      <c r="HG67" s="115">
        <v>2</v>
      </c>
      <c r="HH67" s="115">
        <v>1</v>
      </c>
      <c r="HI67" s="114">
        <v>31.39660772284374</v>
      </c>
      <c r="HJ67" s="114">
        <v>26.785714285714285</v>
      </c>
      <c r="HK67" s="113">
        <v>25.089605734767026</v>
      </c>
      <c r="HL67" s="112">
        <v>28</v>
      </c>
      <c r="HM67" s="112">
        <v>25</v>
      </c>
      <c r="HN67" s="112">
        <v>34</v>
      </c>
      <c r="HO67" s="112">
        <v>40</v>
      </c>
      <c r="HP67" s="112"/>
      <c r="HQ67" s="112">
        <v>60</v>
      </c>
      <c r="HR67" s="112">
        <v>50</v>
      </c>
      <c r="HS67" s="112">
        <v>71</v>
      </c>
      <c r="HT67" s="112">
        <v>70</v>
      </c>
      <c r="HU67" s="117"/>
    </row>
    <row r="68" spans="1:229" x14ac:dyDescent="0.2">
      <c r="A68" s="93">
        <v>65</v>
      </c>
      <c r="B68" s="98" t="s">
        <v>132</v>
      </c>
      <c r="C68" s="99">
        <v>16531</v>
      </c>
      <c r="D68" s="99">
        <v>16132</v>
      </c>
      <c r="E68" s="99">
        <v>15861</v>
      </c>
      <c r="F68" s="99">
        <v>15718</v>
      </c>
      <c r="G68" s="99">
        <v>15730</v>
      </c>
      <c r="H68" s="99">
        <v>6830</v>
      </c>
      <c r="I68" s="99">
        <v>6827</v>
      </c>
      <c r="J68" s="99">
        <v>6817</v>
      </c>
      <c r="K68" s="99">
        <v>6760</v>
      </c>
      <c r="L68" s="99">
        <v>6564</v>
      </c>
      <c r="M68" s="100">
        <v>29.05594743453474</v>
      </c>
      <c r="N68" s="100">
        <v>29.1736432581503</v>
      </c>
      <c r="O68" s="101">
        <v>29.380513231756218</v>
      </c>
      <c r="P68" s="101">
        <v>29.8306824012314</v>
      </c>
      <c r="Q68" s="102">
        <v>31.314273961332784</v>
      </c>
      <c r="R68" s="100">
        <v>30.679292685283606</v>
      </c>
      <c r="S68" s="100">
        <v>29.71535506746774</v>
      </c>
      <c r="T68" s="100">
        <v>29.611066559743382</v>
      </c>
      <c r="U68" s="100">
        <v>31.46228835300154</v>
      </c>
      <c r="V68" s="100">
        <v>30.450431921020158</v>
      </c>
      <c r="W68" s="100">
        <v>59.735240119818343</v>
      </c>
      <c r="X68" s="100">
        <v>58.888998325618047</v>
      </c>
      <c r="Y68" s="100">
        <v>58.991579791499603</v>
      </c>
      <c r="Z68" s="100">
        <v>61.29297075423294</v>
      </c>
      <c r="AA68" s="100">
        <v>61.764705882352942</v>
      </c>
      <c r="AB68" s="100" t="s">
        <v>188</v>
      </c>
      <c r="AC68" s="100">
        <v>5.3</v>
      </c>
      <c r="AD68" s="100">
        <v>5.9</v>
      </c>
      <c r="AE68" s="100">
        <v>8.4</v>
      </c>
      <c r="AF68" s="100">
        <v>7.9</v>
      </c>
      <c r="AG68" s="99">
        <v>351.33333333333331</v>
      </c>
      <c r="AH68" s="99">
        <v>352.58333333333331</v>
      </c>
      <c r="AI68" s="104">
        <v>359.58333333333331</v>
      </c>
      <c r="AJ68" s="104">
        <v>453.16666666666669</v>
      </c>
      <c r="AK68" s="105">
        <v>525.08333333333337</v>
      </c>
      <c r="AL68" s="106">
        <v>16176</v>
      </c>
      <c r="AM68" s="106">
        <v>49</v>
      </c>
      <c r="AN68" s="106">
        <v>145</v>
      </c>
      <c r="AO68" s="106">
        <v>58</v>
      </c>
      <c r="AP68" s="106">
        <v>0</v>
      </c>
      <c r="AQ68" s="106">
        <v>1018</v>
      </c>
      <c r="AR68" s="106">
        <v>15014</v>
      </c>
      <c r="AS68" s="106">
        <v>44</v>
      </c>
      <c r="AT68" s="106">
        <v>91</v>
      </c>
      <c r="AU68" s="106">
        <v>60</v>
      </c>
      <c r="AV68" s="106">
        <v>165</v>
      </c>
      <c r="AW68" s="106">
        <v>1046</v>
      </c>
      <c r="AX68" s="107">
        <v>27012</v>
      </c>
      <c r="AY68" s="107">
        <v>26972</v>
      </c>
      <c r="AZ68" s="107">
        <v>29455</v>
      </c>
      <c r="BA68" s="107">
        <v>39844</v>
      </c>
      <c r="BB68" s="107">
        <v>38318</v>
      </c>
      <c r="BC68" s="107">
        <v>44057</v>
      </c>
      <c r="BD68" s="107">
        <v>41659</v>
      </c>
      <c r="BE68" s="107">
        <v>45115</v>
      </c>
      <c r="BF68" s="108">
        <v>46427</v>
      </c>
      <c r="BG68" s="108">
        <v>46909</v>
      </c>
      <c r="BH68" s="100">
        <v>10.3</v>
      </c>
      <c r="BI68" s="100">
        <v>10.5</v>
      </c>
      <c r="BJ68" s="100">
        <v>9.5</v>
      </c>
      <c r="BK68" s="100">
        <v>11</v>
      </c>
      <c r="BL68" s="100">
        <v>10.7</v>
      </c>
      <c r="BM68" s="100">
        <v>13</v>
      </c>
      <c r="BN68" s="109">
        <v>14.4</v>
      </c>
      <c r="BO68" s="109">
        <v>13.1</v>
      </c>
      <c r="BP68" s="109">
        <v>14.9</v>
      </c>
      <c r="BQ68" s="100">
        <v>15.7</v>
      </c>
      <c r="BR68" s="106">
        <v>2052</v>
      </c>
      <c r="BS68" s="118">
        <v>2014</v>
      </c>
      <c r="BT68" s="118">
        <v>1969</v>
      </c>
      <c r="BU68" s="110">
        <v>1825</v>
      </c>
      <c r="BV68" s="100">
        <v>36.549707602339183</v>
      </c>
      <c r="BW68" s="100">
        <v>39.076464746772594</v>
      </c>
      <c r="BX68" s="100">
        <v>43.473844591163022</v>
      </c>
      <c r="BY68" s="103">
        <v>41.643835616438359</v>
      </c>
      <c r="BZ68" s="100">
        <v>10.526315789473683</v>
      </c>
      <c r="CA68" s="100">
        <v>10.12909632571996</v>
      </c>
      <c r="CB68" s="100">
        <v>8.7861858811579481</v>
      </c>
      <c r="CC68" s="103">
        <v>9.9726027397260282</v>
      </c>
      <c r="CD68" s="100">
        <v>14.571150097465887</v>
      </c>
      <c r="CE68" s="100">
        <v>14.746772591857003</v>
      </c>
      <c r="CF68" s="100">
        <v>15.439309294057898</v>
      </c>
      <c r="CG68" s="103">
        <v>15.232876712328768</v>
      </c>
      <c r="CH68" s="100">
        <v>89.162561576354676</v>
      </c>
      <c r="CI68" s="105">
        <v>85.64</v>
      </c>
      <c r="CJ68" s="111">
        <v>84.53</v>
      </c>
      <c r="CK68" s="111">
        <v>89.85507246376811</v>
      </c>
      <c r="CL68" s="112">
        <v>1018</v>
      </c>
      <c r="CM68" s="112">
        <v>1012</v>
      </c>
      <c r="CN68" s="112">
        <v>972</v>
      </c>
      <c r="CO68" s="112">
        <v>956</v>
      </c>
      <c r="CP68" s="112"/>
      <c r="CQ68" s="113">
        <v>11.711110599820538</v>
      </c>
      <c r="CR68" s="113">
        <v>11.902241667254723</v>
      </c>
      <c r="CS68" s="113">
        <v>11.516314779270633</v>
      </c>
      <c r="CT68" s="113">
        <v>11.954183964387536</v>
      </c>
      <c r="CU68" s="112"/>
      <c r="CV68" s="114">
        <v>3.6474164133738602</v>
      </c>
      <c r="CW68" s="114">
        <v>4.6747967479674797</v>
      </c>
      <c r="CX68" s="114">
        <v>4.5026178010471201</v>
      </c>
      <c r="CY68" s="114">
        <v>4.3897216274089939</v>
      </c>
      <c r="CZ68" s="112"/>
      <c r="DA68" s="113">
        <v>6.666666666666667</v>
      </c>
      <c r="DB68" s="113">
        <v>8.2974137931034484</v>
      </c>
      <c r="DC68" s="113">
        <v>8.6070215175537932</v>
      </c>
      <c r="DD68" s="113">
        <v>6.2352941176470589</v>
      </c>
      <c r="DE68" s="112"/>
      <c r="DF68" s="113">
        <v>85.5421686746988</v>
      </c>
      <c r="DG68" s="113">
        <v>84.274193548387103</v>
      </c>
      <c r="DH68" s="113">
        <v>84.248704663212436</v>
      </c>
      <c r="DI68" s="113">
        <v>85.488958990536275</v>
      </c>
      <c r="DJ68" s="112"/>
      <c r="DK68" s="114">
        <v>13.860369609856264</v>
      </c>
      <c r="DL68" s="114">
        <v>15.184815184815184</v>
      </c>
      <c r="DM68" s="114">
        <v>14.745586708203531</v>
      </c>
      <c r="DN68" s="114">
        <v>15.602094240837696</v>
      </c>
      <c r="DO68" s="112"/>
      <c r="DP68" s="113">
        <v>19.842829076620824</v>
      </c>
      <c r="DQ68" s="113">
        <v>25</v>
      </c>
      <c r="DR68" s="113">
        <v>31.893004115226336</v>
      </c>
      <c r="DS68" s="113">
        <v>37.13389121338912</v>
      </c>
      <c r="DT68" s="112"/>
      <c r="DU68" s="115">
        <v>10</v>
      </c>
      <c r="DV68" s="115">
        <v>7</v>
      </c>
      <c r="DW68" s="115">
        <v>4</v>
      </c>
      <c r="DX68" s="115">
        <v>1</v>
      </c>
      <c r="DY68" s="112"/>
      <c r="DZ68" s="116">
        <v>1.97</v>
      </c>
      <c r="EA68" s="116">
        <v>3.5897435897435899</v>
      </c>
      <c r="EB68" s="116">
        <v>2.21</v>
      </c>
      <c r="EC68" s="116">
        <v>2.8985507246376812</v>
      </c>
      <c r="ED68" s="112"/>
      <c r="EE68" s="113">
        <v>90.256410256410263</v>
      </c>
      <c r="EF68" s="113">
        <v>0.51282051282051277</v>
      </c>
      <c r="EG68" s="113">
        <v>2.0512820512820511</v>
      </c>
      <c r="EH68" s="113">
        <v>1.0256410256410255</v>
      </c>
      <c r="EI68" s="113">
        <v>16.494845360824741</v>
      </c>
      <c r="EJ68" s="113">
        <v>37.462908011869438</v>
      </c>
      <c r="EK68" s="113"/>
      <c r="EL68" s="115">
        <v>1105</v>
      </c>
      <c r="EM68" s="115">
        <v>1085</v>
      </c>
      <c r="EN68" s="115">
        <v>1038</v>
      </c>
      <c r="EO68" s="115">
        <v>1009</v>
      </c>
      <c r="EP68" s="112"/>
      <c r="EQ68" s="114">
        <v>1271.1961898626419</v>
      </c>
      <c r="ER68" s="114">
        <v>1276.0802578034954</v>
      </c>
      <c r="ES68" s="114">
        <v>1229.8286770455677</v>
      </c>
      <c r="ET68" s="114">
        <v>1261.6915920572201</v>
      </c>
      <c r="EU68" s="112"/>
      <c r="EV68" s="113">
        <v>825.30432700999995</v>
      </c>
      <c r="EW68" s="113">
        <v>783.22210251000001</v>
      </c>
      <c r="EX68" s="113">
        <v>761.79712771000004</v>
      </c>
      <c r="EY68" s="113">
        <v>775.09887716000003</v>
      </c>
      <c r="EZ68" s="112"/>
      <c r="FA68" s="115">
        <v>356</v>
      </c>
      <c r="FB68" s="115">
        <v>319</v>
      </c>
      <c r="FC68" s="115">
        <v>258</v>
      </c>
      <c r="FD68" s="115">
        <v>210</v>
      </c>
      <c r="FE68" s="112"/>
      <c r="FF68" s="115">
        <v>246</v>
      </c>
      <c r="FG68" s="115">
        <v>223</v>
      </c>
      <c r="FH68" s="115">
        <v>230</v>
      </c>
      <c r="FI68" s="115">
        <v>220</v>
      </c>
      <c r="FJ68" s="112"/>
      <c r="FK68" s="115">
        <v>113</v>
      </c>
      <c r="FL68" s="115">
        <v>129</v>
      </c>
      <c r="FM68" s="115">
        <v>83</v>
      </c>
      <c r="FN68" s="115">
        <v>61</v>
      </c>
      <c r="FO68" s="112"/>
      <c r="FP68" s="115">
        <v>48</v>
      </c>
      <c r="FQ68" s="115">
        <v>51</v>
      </c>
      <c r="FR68" s="115">
        <v>50</v>
      </c>
      <c r="FS68" s="115">
        <v>43</v>
      </c>
      <c r="FT68" s="112"/>
      <c r="FU68" s="113">
        <v>249.43134932000001</v>
      </c>
      <c r="FV68" s="113">
        <v>220.55681494999999</v>
      </c>
      <c r="FW68" s="113">
        <v>181.62399396000001</v>
      </c>
      <c r="FX68" s="113">
        <v>152.32500705000001</v>
      </c>
      <c r="FY68" s="112"/>
      <c r="FZ68" s="113">
        <v>190.32464708000001</v>
      </c>
      <c r="GA68" s="113">
        <v>171.56971596</v>
      </c>
      <c r="GB68" s="113">
        <v>180.49425452</v>
      </c>
      <c r="GC68" s="113">
        <v>183.86899550999999</v>
      </c>
      <c r="GD68" s="112"/>
      <c r="GE68" s="113">
        <v>76.515035490000002</v>
      </c>
      <c r="GF68" s="113">
        <v>86.071895240000003</v>
      </c>
      <c r="GG68" s="113">
        <v>51.643184589999997</v>
      </c>
      <c r="GH68" s="113">
        <v>39.878520219999999</v>
      </c>
      <c r="GI68" s="112"/>
      <c r="GJ68" s="113">
        <v>52.167156740000003</v>
      </c>
      <c r="GK68" s="113">
        <v>49.339403089999998</v>
      </c>
      <c r="GL68" s="113">
        <v>46.362201650000003</v>
      </c>
      <c r="GM68" s="113">
        <v>42.68681823</v>
      </c>
      <c r="GN68" s="112"/>
      <c r="GO68" s="113">
        <v>1047.3844345099999</v>
      </c>
      <c r="GP68" s="113">
        <v>1010.47243924</v>
      </c>
      <c r="GQ68" s="113">
        <v>910.89497983000001</v>
      </c>
      <c r="GR68" s="113">
        <v>916.33111841000004</v>
      </c>
      <c r="GS68" s="112"/>
      <c r="GT68" s="113">
        <v>646.61939237000001</v>
      </c>
      <c r="GU68" s="113">
        <v>607.85510525999996</v>
      </c>
      <c r="GV68" s="113">
        <v>638.14611013000001</v>
      </c>
      <c r="GW68" s="113">
        <v>656.74715678999996</v>
      </c>
      <c r="GX68" s="112"/>
      <c r="GY68" s="112"/>
      <c r="GZ68" s="112"/>
      <c r="HA68" s="112"/>
      <c r="HB68" s="112"/>
      <c r="HC68" s="112"/>
      <c r="HD68" s="115">
        <v>213</v>
      </c>
      <c r="HE68" s="115">
        <v>1</v>
      </c>
      <c r="HF68" s="115">
        <v>7</v>
      </c>
      <c r="HG68" s="115">
        <v>0</v>
      </c>
      <c r="HH68" s="115">
        <v>0</v>
      </c>
      <c r="HI68" s="114">
        <v>38.216560509554142</v>
      </c>
      <c r="HJ68" s="114">
        <v>42.847025495750707</v>
      </c>
      <c r="HK68" s="113">
        <v>28.882994400235781</v>
      </c>
      <c r="HL68" s="112">
        <v>36</v>
      </c>
      <c r="HM68" s="112">
        <v>46</v>
      </c>
      <c r="HN68" s="112">
        <v>43</v>
      </c>
      <c r="HO68" s="112">
        <v>41</v>
      </c>
      <c r="HP68" s="112"/>
      <c r="HQ68" s="112">
        <v>63</v>
      </c>
      <c r="HR68" s="112">
        <v>77</v>
      </c>
      <c r="HS68" s="112">
        <v>76</v>
      </c>
      <c r="HT68" s="112">
        <v>53</v>
      </c>
      <c r="HU68" s="117"/>
    </row>
    <row r="69" spans="1:229" x14ac:dyDescent="0.2">
      <c r="A69" s="93">
        <v>66</v>
      </c>
      <c r="B69" s="98" t="s">
        <v>133</v>
      </c>
      <c r="C69" s="99">
        <v>61980</v>
      </c>
      <c r="D69" s="99">
        <v>61955</v>
      </c>
      <c r="E69" s="99">
        <v>62390</v>
      </c>
      <c r="F69" s="99">
        <v>62723</v>
      </c>
      <c r="G69" s="99">
        <v>64142</v>
      </c>
      <c r="H69" s="99">
        <v>21483</v>
      </c>
      <c r="I69" s="99">
        <v>21831</v>
      </c>
      <c r="J69" s="99">
        <v>21914</v>
      </c>
      <c r="K69" s="99">
        <v>21993</v>
      </c>
      <c r="L69" s="99">
        <v>22315</v>
      </c>
      <c r="M69" s="100">
        <v>16.181726539589441</v>
      </c>
      <c r="N69" s="100">
        <v>16.658581098251208</v>
      </c>
      <c r="O69" s="101">
        <v>17.05561814544869</v>
      </c>
      <c r="P69" s="101">
        <v>18.215107271959063</v>
      </c>
      <c r="Q69" s="102">
        <v>17.95584516187829</v>
      </c>
      <c r="R69" s="100">
        <v>25.8179068914956</v>
      </c>
      <c r="S69" s="100">
        <v>26.467530667405921</v>
      </c>
      <c r="T69" s="100">
        <v>26.392752856781549</v>
      </c>
      <c r="U69" s="100">
        <v>29.015069715036852</v>
      </c>
      <c r="V69" s="100">
        <v>28.183454466747168</v>
      </c>
      <c r="W69" s="100">
        <v>41.999633431085044</v>
      </c>
      <c r="X69" s="100">
        <v>43.126111765657129</v>
      </c>
      <c r="Y69" s="100">
        <v>43.448371002230246</v>
      </c>
      <c r="Z69" s="100">
        <v>47.230176986995914</v>
      </c>
      <c r="AA69" s="100">
        <v>46.139299628625459</v>
      </c>
      <c r="AB69" s="100" t="s">
        <v>184</v>
      </c>
      <c r="AC69" s="100">
        <v>5</v>
      </c>
      <c r="AD69" s="100">
        <v>5.9</v>
      </c>
      <c r="AE69" s="100">
        <v>8.8000000000000007</v>
      </c>
      <c r="AF69" s="100">
        <v>7.9</v>
      </c>
      <c r="AG69" s="99">
        <v>872.08333333333337</v>
      </c>
      <c r="AH69" s="99">
        <v>895.83333333333337</v>
      </c>
      <c r="AI69" s="104">
        <v>950.08333333333337</v>
      </c>
      <c r="AJ69" s="104">
        <v>1357.5</v>
      </c>
      <c r="AK69" s="105">
        <v>1693.8333333333333</v>
      </c>
      <c r="AL69" s="106">
        <v>58960</v>
      </c>
      <c r="AM69" s="106">
        <v>1049</v>
      </c>
      <c r="AN69" s="106">
        <v>311</v>
      </c>
      <c r="AO69" s="106">
        <v>1103</v>
      </c>
      <c r="AP69" s="106">
        <v>0</v>
      </c>
      <c r="AQ69" s="106">
        <v>4361</v>
      </c>
      <c r="AR69" s="106">
        <v>57275</v>
      </c>
      <c r="AS69" s="106">
        <v>2072</v>
      </c>
      <c r="AT69" s="106">
        <v>300</v>
      </c>
      <c r="AU69" s="106">
        <v>1354</v>
      </c>
      <c r="AV69" s="106">
        <v>1163</v>
      </c>
      <c r="AW69" s="106">
        <v>5122</v>
      </c>
      <c r="AX69" s="107">
        <v>26906</v>
      </c>
      <c r="AY69" s="107">
        <v>27833</v>
      </c>
      <c r="AZ69" s="107">
        <v>29755</v>
      </c>
      <c r="BA69" s="107">
        <v>31776</v>
      </c>
      <c r="BB69" s="107">
        <v>31938</v>
      </c>
      <c r="BC69" s="107">
        <v>52497</v>
      </c>
      <c r="BD69" s="107">
        <v>55311</v>
      </c>
      <c r="BE69" s="107">
        <v>55431</v>
      </c>
      <c r="BF69" s="108">
        <v>58623</v>
      </c>
      <c r="BG69" s="108">
        <v>55681</v>
      </c>
      <c r="BH69" s="100">
        <v>8</v>
      </c>
      <c r="BI69" s="100">
        <v>8.5</v>
      </c>
      <c r="BJ69" s="100">
        <v>7.7</v>
      </c>
      <c r="BK69" s="100">
        <v>9.1999999999999993</v>
      </c>
      <c r="BL69" s="100">
        <v>11.8</v>
      </c>
      <c r="BM69" s="100">
        <v>9.3000000000000007</v>
      </c>
      <c r="BN69" s="109">
        <v>9.4</v>
      </c>
      <c r="BO69" s="109">
        <v>8.6999999999999993</v>
      </c>
      <c r="BP69" s="109">
        <v>10</v>
      </c>
      <c r="BQ69" s="100">
        <v>14.1</v>
      </c>
      <c r="BR69" s="106">
        <v>8581</v>
      </c>
      <c r="BS69" s="118">
        <v>8518</v>
      </c>
      <c r="BT69" s="118">
        <v>8598</v>
      </c>
      <c r="BU69" s="110">
        <v>8452</v>
      </c>
      <c r="BV69" s="100">
        <v>29.76343083556695</v>
      </c>
      <c r="BW69" s="100">
        <v>31.227987790561162</v>
      </c>
      <c r="BX69" s="100">
        <v>36.903931146778319</v>
      </c>
      <c r="BY69" s="103">
        <v>37.458589682915289</v>
      </c>
      <c r="BZ69" s="100">
        <v>9.6259177252068522</v>
      </c>
      <c r="CA69" s="100">
        <v>10.13148626438131</v>
      </c>
      <c r="CB69" s="100">
        <v>9.7813444987206335</v>
      </c>
      <c r="CC69" s="103">
        <v>11.133459536204448</v>
      </c>
      <c r="CD69" s="100">
        <v>16.105349026919942</v>
      </c>
      <c r="CE69" s="100">
        <v>16.318384597323316</v>
      </c>
      <c r="CF69" s="100">
        <v>16.573621772505234</v>
      </c>
      <c r="CG69" s="103">
        <v>15.759583530525319</v>
      </c>
      <c r="CH69" s="100">
        <v>77.27856225930681</v>
      </c>
      <c r="CI69" s="105">
        <v>75.930000000000007</v>
      </c>
      <c r="CJ69" s="111">
        <v>74.62</v>
      </c>
      <c r="CK69" s="111">
        <v>76.477683956574182</v>
      </c>
      <c r="CL69" s="112">
        <v>3056</v>
      </c>
      <c r="CM69" s="112">
        <v>3363</v>
      </c>
      <c r="CN69" s="112">
        <v>3726</v>
      </c>
      <c r="CO69" s="112">
        <v>3900</v>
      </c>
      <c r="CP69" s="112"/>
      <c r="CQ69" s="113">
        <v>11.96755914269043</v>
      </c>
      <c r="CR69" s="113">
        <v>12.353206948357498</v>
      </c>
      <c r="CS69" s="113">
        <v>12.52441184676251</v>
      </c>
      <c r="CT69" s="113">
        <v>12.452504869248699</v>
      </c>
      <c r="CU69" s="112"/>
      <c r="CV69" s="114">
        <v>4.2588866532528504</v>
      </c>
      <c r="CW69" s="114">
        <v>5.1936078672403196</v>
      </c>
      <c r="CX69" s="114">
        <v>4.4493882091212456</v>
      </c>
      <c r="CY69" s="114">
        <v>5.2659433712622388</v>
      </c>
      <c r="CZ69" s="112"/>
      <c r="DA69" s="113">
        <v>7.3170731707317076</v>
      </c>
      <c r="DB69" s="113">
        <v>8.1410256410256405</v>
      </c>
      <c r="DC69" s="113">
        <v>8.8471849865951739</v>
      </c>
      <c r="DD69" s="113">
        <v>8.3922261484098932</v>
      </c>
      <c r="DE69" s="112"/>
      <c r="DF69" s="113">
        <v>83.254557731262665</v>
      </c>
      <c r="DG69" s="113">
        <v>84.121212121212125</v>
      </c>
      <c r="DH69" s="113">
        <v>85.12374218112592</v>
      </c>
      <c r="DI69" s="113">
        <v>83.068920676202865</v>
      </c>
      <c r="DJ69" s="112"/>
      <c r="DK69" s="114">
        <v>14.493735184558076</v>
      </c>
      <c r="DL69" s="114">
        <v>15.412621359223301</v>
      </c>
      <c r="DM69" s="114">
        <v>11.761517615176151</v>
      </c>
      <c r="DN69" s="114">
        <v>11.925658234383066</v>
      </c>
      <c r="DO69" s="112"/>
      <c r="DP69" s="113">
        <v>23.887434554973822</v>
      </c>
      <c r="DQ69" s="113">
        <v>26.777744718833681</v>
      </c>
      <c r="DR69" s="113">
        <v>30.407944176060116</v>
      </c>
      <c r="DS69" s="113">
        <v>36.615384615384613</v>
      </c>
      <c r="DT69" s="112"/>
      <c r="DU69" s="115">
        <v>23</v>
      </c>
      <c r="DV69" s="115">
        <v>7</v>
      </c>
      <c r="DW69" s="115">
        <v>24</v>
      </c>
      <c r="DX69" s="115">
        <v>13</v>
      </c>
      <c r="DY69" s="112"/>
      <c r="DZ69" s="116">
        <v>6.03</v>
      </c>
      <c r="EA69" s="116">
        <v>5.5057618437900127</v>
      </c>
      <c r="EB69" s="116">
        <v>5.76</v>
      </c>
      <c r="EC69" s="116">
        <v>4.704463208685163</v>
      </c>
      <c r="ED69" s="112"/>
      <c r="EE69" s="113">
        <v>81.19777158774373</v>
      </c>
      <c r="EF69" s="113">
        <v>6.8245125348189415</v>
      </c>
      <c r="EG69" s="113">
        <v>0.4178272980501393</v>
      </c>
      <c r="EH69" s="113">
        <v>1.8105849582172702</v>
      </c>
      <c r="EI69" s="113">
        <v>11.888111888111888</v>
      </c>
      <c r="EJ69" s="113">
        <v>21.149297342423822</v>
      </c>
      <c r="EK69" s="113"/>
      <c r="EL69" s="115">
        <v>1968</v>
      </c>
      <c r="EM69" s="115">
        <v>2042</v>
      </c>
      <c r="EN69" s="115">
        <v>2207</v>
      </c>
      <c r="EO69" s="115">
        <v>2106</v>
      </c>
      <c r="EP69" s="112"/>
      <c r="EQ69" s="114">
        <v>770.68574583817951</v>
      </c>
      <c r="ER69" s="114">
        <v>750.0817302570922</v>
      </c>
      <c r="ES69" s="114">
        <v>741.85123311338862</v>
      </c>
      <c r="ET69" s="114">
        <v>672.43526293942978</v>
      </c>
      <c r="EU69" s="112"/>
      <c r="EV69" s="113">
        <v>786.65239167000004</v>
      </c>
      <c r="EW69" s="113">
        <v>756.27540408000004</v>
      </c>
      <c r="EX69" s="113">
        <v>765.58858061000001</v>
      </c>
      <c r="EY69" s="113">
        <v>651.11772912000004</v>
      </c>
      <c r="EZ69" s="112"/>
      <c r="FA69" s="115">
        <v>583</v>
      </c>
      <c r="FB69" s="115">
        <v>483</v>
      </c>
      <c r="FC69" s="115">
        <v>508</v>
      </c>
      <c r="FD69" s="115">
        <v>419</v>
      </c>
      <c r="FE69" s="112"/>
      <c r="FF69" s="115">
        <v>443</v>
      </c>
      <c r="FG69" s="115">
        <v>476</v>
      </c>
      <c r="FH69" s="115">
        <v>546</v>
      </c>
      <c r="FI69" s="115">
        <v>528</v>
      </c>
      <c r="FJ69" s="112"/>
      <c r="FK69" s="115">
        <v>192</v>
      </c>
      <c r="FL69" s="115">
        <v>152</v>
      </c>
      <c r="FM69" s="115">
        <v>135</v>
      </c>
      <c r="FN69" s="115">
        <v>115</v>
      </c>
      <c r="FO69" s="112"/>
      <c r="FP69" s="115">
        <v>82</v>
      </c>
      <c r="FQ69" s="115">
        <v>110</v>
      </c>
      <c r="FR69" s="115">
        <v>112</v>
      </c>
      <c r="FS69" s="115">
        <v>115</v>
      </c>
      <c r="FT69" s="112"/>
      <c r="FU69" s="113">
        <v>232.49040386999999</v>
      </c>
      <c r="FV69" s="113">
        <v>176.00218981</v>
      </c>
      <c r="FW69" s="113">
        <v>174.90615086</v>
      </c>
      <c r="FX69" s="113">
        <v>124.30140412999999</v>
      </c>
      <c r="FY69" s="112"/>
      <c r="FZ69" s="113">
        <v>188.14247829000001</v>
      </c>
      <c r="GA69" s="113">
        <v>188.69980770000001</v>
      </c>
      <c r="GB69" s="113">
        <v>196.96081527000001</v>
      </c>
      <c r="GC69" s="113">
        <v>170.97686053000001</v>
      </c>
      <c r="GD69" s="112"/>
      <c r="GE69" s="113">
        <v>73.437923019999999</v>
      </c>
      <c r="GF69" s="113">
        <v>53.51948608</v>
      </c>
      <c r="GG69" s="113">
        <v>45.83099206</v>
      </c>
      <c r="GH69" s="113">
        <v>34.629560619999999</v>
      </c>
      <c r="GI69" s="112"/>
      <c r="GJ69" s="113">
        <v>29.875541040000002</v>
      </c>
      <c r="GK69" s="113">
        <v>38.274473409999999</v>
      </c>
      <c r="GL69" s="113">
        <v>36.853770019999999</v>
      </c>
      <c r="GM69" s="113">
        <v>35.518985100000002</v>
      </c>
      <c r="GN69" s="112"/>
      <c r="GO69" s="113">
        <v>995.22563391000006</v>
      </c>
      <c r="GP69" s="113">
        <v>935.56044488999999</v>
      </c>
      <c r="GQ69" s="113">
        <v>930.05097751000005</v>
      </c>
      <c r="GR69" s="113">
        <v>774.88348416999997</v>
      </c>
      <c r="GS69" s="112"/>
      <c r="GT69" s="113">
        <v>637.67205552999997</v>
      </c>
      <c r="GU69" s="113">
        <v>625.4761373</v>
      </c>
      <c r="GV69" s="113">
        <v>645.11288363999995</v>
      </c>
      <c r="GW69" s="113">
        <v>560.19275647999996</v>
      </c>
      <c r="GX69" s="112"/>
      <c r="GY69" s="112"/>
      <c r="GZ69" s="112"/>
      <c r="HA69" s="112"/>
      <c r="HB69" s="112"/>
      <c r="HC69" s="112"/>
      <c r="HD69" s="115">
        <v>427</v>
      </c>
      <c r="HE69" s="115">
        <v>1</v>
      </c>
      <c r="HF69" s="115">
        <v>0</v>
      </c>
      <c r="HG69" s="115">
        <v>4</v>
      </c>
      <c r="HH69" s="115">
        <v>2</v>
      </c>
      <c r="HI69" s="114">
        <v>21.231086112651511</v>
      </c>
      <c r="HJ69" s="114">
        <v>21.773582305519188</v>
      </c>
      <c r="HK69" s="113">
        <v>20.049621135921679</v>
      </c>
      <c r="HL69" s="112">
        <v>127</v>
      </c>
      <c r="HM69" s="112">
        <v>169</v>
      </c>
      <c r="HN69" s="112">
        <v>160</v>
      </c>
      <c r="HO69" s="112">
        <v>199</v>
      </c>
      <c r="HP69" s="112"/>
      <c r="HQ69" s="112">
        <v>192</v>
      </c>
      <c r="HR69" s="112">
        <v>254</v>
      </c>
      <c r="HS69" s="112">
        <v>297</v>
      </c>
      <c r="HT69" s="112">
        <v>285</v>
      </c>
      <c r="HU69" s="117"/>
    </row>
    <row r="70" spans="1:229" ht="21" customHeight="1" x14ac:dyDescent="0.2">
      <c r="A70" s="93">
        <v>67</v>
      </c>
      <c r="B70" s="98" t="s">
        <v>134</v>
      </c>
      <c r="C70" s="99">
        <v>9535</v>
      </c>
      <c r="D70" s="99">
        <v>9498</v>
      </c>
      <c r="E70" s="99">
        <v>9476</v>
      </c>
      <c r="F70" s="99">
        <v>9483</v>
      </c>
      <c r="G70" s="99">
        <v>9687</v>
      </c>
      <c r="H70" s="99">
        <v>3907</v>
      </c>
      <c r="I70" s="99">
        <v>3918</v>
      </c>
      <c r="J70" s="99">
        <v>3923</v>
      </c>
      <c r="K70" s="99">
        <v>3945</v>
      </c>
      <c r="L70" s="99">
        <v>3918</v>
      </c>
      <c r="M70" s="100">
        <v>30.846533810253788</v>
      </c>
      <c r="N70" s="100">
        <v>31.043344183655986</v>
      </c>
      <c r="O70" s="101">
        <v>31.626297577854672</v>
      </c>
      <c r="P70" s="101">
        <v>31.07870695713282</v>
      </c>
      <c r="Q70" s="102">
        <v>31.730935500605224</v>
      </c>
      <c r="R70" s="100">
        <v>31.561914494975301</v>
      </c>
      <c r="S70" s="100">
        <v>31.677231454514303</v>
      </c>
      <c r="T70" s="100">
        <v>32.318339100346023</v>
      </c>
      <c r="U70" s="100">
        <v>35.523541813070977</v>
      </c>
      <c r="V70" s="100">
        <v>35.777278229292754</v>
      </c>
      <c r="W70" s="100">
        <v>62.408448305229093</v>
      </c>
      <c r="X70" s="100">
        <v>62.720575638170295</v>
      </c>
      <c r="Y70" s="100">
        <v>63.944636678200695</v>
      </c>
      <c r="Z70" s="100">
        <v>66.602248770203801</v>
      </c>
      <c r="AA70" s="100">
        <v>67.508213729897975</v>
      </c>
      <c r="AB70" s="100" t="s">
        <v>195</v>
      </c>
      <c r="AC70" s="100">
        <v>3.2</v>
      </c>
      <c r="AD70" s="100">
        <v>3.9</v>
      </c>
      <c r="AE70" s="100">
        <v>5.5</v>
      </c>
      <c r="AF70" s="100">
        <v>5.2</v>
      </c>
      <c r="AG70" s="99">
        <v>122.41666666666667</v>
      </c>
      <c r="AH70" s="99">
        <v>118.83333333333333</v>
      </c>
      <c r="AI70" s="104">
        <v>130.58333333333334</v>
      </c>
      <c r="AJ70" s="104">
        <v>174.58333333333334</v>
      </c>
      <c r="AK70" s="105">
        <v>238.33333333333334</v>
      </c>
      <c r="AL70" s="106">
        <v>9276</v>
      </c>
      <c r="AM70" s="106">
        <v>78</v>
      </c>
      <c r="AN70" s="106">
        <v>49</v>
      </c>
      <c r="AO70" s="106">
        <v>81</v>
      </c>
      <c r="AP70" s="106">
        <v>0</v>
      </c>
      <c r="AQ70" s="106">
        <v>163</v>
      </c>
      <c r="AR70" s="106">
        <v>9365</v>
      </c>
      <c r="AS70" s="106">
        <v>59</v>
      </c>
      <c r="AT70" s="106">
        <v>34</v>
      </c>
      <c r="AU70" s="106">
        <v>54</v>
      </c>
      <c r="AV70" s="106">
        <v>119</v>
      </c>
      <c r="AW70" s="106">
        <v>197</v>
      </c>
      <c r="AX70" s="107">
        <v>30721</v>
      </c>
      <c r="AY70" s="107">
        <v>29755</v>
      </c>
      <c r="AZ70" s="107">
        <v>32588</v>
      </c>
      <c r="BA70" s="107">
        <v>38540</v>
      </c>
      <c r="BB70" s="107">
        <v>37139</v>
      </c>
      <c r="BC70" s="107">
        <v>42542</v>
      </c>
      <c r="BD70" s="107">
        <v>44413</v>
      </c>
      <c r="BE70" s="107">
        <v>45382</v>
      </c>
      <c r="BF70" s="108">
        <v>48104</v>
      </c>
      <c r="BG70" s="108">
        <v>48136</v>
      </c>
      <c r="BH70" s="100">
        <v>8.1</v>
      </c>
      <c r="BI70" s="100">
        <v>9</v>
      </c>
      <c r="BJ70" s="100">
        <v>8.8000000000000007</v>
      </c>
      <c r="BK70" s="100">
        <v>9</v>
      </c>
      <c r="BL70" s="100">
        <v>9.1999999999999993</v>
      </c>
      <c r="BM70" s="100">
        <v>10</v>
      </c>
      <c r="BN70" s="109">
        <v>11.4</v>
      </c>
      <c r="BO70" s="109">
        <v>11</v>
      </c>
      <c r="BP70" s="109">
        <v>11.2</v>
      </c>
      <c r="BQ70" s="100">
        <v>11.5</v>
      </c>
      <c r="BR70" s="106">
        <v>1557</v>
      </c>
      <c r="BS70" s="118">
        <v>1555</v>
      </c>
      <c r="BT70" s="118">
        <v>1568</v>
      </c>
      <c r="BU70" s="110">
        <v>1584</v>
      </c>
      <c r="BV70" s="100">
        <v>31.021194605009633</v>
      </c>
      <c r="BW70" s="100">
        <v>29.38906752411576</v>
      </c>
      <c r="BX70" s="100">
        <v>33.482142857142854</v>
      </c>
      <c r="BY70" s="103">
        <v>35.479797979797979</v>
      </c>
      <c r="BZ70" s="100">
        <v>1.7983301220295438</v>
      </c>
      <c r="CA70" s="100">
        <v>1.8006430868167203</v>
      </c>
      <c r="CB70" s="100">
        <v>1.5943877551020409</v>
      </c>
      <c r="CC70" s="103">
        <v>2.0202020202020203</v>
      </c>
      <c r="CD70" s="100">
        <v>15.093127809890817</v>
      </c>
      <c r="CE70" s="100">
        <v>16.077170418006432</v>
      </c>
      <c r="CF70" s="100">
        <v>14.158163265306122</v>
      </c>
      <c r="CG70" s="103">
        <v>15.025252525252526</v>
      </c>
      <c r="CH70" s="100">
        <v>81.954887218045116</v>
      </c>
      <c r="CI70" s="105">
        <v>80.95</v>
      </c>
      <c r="CJ70" s="111">
        <v>85.48</v>
      </c>
      <c r="CK70" s="111">
        <v>84.552845528455279</v>
      </c>
      <c r="CL70" s="112">
        <v>585</v>
      </c>
      <c r="CM70" s="112">
        <v>579</v>
      </c>
      <c r="CN70" s="112">
        <v>629</v>
      </c>
      <c r="CO70" s="112">
        <v>641</v>
      </c>
      <c r="CP70" s="112"/>
      <c r="CQ70" s="113">
        <v>11.869255584636923</v>
      </c>
      <c r="CR70" s="113">
        <v>11.835650040883074</v>
      </c>
      <c r="CS70" s="113">
        <v>13.034108334369432</v>
      </c>
      <c r="CT70" s="113">
        <v>13.444073910946118</v>
      </c>
      <c r="CU70" s="112"/>
      <c r="CV70" s="114">
        <v>3.5026269702276709</v>
      </c>
      <c r="CW70" s="114">
        <v>3.5650623885918002</v>
      </c>
      <c r="CX70" s="114">
        <v>5.4009819967266779</v>
      </c>
      <c r="CY70" s="114">
        <v>4.4585987261146496</v>
      </c>
      <c r="CZ70" s="112"/>
      <c r="DA70" s="113">
        <v>7.5289575289575286</v>
      </c>
      <c r="DB70" s="113">
        <v>8.3003952569169961</v>
      </c>
      <c r="DC70" s="113">
        <v>9.9827882960413081</v>
      </c>
      <c r="DD70" s="113">
        <v>10.243055555555555</v>
      </c>
      <c r="DE70" s="112"/>
      <c r="DF70" s="113">
        <v>84.042553191489361</v>
      </c>
      <c r="DG70" s="113">
        <v>85.740072202166061</v>
      </c>
      <c r="DH70" s="113">
        <v>85.507246376811594</v>
      </c>
      <c r="DI70" s="113">
        <v>86.73139158576052</v>
      </c>
      <c r="DJ70" s="112"/>
      <c r="DK70" s="114">
        <v>12.037037037037036</v>
      </c>
      <c r="DL70" s="114">
        <v>9.473684210526315</v>
      </c>
      <c r="DM70" s="114">
        <v>10.08</v>
      </c>
      <c r="DN70" s="114">
        <v>9.5461658841940533</v>
      </c>
      <c r="DO70" s="112"/>
      <c r="DP70" s="113">
        <v>13.162393162393162</v>
      </c>
      <c r="DQ70" s="113">
        <v>19.17098445595855</v>
      </c>
      <c r="DR70" s="113">
        <v>20.031796502384736</v>
      </c>
      <c r="DS70" s="113">
        <v>25.585023400936038</v>
      </c>
      <c r="DT70" s="112"/>
      <c r="DU70" s="115">
        <v>6</v>
      </c>
      <c r="DV70" s="115">
        <v>6</v>
      </c>
      <c r="DW70" s="115">
        <v>2</v>
      </c>
      <c r="DX70" s="115">
        <v>1</v>
      </c>
      <c r="DY70" s="112"/>
      <c r="DZ70" s="116">
        <v>3.01</v>
      </c>
      <c r="EA70" s="116">
        <v>1.3605442176870748</v>
      </c>
      <c r="EB70" s="116">
        <v>1.61</v>
      </c>
      <c r="EC70" s="116">
        <v>1.6260162601626016</v>
      </c>
      <c r="ED70" s="112"/>
      <c r="EE70" s="113">
        <v>95.689655172413794</v>
      </c>
      <c r="EF70" s="113">
        <v>0.86206896551724133</v>
      </c>
      <c r="EG70" s="113">
        <v>0</v>
      </c>
      <c r="EH70" s="113">
        <v>2.5862068965517242</v>
      </c>
      <c r="EI70" s="113">
        <v>3.4482758620689653</v>
      </c>
      <c r="EJ70" s="113">
        <v>24.209818426361803</v>
      </c>
      <c r="EK70" s="113"/>
      <c r="EL70" s="115">
        <v>518</v>
      </c>
      <c r="EM70" s="115">
        <v>564</v>
      </c>
      <c r="EN70" s="115">
        <v>654</v>
      </c>
      <c r="EO70" s="115">
        <v>633</v>
      </c>
      <c r="EP70" s="112"/>
      <c r="EQ70" s="114">
        <v>1050.9870756994744</v>
      </c>
      <c r="ER70" s="114">
        <v>1152.9026982829109</v>
      </c>
      <c r="ES70" s="114">
        <v>1355.2157155290315</v>
      </c>
      <c r="ET70" s="114">
        <v>1327.6285156987353</v>
      </c>
      <c r="EU70" s="112"/>
      <c r="EV70" s="113">
        <v>696.71366176000004</v>
      </c>
      <c r="EW70" s="113">
        <v>729.65335342000003</v>
      </c>
      <c r="EX70" s="113">
        <v>789.68369136000001</v>
      </c>
      <c r="EY70" s="113">
        <v>775.09496765999995</v>
      </c>
      <c r="EZ70" s="112"/>
      <c r="FA70" s="115">
        <v>180</v>
      </c>
      <c r="FB70" s="115">
        <v>176</v>
      </c>
      <c r="FC70" s="115">
        <v>160</v>
      </c>
      <c r="FD70" s="115">
        <v>153</v>
      </c>
      <c r="FE70" s="112"/>
      <c r="FF70" s="115">
        <v>130</v>
      </c>
      <c r="FG70" s="115">
        <v>127</v>
      </c>
      <c r="FH70" s="115">
        <v>137</v>
      </c>
      <c r="FI70" s="115">
        <v>130</v>
      </c>
      <c r="FJ70" s="112"/>
      <c r="FK70" s="115">
        <v>51</v>
      </c>
      <c r="FL70" s="115">
        <v>56</v>
      </c>
      <c r="FM70" s="115">
        <v>63</v>
      </c>
      <c r="FN70" s="115">
        <v>40</v>
      </c>
      <c r="FO70" s="112"/>
      <c r="FP70" s="115">
        <v>15</v>
      </c>
      <c r="FQ70" s="115">
        <v>22</v>
      </c>
      <c r="FR70" s="115">
        <v>24</v>
      </c>
      <c r="FS70" s="115">
        <v>38</v>
      </c>
      <c r="FT70" s="112"/>
      <c r="FU70" s="113">
        <v>226.46631674</v>
      </c>
      <c r="FV70" s="113">
        <v>209.82522385999999</v>
      </c>
      <c r="FW70" s="113">
        <v>182.46237195</v>
      </c>
      <c r="FX70" s="113">
        <v>175.13586855</v>
      </c>
      <c r="FY70" s="112"/>
      <c r="FZ70" s="113">
        <v>189.24026527999999</v>
      </c>
      <c r="GA70" s="113">
        <v>176.52564629</v>
      </c>
      <c r="GB70" s="113">
        <v>187.27746486999999</v>
      </c>
      <c r="GC70" s="113">
        <v>172.65116416000001</v>
      </c>
      <c r="GD70" s="112"/>
      <c r="GE70" s="113">
        <v>59.36116707</v>
      </c>
      <c r="GF70" s="113">
        <v>69.319247000000004</v>
      </c>
      <c r="GG70" s="113">
        <v>66.502309760000003</v>
      </c>
      <c r="GH70" s="113">
        <v>47.112196320000002</v>
      </c>
      <c r="GI70" s="112"/>
      <c r="GJ70" s="113" t="s">
        <v>46</v>
      </c>
      <c r="GK70" s="113">
        <v>39.133871460000002</v>
      </c>
      <c r="GL70" s="113">
        <v>39.318930889999997</v>
      </c>
      <c r="GM70" s="113">
        <v>56.16833828</v>
      </c>
      <c r="GN70" s="112"/>
      <c r="GO70" s="113">
        <v>927.42475450999996</v>
      </c>
      <c r="GP70" s="113">
        <v>897.62047094000002</v>
      </c>
      <c r="GQ70" s="113">
        <v>1108.0332463100001</v>
      </c>
      <c r="GR70" s="113">
        <v>1144.5501970400001</v>
      </c>
      <c r="GS70" s="112"/>
      <c r="GT70" s="113">
        <v>520.44033985999999</v>
      </c>
      <c r="GU70" s="113">
        <v>593.97189811999999</v>
      </c>
      <c r="GV70" s="113">
        <v>579.26947478</v>
      </c>
      <c r="GW70" s="113">
        <v>514.95198226000002</v>
      </c>
      <c r="GX70" s="112"/>
      <c r="GY70" s="112"/>
      <c r="GZ70" s="112"/>
      <c r="HA70" s="112"/>
      <c r="HB70" s="112"/>
      <c r="HC70" s="112"/>
      <c r="HD70" s="115">
        <v>151</v>
      </c>
      <c r="HE70" s="115">
        <v>0</v>
      </c>
      <c r="HF70" s="115">
        <v>0</v>
      </c>
      <c r="HG70" s="115">
        <v>1</v>
      </c>
      <c r="HH70" s="115">
        <v>1</v>
      </c>
      <c r="HI70" s="114">
        <v>23.402909550917141</v>
      </c>
      <c r="HJ70" s="114">
        <v>37.542662116040958</v>
      </c>
      <c r="HK70" s="113">
        <v>23.367285799880168</v>
      </c>
      <c r="HL70" s="112">
        <v>20</v>
      </c>
      <c r="HM70" s="112">
        <v>20</v>
      </c>
      <c r="HN70" s="112">
        <v>33</v>
      </c>
      <c r="HO70" s="112">
        <v>28</v>
      </c>
      <c r="HP70" s="112"/>
      <c r="HQ70" s="112">
        <v>39</v>
      </c>
      <c r="HR70" s="112">
        <v>42</v>
      </c>
      <c r="HS70" s="112">
        <v>58</v>
      </c>
      <c r="HT70" s="112">
        <v>59</v>
      </c>
      <c r="HU70" s="117"/>
    </row>
    <row r="71" spans="1:229" x14ac:dyDescent="0.2">
      <c r="A71" s="93">
        <v>68</v>
      </c>
      <c r="B71" s="98" t="s">
        <v>135</v>
      </c>
      <c r="C71" s="99">
        <v>16201</v>
      </c>
      <c r="D71" s="99">
        <v>15946</v>
      </c>
      <c r="E71" s="99">
        <v>15865</v>
      </c>
      <c r="F71" s="99">
        <v>15911</v>
      </c>
      <c r="G71" s="99">
        <v>15629</v>
      </c>
      <c r="H71" s="99">
        <v>6421</v>
      </c>
      <c r="I71" s="99">
        <v>6404</v>
      </c>
      <c r="J71" s="99">
        <v>6376</v>
      </c>
      <c r="K71" s="99">
        <v>6366</v>
      </c>
      <c r="L71" s="99">
        <v>6300</v>
      </c>
      <c r="M71" s="100">
        <v>18.409343715239153</v>
      </c>
      <c r="N71" s="100">
        <v>18.640392230812747</v>
      </c>
      <c r="O71" s="101">
        <v>18.78134165957044</v>
      </c>
      <c r="P71" s="101">
        <v>20.647149460708782</v>
      </c>
      <c r="Q71" s="102">
        <v>22.321428571428573</v>
      </c>
      <c r="R71" s="100">
        <v>31.766777901371896</v>
      </c>
      <c r="S71" s="100">
        <v>31.708466905525174</v>
      </c>
      <c r="T71" s="100">
        <v>31.327467120825052</v>
      </c>
      <c r="U71" s="100">
        <v>32.578967642526962</v>
      </c>
      <c r="V71" s="100">
        <v>32.728174603174601</v>
      </c>
      <c r="W71" s="100">
        <v>50.176121616611049</v>
      </c>
      <c r="X71" s="100">
        <v>50.348859136337921</v>
      </c>
      <c r="Y71" s="100">
        <v>50.108808780395499</v>
      </c>
      <c r="Z71" s="100">
        <v>53.226117103235744</v>
      </c>
      <c r="AA71" s="100">
        <v>55.049603174603178</v>
      </c>
      <c r="AB71" s="100" t="s">
        <v>192</v>
      </c>
      <c r="AC71" s="100">
        <v>6.4</v>
      </c>
      <c r="AD71" s="100">
        <v>5</v>
      </c>
      <c r="AE71" s="100">
        <v>7.6</v>
      </c>
      <c r="AF71" s="100">
        <v>5.9</v>
      </c>
      <c r="AG71" s="99">
        <v>138</v>
      </c>
      <c r="AH71" s="99">
        <v>154.25</v>
      </c>
      <c r="AI71" s="104">
        <v>190.16666666666666</v>
      </c>
      <c r="AJ71" s="104">
        <v>277.58333333333331</v>
      </c>
      <c r="AK71" s="105">
        <v>336.16666666666669</v>
      </c>
      <c r="AL71" s="106">
        <v>15430</v>
      </c>
      <c r="AM71" s="106">
        <v>25</v>
      </c>
      <c r="AN71" s="106">
        <v>292</v>
      </c>
      <c r="AO71" s="106">
        <v>324</v>
      </c>
      <c r="AP71" s="106">
        <v>0</v>
      </c>
      <c r="AQ71" s="106">
        <v>80</v>
      </c>
      <c r="AR71" s="106">
        <v>14767</v>
      </c>
      <c r="AS71" s="106">
        <v>39</v>
      </c>
      <c r="AT71" s="106">
        <v>201</v>
      </c>
      <c r="AU71" s="106">
        <v>395</v>
      </c>
      <c r="AV71" s="106">
        <v>210</v>
      </c>
      <c r="AW71" s="106">
        <v>116</v>
      </c>
      <c r="AX71" s="107">
        <v>31495</v>
      </c>
      <c r="AY71" s="107">
        <v>32742</v>
      </c>
      <c r="AZ71" s="107">
        <v>35150</v>
      </c>
      <c r="BA71" s="107">
        <v>39434</v>
      </c>
      <c r="BB71" s="107">
        <v>35009</v>
      </c>
      <c r="BC71" s="107">
        <v>45639</v>
      </c>
      <c r="BD71" s="107">
        <v>49493</v>
      </c>
      <c r="BE71" s="107">
        <v>48376</v>
      </c>
      <c r="BF71" s="108">
        <v>49718</v>
      </c>
      <c r="BG71" s="108">
        <v>46846</v>
      </c>
      <c r="BH71" s="100">
        <v>6.8</v>
      </c>
      <c r="BI71" s="100">
        <v>8</v>
      </c>
      <c r="BJ71" s="100">
        <v>8.1999999999999993</v>
      </c>
      <c r="BK71" s="100">
        <v>8.1999999999999993</v>
      </c>
      <c r="BL71" s="100">
        <v>8.4</v>
      </c>
      <c r="BM71" s="100">
        <v>8</v>
      </c>
      <c r="BN71" s="109">
        <v>9.8000000000000007</v>
      </c>
      <c r="BO71" s="109">
        <v>9.3000000000000007</v>
      </c>
      <c r="BP71" s="109">
        <v>9.6</v>
      </c>
      <c r="BQ71" s="100">
        <v>10.7</v>
      </c>
      <c r="BR71" s="106">
        <v>3236</v>
      </c>
      <c r="BS71" s="118">
        <v>3123</v>
      </c>
      <c r="BT71" s="118">
        <v>3064</v>
      </c>
      <c r="BU71" s="110">
        <v>3057</v>
      </c>
      <c r="BV71" s="100">
        <v>32.941903584672431</v>
      </c>
      <c r="BW71" s="100">
        <v>31.316042267050914</v>
      </c>
      <c r="BX71" s="100">
        <v>37.206266318537864</v>
      </c>
      <c r="BY71" s="103">
        <v>34.510958456002619</v>
      </c>
      <c r="BZ71" s="100">
        <v>0.77255871446229918</v>
      </c>
      <c r="CA71" s="100">
        <v>0.51232788984950361</v>
      </c>
      <c r="CB71" s="100">
        <v>0.6201044386422977</v>
      </c>
      <c r="CC71" s="103">
        <v>0.49067713444553485</v>
      </c>
      <c r="CD71" s="100">
        <v>14.771322620519159</v>
      </c>
      <c r="CE71" s="100">
        <v>15.049631764329172</v>
      </c>
      <c r="CF71" s="100">
        <v>15.796344647519582</v>
      </c>
      <c r="CG71" s="103">
        <v>16.094210009813544</v>
      </c>
      <c r="CH71" s="100">
        <v>91.186440677966104</v>
      </c>
      <c r="CI71" s="105">
        <v>92.31</v>
      </c>
      <c r="CJ71" s="111">
        <v>94.68</v>
      </c>
      <c r="CK71" s="111">
        <v>91.699604743083</v>
      </c>
      <c r="CL71" s="112">
        <v>1242</v>
      </c>
      <c r="CM71" s="112">
        <v>1171</v>
      </c>
      <c r="CN71" s="112">
        <v>1076</v>
      </c>
      <c r="CO71" s="112">
        <v>994</v>
      </c>
      <c r="CP71" s="112"/>
      <c r="CQ71" s="113">
        <v>15.899838697288578</v>
      </c>
      <c r="CR71" s="113">
        <v>14.446089316555637</v>
      </c>
      <c r="CS71" s="113">
        <v>13.188052310973292</v>
      </c>
      <c r="CT71" s="113">
        <v>12.494971842316975</v>
      </c>
      <c r="CU71" s="112"/>
      <c r="CV71" s="114">
        <v>3.700657894736842</v>
      </c>
      <c r="CW71" s="114">
        <v>4.4155844155844157</v>
      </c>
      <c r="CX71" s="114">
        <v>4.8710601719197708</v>
      </c>
      <c r="CY71" s="114">
        <v>4.3659043659043659</v>
      </c>
      <c r="CZ71" s="112"/>
      <c r="DA71" s="113">
        <v>7.2208228379513013</v>
      </c>
      <c r="DB71" s="113">
        <v>6.4912280701754383</v>
      </c>
      <c r="DC71" s="113">
        <v>8.0412371134020617</v>
      </c>
      <c r="DD71" s="113">
        <v>7.9596412556053808</v>
      </c>
      <c r="DE71" s="112"/>
      <c r="DF71" s="113">
        <v>83.333333333333329</v>
      </c>
      <c r="DG71" s="113">
        <v>83.862660944206013</v>
      </c>
      <c r="DH71" s="113">
        <v>85.861423220973776</v>
      </c>
      <c r="DI71" s="113">
        <v>83.401221995926676</v>
      </c>
      <c r="DJ71" s="112"/>
      <c r="DK71" s="114">
        <v>16.178861788617887</v>
      </c>
      <c r="DL71" s="114">
        <v>16.65236051502146</v>
      </c>
      <c r="DM71" s="114">
        <v>14.976744186046512</v>
      </c>
      <c r="DN71" s="114">
        <v>16.197183098591548</v>
      </c>
      <c r="DO71" s="112"/>
      <c r="DP71" s="113">
        <v>18.775181305398871</v>
      </c>
      <c r="DQ71" s="113">
        <v>24.765157984628523</v>
      </c>
      <c r="DR71" s="113">
        <v>27.973977695167285</v>
      </c>
      <c r="DS71" s="113">
        <v>33.70221327967807</v>
      </c>
      <c r="DT71" s="112"/>
      <c r="DU71" s="115">
        <v>9</v>
      </c>
      <c r="DV71" s="115">
        <v>7</v>
      </c>
      <c r="DW71" s="115">
        <v>8</v>
      </c>
      <c r="DX71" s="115">
        <v>5</v>
      </c>
      <c r="DY71" s="112"/>
      <c r="DZ71" s="116">
        <v>4.41</v>
      </c>
      <c r="EA71" s="116">
        <v>3.4615384615384617</v>
      </c>
      <c r="EB71" s="116">
        <v>1.52</v>
      </c>
      <c r="EC71" s="116">
        <v>3.9525691699604741</v>
      </c>
      <c r="ED71" s="112"/>
      <c r="EE71" s="113">
        <v>94.761904761904759</v>
      </c>
      <c r="EF71" s="113">
        <v>0</v>
      </c>
      <c r="EG71" s="113">
        <v>0.47619047619047616</v>
      </c>
      <c r="EH71" s="113">
        <v>4.2857142857142856</v>
      </c>
      <c r="EI71" s="113">
        <v>0.47619047619047616</v>
      </c>
      <c r="EJ71" s="113">
        <v>28.061224489795919</v>
      </c>
      <c r="EK71" s="113"/>
      <c r="EL71" s="115">
        <v>668</v>
      </c>
      <c r="EM71" s="115">
        <v>700</v>
      </c>
      <c r="EN71" s="115">
        <v>680</v>
      </c>
      <c r="EO71" s="115">
        <v>633</v>
      </c>
      <c r="EP71" s="112"/>
      <c r="EQ71" s="114">
        <v>855.16040658524719</v>
      </c>
      <c r="ER71" s="114">
        <v>863.55785837651126</v>
      </c>
      <c r="ES71" s="114">
        <v>833.44568508009661</v>
      </c>
      <c r="ET71" s="114">
        <v>795.70595333869665</v>
      </c>
      <c r="EU71" s="112"/>
      <c r="EV71" s="113">
        <v>821.33465519000003</v>
      </c>
      <c r="EW71" s="113">
        <v>826.74325850000002</v>
      </c>
      <c r="EX71" s="113">
        <v>731.35486651999997</v>
      </c>
      <c r="EY71" s="113">
        <v>685.89557726999897</v>
      </c>
      <c r="EZ71" s="112"/>
      <c r="FA71" s="115">
        <v>191</v>
      </c>
      <c r="FB71" s="115">
        <v>225</v>
      </c>
      <c r="FC71" s="115">
        <v>196</v>
      </c>
      <c r="FD71" s="115">
        <v>162</v>
      </c>
      <c r="FE71" s="112"/>
      <c r="FF71" s="115">
        <v>158</v>
      </c>
      <c r="FG71" s="115">
        <v>162</v>
      </c>
      <c r="FH71" s="115">
        <v>151</v>
      </c>
      <c r="FI71" s="115">
        <v>137</v>
      </c>
      <c r="FJ71" s="112"/>
      <c r="FK71" s="115">
        <v>70</v>
      </c>
      <c r="FL71" s="115">
        <v>50</v>
      </c>
      <c r="FM71" s="115">
        <v>43</v>
      </c>
      <c r="FN71" s="115">
        <v>40</v>
      </c>
      <c r="FO71" s="112"/>
      <c r="FP71" s="115">
        <v>39</v>
      </c>
      <c r="FQ71" s="115">
        <v>41</v>
      </c>
      <c r="FR71" s="115">
        <v>38</v>
      </c>
      <c r="FS71" s="115">
        <v>32</v>
      </c>
      <c r="FT71" s="112"/>
      <c r="FU71" s="113">
        <v>234.76131323999999</v>
      </c>
      <c r="FV71" s="113">
        <v>264.99037784000001</v>
      </c>
      <c r="FW71" s="113">
        <v>203.18075916999999</v>
      </c>
      <c r="FX71" s="113">
        <v>174.63393687999999</v>
      </c>
      <c r="FY71" s="112"/>
      <c r="FZ71" s="113">
        <v>197.86579621000001</v>
      </c>
      <c r="GA71" s="113">
        <v>195.51700417000001</v>
      </c>
      <c r="GB71" s="113">
        <v>175.68013141</v>
      </c>
      <c r="GC71" s="113">
        <v>154.38477592999999</v>
      </c>
      <c r="GD71" s="112"/>
      <c r="GE71" s="113">
        <v>83.022868000000003</v>
      </c>
      <c r="GF71" s="113">
        <v>56.376544770000002</v>
      </c>
      <c r="GG71" s="113">
        <v>43.918370029999998</v>
      </c>
      <c r="GH71" s="113">
        <v>41.364965519999998</v>
      </c>
      <c r="GI71" s="112"/>
      <c r="GJ71" s="113">
        <v>47.894745530000002</v>
      </c>
      <c r="GK71" s="113">
        <v>48.899911320000001</v>
      </c>
      <c r="GL71" s="113">
        <v>44.936234329999998</v>
      </c>
      <c r="GM71" s="113">
        <v>36.05889706</v>
      </c>
      <c r="GN71" s="112"/>
      <c r="GO71" s="113">
        <v>1015.80508688</v>
      </c>
      <c r="GP71" s="113">
        <v>973.31877919999999</v>
      </c>
      <c r="GQ71" s="113">
        <v>936.23721492000004</v>
      </c>
      <c r="GR71" s="113">
        <v>820.77924539000003</v>
      </c>
      <c r="GS71" s="112"/>
      <c r="GT71" s="113">
        <v>658.65897938000001</v>
      </c>
      <c r="GU71" s="113">
        <v>682.10184369000001</v>
      </c>
      <c r="GV71" s="113">
        <v>561.82293325000001</v>
      </c>
      <c r="GW71" s="113">
        <v>562.04032084000005</v>
      </c>
      <c r="GX71" s="112"/>
      <c r="GY71" s="112"/>
      <c r="GZ71" s="112"/>
      <c r="HA71" s="112"/>
      <c r="HB71" s="112"/>
      <c r="HC71" s="112"/>
      <c r="HD71" s="115">
        <v>126</v>
      </c>
      <c r="HE71" s="115">
        <v>0</v>
      </c>
      <c r="HF71" s="115">
        <v>2</v>
      </c>
      <c r="HG71" s="115">
        <v>2</v>
      </c>
      <c r="HH71" s="115">
        <v>0</v>
      </c>
      <c r="HI71" s="114">
        <v>53.024026512013258</v>
      </c>
      <c r="HJ71" s="114">
        <v>38.952085487762844</v>
      </c>
      <c r="HK71" s="113">
        <v>28.774752475247524</v>
      </c>
      <c r="HL71" s="112">
        <v>45</v>
      </c>
      <c r="HM71" s="112">
        <v>51</v>
      </c>
      <c r="HN71" s="112">
        <v>51</v>
      </c>
      <c r="HO71" s="112">
        <v>42</v>
      </c>
      <c r="HP71" s="112"/>
      <c r="HQ71" s="112">
        <v>86</v>
      </c>
      <c r="HR71" s="112">
        <v>74</v>
      </c>
      <c r="HS71" s="112">
        <v>78</v>
      </c>
      <c r="HT71" s="112">
        <v>71</v>
      </c>
      <c r="HU71" s="117"/>
    </row>
    <row r="72" spans="1:229" x14ac:dyDescent="0.2">
      <c r="A72" s="93">
        <v>69</v>
      </c>
      <c r="B72" s="98" t="s">
        <v>136</v>
      </c>
      <c r="C72" s="99">
        <v>196067</v>
      </c>
      <c r="D72" s="99">
        <v>196694</v>
      </c>
      <c r="E72" s="99">
        <v>196864</v>
      </c>
      <c r="F72" s="99">
        <v>197767</v>
      </c>
      <c r="G72" s="99">
        <v>200226</v>
      </c>
      <c r="H72" s="99">
        <v>83896</v>
      </c>
      <c r="I72" s="99">
        <v>84311</v>
      </c>
      <c r="J72" s="99">
        <v>84553</v>
      </c>
      <c r="K72" s="99">
        <v>84657</v>
      </c>
      <c r="L72" s="99">
        <v>84783</v>
      </c>
      <c r="M72" s="100">
        <v>22.990626283750981</v>
      </c>
      <c r="N72" s="100">
        <v>22.80152988614801</v>
      </c>
      <c r="O72" s="101">
        <v>23.019097776754343</v>
      </c>
      <c r="P72" s="101">
        <v>23.708426009268834</v>
      </c>
      <c r="Q72" s="102">
        <v>23.383457541414945</v>
      </c>
      <c r="R72" s="100">
        <v>23.453710273742388</v>
      </c>
      <c r="S72" s="100">
        <v>22.992765654648956</v>
      </c>
      <c r="T72" s="100">
        <v>23.214458153510172</v>
      </c>
      <c r="U72" s="100">
        <v>23.407895617761049</v>
      </c>
      <c r="V72" s="100">
        <v>23.774455762814011</v>
      </c>
      <c r="W72" s="100">
        <v>46.444336557493372</v>
      </c>
      <c r="X72" s="100">
        <v>45.794295540796966</v>
      </c>
      <c r="Y72" s="100">
        <v>46.233555930264515</v>
      </c>
      <c r="Z72" s="100">
        <v>47.116321627029883</v>
      </c>
      <c r="AA72" s="100">
        <v>47.157913304228956</v>
      </c>
      <c r="AB72" s="100" t="s">
        <v>182</v>
      </c>
      <c r="AC72" s="100">
        <v>5.6</v>
      </c>
      <c r="AD72" s="100">
        <v>6.4</v>
      </c>
      <c r="AE72" s="100">
        <v>9.3000000000000007</v>
      </c>
      <c r="AF72" s="100">
        <v>7.6</v>
      </c>
      <c r="AG72" s="99">
        <v>6999.833333333333</v>
      </c>
      <c r="AH72" s="99">
        <v>7161.75</v>
      </c>
      <c r="AI72" s="104">
        <v>7562.75</v>
      </c>
      <c r="AJ72" s="104">
        <v>9437.6666666666661</v>
      </c>
      <c r="AK72" s="105">
        <v>10836.166666666666</v>
      </c>
      <c r="AL72" s="106">
        <v>185602</v>
      </c>
      <c r="AM72" s="106">
        <v>2026</v>
      </c>
      <c r="AN72" s="106">
        <v>4156</v>
      </c>
      <c r="AO72" s="106">
        <v>1535</v>
      </c>
      <c r="AP72" s="106">
        <v>0</v>
      </c>
      <c r="AQ72" s="106">
        <v>1680</v>
      </c>
      <c r="AR72" s="106">
        <v>186212</v>
      </c>
      <c r="AS72" s="106">
        <v>2739</v>
      </c>
      <c r="AT72" s="106">
        <v>4477</v>
      </c>
      <c r="AU72" s="106">
        <v>1838</v>
      </c>
      <c r="AV72" s="106">
        <v>4515</v>
      </c>
      <c r="AW72" s="106">
        <v>2409</v>
      </c>
      <c r="AX72" s="107">
        <v>31739</v>
      </c>
      <c r="AY72" s="107">
        <v>33004</v>
      </c>
      <c r="AZ72" s="107">
        <v>34674</v>
      </c>
      <c r="BA72" s="107">
        <v>36454</v>
      </c>
      <c r="BB72" s="107">
        <v>36485</v>
      </c>
      <c r="BC72" s="107">
        <v>40054</v>
      </c>
      <c r="BD72" s="107">
        <v>42873</v>
      </c>
      <c r="BE72" s="107">
        <v>42698</v>
      </c>
      <c r="BF72" s="108">
        <v>43954</v>
      </c>
      <c r="BG72" s="108">
        <v>43434</v>
      </c>
      <c r="BH72" s="100">
        <v>12.8</v>
      </c>
      <c r="BI72" s="100">
        <v>13.2</v>
      </c>
      <c r="BJ72" s="100">
        <v>14.9</v>
      </c>
      <c r="BK72" s="100">
        <v>14.4</v>
      </c>
      <c r="BL72" s="100">
        <v>16.399999999999999</v>
      </c>
      <c r="BM72" s="100">
        <v>15.2</v>
      </c>
      <c r="BN72" s="109">
        <v>15.6</v>
      </c>
      <c r="BO72" s="109">
        <v>18.600000000000001</v>
      </c>
      <c r="BP72" s="109">
        <v>14.5</v>
      </c>
      <c r="BQ72" s="100">
        <v>18.2</v>
      </c>
      <c r="BR72" s="106">
        <v>26209</v>
      </c>
      <c r="BS72" s="118">
        <v>25733</v>
      </c>
      <c r="BT72" s="118">
        <v>25506</v>
      </c>
      <c r="BU72" s="110">
        <v>25167</v>
      </c>
      <c r="BV72" s="100">
        <v>36.834675111602884</v>
      </c>
      <c r="BW72" s="100">
        <v>37.535460303889948</v>
      </c>
      <c r="BX72" s="100">
        <v>39.857288481141687</v>
      </c>
      <c r="BY72" s="103">
        <v>40.863034926689714</v>
      </c>
      <c r="BZ72" s="100">
        <v>0.24419092678087681</v>
      </c>
      <c r="CA72" s="100">
        <v>0.20596121711421134</v>
      </c>
      <c r="CB72" s="100">
        <v>9.4095506939543633E-2</v>
      </c>
      <c r="CC72" s="103">
        <v>0.15099137759764772</v>
      </c>
      <c r="CD72" s="100">
        <v>15.227593574726239</v>
      </c>
      <c r="CE72" s="100">
        <v>15.792950685889714</v>
      </c>
      <c r="CF72" s="100">
        <v>16.36085626911315</v>
      </c>
      <c r="CG72" s="103">
        <v>16.438192871617595</v>
      </c>
      <c r="CH72" s="100">
        <v>77.022132796780681</v>
      </c>
      <c r="CI72" s="105">
        <v>78.7</v>
      </c>
      <c r="CJ72" s="111">
        <v>77.3</v>
      </c>
      <c r="CK72" s="111">
        <v>76.288209606986896</v>
      </c>
      <c r="CL72" s="112">
        <v>10801</v>
      </c>
      <c r="CM72" s="112">
        <v>10086</v>
      </c>
      <c r="CN72" s="112">
        <v>10283</v>
      </c>
      <c r="CO72" s="112">
        <v>10627</v>
      </c>
      <c r="CP72" s="112"/>
      <c r="CQ72" s="113">
        <v>10.894375694073908</v>
      </c>
      <c r="CR72" s="113">
        <v>10.304507072471763</v>
      </c>
      <c r="CS72" s="113">
        <v>10.334091749610073</v>
      </c>
      <c r="CT72" s="113">
        <v>10.760233207576208</v>
      </c>
      <c r="CU72" s="112"/>
      <c r="CV72" s="114">
        <v>4.3837176202675776</v>
      </c>
      <c r="CW72" s="114">
        <v>4.4535240040858017</v>
      </c>
      <c r="CX72" s="114">
        <v>4.6036829463570861</v>
      </c>
      <c r="CY72" s="114">
        <v>4.7614410905550146</v>
      </c>
      <c r="CZ72" s="112"/>
      <c r="DA72" s="113">
        <v>7.1608166549331189</v>
      </c>
      <c r="DB72" s="113">
        <v>8.0678708264915162</v>
      </c>
      <c r="DC72" s="113">
        <v>9.0889875290636226</v>
      </c>
      <c r="DD72" s="113">
        <v>9.143626385005696</v>
      </c>
      <c r="DE72" s="112"/>
      <c r="DF72" s="113">
        <v>86.790299572039942</v>
      </c>
      <c r="DG72" s="113">
        <v>87.086565945283795</v>
      </c>
      <c r="DH72" s="113">
        <v>88.547595682041219</v>
      </c>
      <c r="DI72" s="113">
        <v>88.647552852591943</v>
      </c>
      <c r="DJ72" s="112"/>
      <c r="DK72" s="114">
        <v>23.338391502276178</v>
      </c>
      <c r="DL72" s="114">
        <v>21.984732824427482</v>
      </c>
      <c r="DM72" s="114">
        <v>22.552567237163814</v>
      </c>
      <c r="DN72" s="114">
        <v>20.313250696646488</v>
      </c>
      <c r="DO72" s="112"/>
      <c r="DP72" s="113">
        <v>29.841622672964711</v>
      </c>
      <c r="DQ72" s="113">
        <v>32.926708320936228</v>
      </c>
      <c r="DR72" s="113">
        <v>37.036676719525246</v>
      </c>
      <c r="DS72" s="113">
        <v>41.21246352254542</v>
      </c>
      <c r="DT72" s="112"/>
      <c r="DU72" s="115">
        <v>74</v>
      </c>
      <c r="DV72" s="115">
        <v>72</v>
      </c>
      <c r="DW72" s="115">
        <v>56</v>
      </c>
      <c r="DX72" s="115">
        <v>47</v>
      </c>
      <c r="DY72" s="112"/>
      <c r="DZ72" s="116">
        <v>7.97</v>
      </c>
      <c r="EA72" s="116">
        <v>7.158541941150637</v>
      </c>
      <c r="EB72" s="116">
        <v>7.35</v>
      </c>
      <c r="EC72" s="116">
        <v>6.5938864628820957</v>
      </c>
      <c r="ED72" s="112"/>
      <c r="EE72" s="113">
        <v>90.791438526630159</v>
      </c>
      <c r="EF72" s="113">
        <v>2.7874564459930316</v>
      </c>
      <c r="EG72" s="113">
        <v>4.6291687406669988</v>
      </c>
      <c r="EH72" s="113">
        <v>1.294176207068193</v>
      </c>
      <c r="EI72" s="113">
        <v>1.5453639082751744</v>
      </c>
      <c r="EJ72" s="113">
        <v>21.373421281382626</v>
      </c>
      <c r="EK72" s="113"/>
      <c r="EL72" s="115">
        <v>10983</v>
      </c>
      <c r="EM72" s="115">
        <v>10996</v>
      </c>
      <c r="EN72" s="115">
        <v>10718</v>
      </c>
      <c r="EO72" s="115">
        <v>10317</v>
      </c>
      <c r="EP72" s="112"/>
      <c r="EQ72" s="114">
        <v>1107.7949101751108</v>
      </c>
      <c r="ER72" s="114">
        <v>1123.422167052345</v>
      </c>
      <c r="ES72" s="114">
        <v>1077.1253075203808</v>
      </c>
      <c r="ET72" s="114">
        <v>1044.6346664398584</v>
      </c>
      <c r="EU72" s="112"/>
      <c r="EV72" s="113">
        <v>904.65567738000004</v>
      </c>
      <c r="EW72" s="113">
        <v>886.53521723999995</v>
      </c>
      <c r="EX72" s="113">
        <v>807.24330908000002</v>
      </c>
      <c r="EY72" s="113">
        <v>767.67554700999995</v>
      </c>
      <c r="EZ72" s="112"/>
      <c r="FA72" s="115">
        <v>3557</v>
      </c>
      <c r="FB72" s="115">
        <v>3061</v>
      </c>
      <c r="FC72" s="115">
        <v>2609</v>
      </c>
      <c r="FD72" s="115">
        <v>2371</v>
      </c>
      <c r="FE72" s="112"/>
      <c r="FF72" s="115">
        <v>2513</v>
      </c>
      <c r="FG72" s="115">
        <v>2466</v>
      </c>
      <c r="FH72" s="115">
        <v>2497</v>
      </c>
      <c r="FI72" s="115">
        <v>2464</v>
      </c>
      <c r="FJ72" s="112"/>
      <c r="FK72" s="115">
        <v>856</v>
      </c>
      <c r="FL72" s="115">
        <v>773</v>
      </c>
      <c r="FM72" s="115">
        <v>721</v>
      </c>
      <c r="FN72" s="115">
        <v>515</v>
      </c>
      <c r="FO72" s="112"/>
      <c r="FP72" s="115">
        <v>379</v>
      </c>
      <c r="FQ72" s="115">
        <v>457</v>
      </c>
      <c r="FR72" s="115">
        <v>476</v>
      </c>
      <c r="FS72" s="115">
        <v>512</v>
      </c>
      <c r="FT72" s="112"/>
      <c r="FU72" s="113">
        <v>287.43776360999999</v>
      </c>
      <c r="FV72" s="113">
        <v>241.13705443000001</v>
      </c>
      <c r="FW72" s="113">
        <v>188.40429621000001</v>
      </c>
      <c r="FX72" s="113">
        <v>168.10681572999999</v>
      </c>
      <c r="FY72" s="112"/>
      <c r="FZ72" s="113">
        <v>206.91754535999999</v>
      </c>
      <c r="GA72" s="113">
        <v>200.34903657000001</v>
      </c>
      <c r="GB72" s="113">
        <v>197.36272324000001</v>
      </c>
      <c r="GC72" s="113">
        <v>190.57950875</v>
      </c>
      <c r="GD72" s="112"/>
      <c r="GE72" s="113">
        <v>68.788066310000005</v>
      </c>
      <c r="GF72" s="113">
        <v>59.843117079999999</v>
      </c>
      <c r="GG72" s="113">
        <v>50.328741280000003</v>
      </c>
      <c r="GH72" s="113">
        <v>36.118252810000001</v>
      </c>
      <c r="GI72" s="112"/>
      <c r="GJ72" s="113">
        <v>35.207248640000003</v>
      </c>
      <c r="GK72" s="113">
        <v>40.958827329999998</v>
      </c>
      <c r="GL72" s="113">
        <v>41.807934529999997</v>
      </c>
      <c r="GM72" s="113">
        <v>44.190779910000003</v>
      </c>
      <c r="GN72" s="112"/>
      <c r="GO72" s="113">
        <v>1145.3760405600001</v>
      </c>
      <c r="GP72" s="113">
        <v>1100.5063508200001</v>
      </c>
      <c r="GQ72" s="113">
        <v>972.18975515</v>
      </c>
      <c r="GR72" s="113">
        <v>932.77777762000005</v>
      </c>
      <c r="GS72" s="112"/>
      <c r="GT72" s="113">
        <v>740.03823967999995</v>
      </c>
      <c r="GU72" s="113">
        <v>736.77801500999999</v>
      </c>
      <c r="GV72" s="113">
        <v>677.48461539000004</v>
      </c>
      <c r="GW72" s="113">
        <v>641.67372452999996</v>
      </c>
      <c r="GX72" s="112"/>
      <c r="GY72" s="112"/>
      <c r="GZ72" s="112"/>
      <c r="HA72" s="112"/>
      <c r="HB72" s="112"/>
      <c r="HC72" s="112"/>
      <c r="HD72" s="115">
        <v>2015</v>
      </c>
      <c r="HE72" s="115">
        <v>15</v>
      </c>
      <c r="HF72" s="115">
        <v>33</v>
      </c>
      <c r="HG72" s="115">
        <v>7</v>
      </c>
      <c r="HH72" s="115">
        <v>8</v>
      </c>
      <c r="HI72" s="114">
        <v>31.005586592178769</v>
      </c>
      <c r="HJ72" s="114">
        <v>28.422335240517057</v>
      </c>
      <c r="HK72" s="113">
        <v>23.603856970670954</v>
      </c>
      <c r="HL72" s="112">
        <v>462</v>
      </c>
      <c r="HM72" s="112">
        <v>436</v>
      </c>
      <c r="HN72" s="112">
        <v>460</v>
      </c>
      <c r="HO72" s="112">
        <v>489</v>
      </c>
      <c r="HP72" s="112"/>
      <c r="HQ72" s="112">
        <v>712</v>
      </c>
      <c r="HR72" s="112">
        <v>737</v>
      </c>
      <c r="HS72" s="112">
        <v>860</v>
      </c>
      <c r="HT72" s="112">
        <v>883</v>
      </c>
      <c r="HU72" s="117"/>
    </row>
    <row r="73" spans="1:229" x14ac:dyDescent="0.2">
      <c r="A73" s="93">
        <v>70</v>
      </c>
      <c r="B73" s="98" t="s">
        <v>137</v>
      </c>
      <c r="C73" s="99">
        <v>124092</v>
      </c>
      <c r="D73" s="99">
        <v>126642</v>
      </c>
      <c r="E73" s="99">
        <v>128937</v>
      </c>
      <c r="F73" s="99">
        <v>131939</v>
      </c>
      <c r="G73" s="99">
        <v>129928</v>
      </c>
      <c r="H73" s="99">
        <v>42512</v>
      </c>
      <c r="I73" s="99">
        <v>43963</v>
      </c>
      <c r="J73" s="99">
        <v>44645</v>
      </c>
      <c r="K73" s="99">
        <v>45396</v>
      </c>
      <c r="L73" s="99">
        <v>45108</v>
      </c>
      <c r="M73" s="100">
        <v>8.8874236535258202</v>
      </c>
      <c r="N73" s="100">
        <v>9.4570135746606336</v>
      </c>
      <c r="O73" s="101">
        <v>9.9151498563021754</v>
      </c>
      <c r="P73" s="101">
        <v>10.776087804334503</v>
      </c>
      <c r="Q73" s="102">
        <v>11.537309650517198</v>
      </c>
      <c r="R73" s="100">
        <v>34.657828983897836</v>
      </c>
      <c r="S73" s="100">
        <v>37.47650539505743</v>
      </c>
      <c r="T73" s="100">
        <v>37.132201998084028</v>
      </c>
      <c r="U73" s="100">
        <v>36.23934481029584</v>
      </c>
      <c r="V73" s="100">
        <v>38.125187181790956</v>
      </c>
      <c r="W73" s="100">
        <v>43.545252637423651</v>
      </c>
      <c r="X73" s="100">
        <v>46.933518969718065</v>
      </c>
      <c r="Y73" s="100">
        <v>47.047351854386207</v>
      </c>
      <c r="Z73" s="100">
        <v>47.015432614630342</v>
      </c>
      <c r="AA73" s="100">
        <v>49.66249683230815</v>
      </c>
      <c r="AB73" s="100" t="s">
        <v>190</v>
      </c>
      <c r="AC73" s="100">
        <v>4.0999999999999996</v>
      </c>
      <c r="AD73" s="100">
        <v>5</v>
      </c>
      <c r="AE73" s="100">
        <v>7.5</v>
      </c>
      <c r="AF73" s="100">
        <v>6.7</v>
      </c>
      <c r="AG73" s="99">
        <v>949.83333333333337</v>
      </c>
      <c r="AH73" s="99">
        <v>1034.75</v>
      </c>
      <c r="AI73" s="104">
        <v>1179.0833333333333</v>
      </c>
      <c r="AJ73" s="104">
        <v>1574.0833333333333</v>
      </c>
      <c r="AK73" s="105">
        <v>2013.6666666666667</v>
      </c>
      <c r="AL73" s="106">
        <v>112452</v>
      </c>
      <c r="AM73" s="106">
        <v>2490</v>
      </c>
      <c r="AN73" s="106">
        <v>903</v>
      </c>
      <c r="AO73" s="106">
        <v>6502</v>
      </c>
      <c r="AP73" s="106">
        <v>0</v>
      </c>
      <c r="AQ73" s="106">
        <v>4471</v>
      </c>
      <c r="AR73" s="106">
        <v>112212</v>
      </c>
      <c r="AS73" s="106">
        <v>3376</v>
      </c>
      <c r="AT73" s="106">
        <v>1072</v>
      </c>
      <c r="AU73" s="106">
        <v>7444</v>
      </c>
      <c r="AV73" s="106">
        <v>2938</v>
      </c>
      <c r="AW73" s="106">
        <v>5771</v>
      </c>
      <c r="AX73" s="107">
        <v>34955</v>
      </c>
      <c r="AY73" s="107">
        <v>36874</v>
      </c>
      <c r="AZ73" s="107">
        <v>39042</v>
      </c>
      <c r="BA73" s="107">
        <v>40851</v>
      </c>
      <c r="BB73" s="107">
        <v>39435</v>
      </c>
      <c r="BC73" s="107">
        <v>78108</v>
      </c>
      <c r="BD73" s="107">
        <v>79648</v>
      </c>
      <c r="BE73" s="107">
        <v>79213</v>
      </c>
      <c r="BF73" s="108">
        <v>80835</v>
      </c>
      <c r="BG73" s="108">
        <v>84128</v>
      </c>
      <c r="BH73" s="100">
        <v>3.4</v>
      </c>
      <c r="BI73" s="100">
        <v>3.9</v>
      </c>
      <c r="BJ73" s="100">
        <v>4.2</v>
      </c>
      <c r="BK73" s="100">
        <v>4.4000000000000004</v>
      </c>
      <c r="BL73" s="100">
        <v>4.8</v>
      </c>
      <c r="BM73" s="100">
        <v>4.3</v>
      </c>
      <c r="BN73" s="109">
        <v>4.8</v>
      </c>
      <c r="BO73" s="109">
        <v>5</v>
      </c>
      <c r="BP73" s="109">
        <v>5.0999999999999996</v>
      </c>
      <c r="BQ73" s="100">
        <v>5.9</v>
      </c>
      <c r="BR73" s="106">
        <v>20006</v>
      </c>
      <c r="BS73" s="118">
        <v>20604</v>
      </c>
      <c r="BT73" s="118">
        <v>21202</v>
      </c>
      <c r="BU73" s="110">
        <v>21751</v>
      </c>
      <c r="BV73" s="100">
        <v>15.4703588923323</v>
      </c>
      <c r="BW73" s="100">
        <v>17.31702582022908</v>
      </c>
      <c r="BX73" s="100">
        <v>19.163286482407322</v>
      </c>
      <c r="BY73" s="103">
        <v>20.109420256539931</v>
      </c>
      <c r="BZ73" s="100">
        <v>5.6583025092472266</v>
      </c>
      <c r="CA73" s="100">
        <v>5.6979227334498157</v>
      </c>
      <c r="CB73" s="100">
        <v>5.7588906706914438</v>
      </c>
      <c r="CC73" s="103">
        <v>5.751459703002161</v>
      </c>
      <c r="CD73" s="100">
        <v>12.996101169649105</v>
      </c>
      <c r="CE73" s="100">
        <v>13.536206561832653</v>
      </c>
      <c r="CF73" s="100">
        <v>13.442128101122536</v>
      </c>
      <c r="CG73" s="103">
        <v>13.512022435750081</v>
      </c>
      <c r="CH73" s="100">
        <v>84.478935698447899</v>
      </c>
      <c r="CI73" s="105">
        <v>82.65</v>
      </c>
      <c r="CJ73" s="111">
        <v>83.2</v>
      </c>
      <c r="CK73" s="111">
        <v>86.653386454183263</v>
      </c>
      <c r="CL73" s="112">
        <v>6070</v>
      </c>
      <c r="CM73" s="112">
        <v>7457</v>
      </c>
      <c r="CN73" s="112">
        <v>10048</v>
      </c>
      <c r="CO73" s="112">
        <v>10250</v>
      </c>
      <c r="CP73" s="112"/>
      <c r="CQ73" s="113">
        <v>18.659584017313144</v>
      </c>
      <c r="CR73" s="113">
        <v>18.623224962164159</v>
      </c>
      <c r="CS73" s="113">
        <v>18.458949596118625</v>
      </c>
      <c r="CT73" s="113">
        <v>15.977229719829534</v>
      </c>
      <c r="CU73" s="112"/>
      <c r="CV73" s="114">
        <v>3.7694388100067613</v>
      </c>
      <c r="CW73" s="114">
        <v>3.2429410120212467</v>
      </c>
      <c r="CX73" s="114">
        <v>3.703319502074689</v>
      </c>
      <c r="CY73" s="114">
        <v>4.3093810346579939</v>
      </c>
      <c r="CZ73" s="112"/>
      <c r="DA73" s="113">
        <v>7.196760537456286</v>
      </c>
      <c r="DB73" s="113">
        <v>6.8409517845961174</v>
      </c>
      <c r="DC73" s="113">
        <v>7.1701936064835659</v>
      </c>
      <c r="DD73" s="113">
        <v>7.7602179836512262</v>
      </c>
      <c r="DE73" s="112"/>
      <c r="DF73" s="113">
        <v>85.282222612976966</v>
      </c>
      <c r="DG73" s="113">
        <v>86.977421704297157</v>
      </c>
      <c r="DH73" s="113">
        <v>89.419152276295137</v>
      </c>
      <c r="DI73" s="113">
        <v>89.225487226093108</v>
      </c>
      <c r="DJ73" s="112"/>
      <c r="DK73" s="114">
        <v>10.980966325036603</v>
      </c>
      <c r="DL73" s="114">
        <v>6.0495972200284314</v>
      </c>
      <c r="DM73" s="114">
        <v>3.9674029594681537</v>
      </c>
      <c r="DN73" s="114">
        <v>4.5504440674583373</v>
      </c>
      <c r="DO73" s="112"/>
      <c r="DP73" s="113">
        <v>14.010219218724245</v>
      </c>
      <c r="DQ73" s="113">
        <v>13.051643192488262</v>
      </c>
      <c r="DR73" s="113">
        <v>14.237355635205098</v>
      </c>
      <c r="DS73" s="113">
        <v>19.566702449497413</v>
      </c>
      <c r="DT73" s="112"/>
      <c r="DU73" s="115">
        <v>43</v>
      </c>
      <c r="DV73" s="115">
        <v>23</v>
      </c>
      <c r="DW73" s="115">
        <v>26</v>
      </c>
      <c r="DX73" s="115">
        <v>50</v>
      </c>
      <c r="DY73" s="112"/>
      <c r="DZ73" s="116">
        <v>2.0699999999999998</v>
      </c>
      <c r="EA73" s="116">
        <v>3.0368763557483729</v>
      </c>
      <c r="EB73" s="116">
        <v>3.88</v>
      </c>
      <c r="EC73" s="116">
        <v>3.5192563081009296</v>
      </c>
      <c r="ED73" s="112"/>
      <c r="EE73" s="113">
        <v>81.623036649214654</v>
      </c>
      <c r="EF73" s="113">
        <v>4.4502617801047117</v>
      </c>
      <c r="EG73" s="113">
        <v>1.2041884816753927</v>
      </c>
      <c r="EH73" s="113">
        <v>7.6963350785340312</v>
      </c>
      <c r="EI73" s="113">
        <v>5.7157839538542214</v>
      </c>
      <c r="EJ73" s="113">
        <v>17.300867507886434</v>
      </c>
      <c r="EK73" s="113"/>
      <c r="EL73" s="115">
        <v>1582</v>
      </c>
      <c r="EM73" s="115">
        <v>1810</v>
      </c>
      <c r="EN73" s="115">
        <v>2170</v>
      </c>
      <c r="EO73" s="115">
        <v>2476</v>
      </c>
      <c r="EP73" s="112"/>
      <c r="EQ73" s="114">
        <v>486.31732974282357</v>
      </c>
      <c r="ER73" s="114">
        <v>452.03214672813635</v>
      </c>
      <c r="ES73" s="114">
        <v>398.64570684292806</v>
      </c>
      <c r="ET73" s="114">
        <v>385.94751986632127</v>
      </c>
      <c r="EU73" s="112"/>
      <c r="EV73" s="113">
        <v>756.48853628999996</v>
      </c>
      <c r="EW73" s="113">
        <v>752.99990615000002</v>
      </c>
      <c r="EX73" s="113">
        <v>730.48063150999997</v>
      </c>
      <c r="EY73" s="113">
        <v>642.01828999999998</v>
      </c>
      <c r="EZ73" s="112"/>
      <c r="FA73" s="115">
        <v>451</v>
      </c>
      <c r="FB73" s="115">
        <v>443</v>
      </c>
      <c r="FC73" s="115">
        <v>444</v>
      </c>
      <c r="FD73" s="115">
        <v>438</v>
      </c>
      <c r="FE73" s="112"/>
      <c r="FF73" s="115">
        <v>373</v>
      </c>
      <c r="FG73" s="115">
        <v>454</v>
      </c>
      <c r="FH73" s="115">
        <v>574</v>
      </c>
      <c r="FI73" s="115">
        <v>714</v>
      </c>
      <c r="FJ73" s="112"/>
      <c r="FK73" s="115">
        <v>126</v>
      </c>
      <c r="FL73" s="115">
        <v>158</v>
      </c>
      <c r="FM73" s="115">
        <v>148</v>
      </c>
      <c r="FN73" s="115">
        <v>139</v>
      </c>
      <c r="FO73" s="112"/>
      <c r="FP73" s="115">
        <v>91</v>
      </c>
      <c r="FQ73" s="115">
        <v>112</v>
      </c>
      <c r="FR73" s="115">
        <v>128</v>
      </c>
      <c r="FS73" s="115">
        <v>170</v>
      </c>
      <c r="FT73" s="112"/>
      <c r="FU73" s="113">
        <v>229.27342572000001</v>
      </c>
      <c r="FV73" s="113">
        <v>191.69279946</v>
      </c>
      <c r="FW73" s="113">
        <v>159.30462334000001</v>
      </c>
      <c r="FX73" s="113">
        <v>122.78999743</v>
      </c>
      <c r="FY73" s="112"/>
      <c r="FZ73" s="113">
        <v>177.62840842</v>
      </c>
      <c r="GA73" s="113">
        <v>182.68864653</v>
      </c>
      <c r="GB73" s="113">
        <v>184.43922147000001</v>
      </c>
      <c r="GC73" s="113">
        <v>172.77015861999999</v>
      </c>
      <c r="GD73" s="112"/>
      <c r="GE73" s="113">
        <v>64.036528290000007</v>
      </c>
      <c r="GF73" s="113">
        <v>71.956328569999997</v>
      </c>
      <c r="GG73" s="113">
        <v>55.885680039999997</v>
      </c>
      <c r="GH73" s="113">
        <v>41.238842030000001</v>
      </c>
      <c r="GI73" s="112"/>
      <c r="GJ73" s="113">
        <v>34.298985270000003</v>
      </c>
      <c r="GK73" s="113">
        <v>39.373730430000002</v>
      </c>
      <c r="GL73" s="113">
        <v>32.193059589999997</v>
      </c>
      <c r="GM73" s="113">
        <v>36.451623589999997</v>
      </c>
      <c r="GN73" s="112"/>
      <c r="GO73" s="113">
        <v>963.44085696000002</v>
      </c>
      <c r="GP73" s="113">
        <v>961.28284358999997</v>
      </c>
      <c r="GQ73" s="113">
        <v>871.23244239999997</v>
      </c>
      <c r="GR73" s="113">
        <v>755.15886687</v>
      </c>
      <c r="GS73" s="112"/>
      <c r="GT73" s="113">
        <v>602.46066530999997</v>
      </c>
      <c r="GU73" s="113">
        <v>614.58876853000004</v>
      </c>
      <c r="GV73" s="113">
        <v>624.52092242000003</v>
      </c>
      <c r="GW73" s="113">
        <v>552.95007040999997</v>
      </c>
      <c r="GX73" s="112"/>
      <c r="GY73" s="112"/>
      <c r="GZ73" s="112"/>
      <c r="HA73" s="112"/>
      <c r="HB73" s="112"/>
      <c r="HC73" s="112"/>
      <c r="HD73" s="115">
        <v>483</v>
      </c>
      <c r="HE73" s="115">
        <v>5</v>
      </c>
      <c r="HF73" s="115">
        <v>2</v>
      </c>
      <c r="HG73" s="115">
        <v>5</v>
      </c>
      <c r="HH73" s="115">
        <v>3</v>
      </c>
      <c r="HI73" s="114">
        <v>24.847677075399847</v>
      </c>
      <c r="HJ73" s="114">
        <v>22.312373225152129</v>
      </c>
      <c r="HK73" s="113">
        <v>18.161308516638467</v>
      </c>
      <c r="HL73" s="112">
        <v>223</v>
      </c>
      <c r="HM73" s="112">
        <v>232</v>
      </c>
      <c r="HN73" s="112">
        <v>357</v>
      </c>
      <c r="HO73" s="112">
        <v>424</v>
      </c>
      <c r="HP73" s="112"/>
      <c r="HQ73" s="112">
        <v>391</v>
      </c>
      <c r="HR73" s="112">
        <v>437</v>
      </c>
      <c r="HS73" s="112">
        <v>637</v>
      </c>
      <c r="HT73" s="112">
        <v>712</v>
      </c>
      <c r="HU73" s="117"/>
    </row>
    <row r="74" spans="1:229" x14ac:dyDescent="0.2">
      <c r="A74" s="93">
        <v>71</v>
      </c>
      <c r="B74" s="98" t="s">
        <v>138</v>
      </c>
      <c r="C74" s="99">
        <v>84995</v>
      </c>
      <c r="D74" s="99">
        <v>86287</v>
      </c>
      <c r="E74" s="99">
        <v>87660</v>
      </c>
      <c r="F74" s="99">
        <v>87832</v>
      </c>
      <c r="G74" s="99">
        <v>88499</v>
      </c>
      <c r="H74" s="99">
        <v>29004</v>
      </c>
      <c r="I74" s="99">
        <v>29543</v>
      </c>
      <c r="J74" s="99">
        <v>29837</v>
      </c>
      <c r="K74" s="99">
        <v>30054</v>
      </c>
      <c r="L74" s="99">
        <v>30212</v>
      </c>
      <c r="M74" s="100">
        <v>10.046079882887229</v>
      </c>
      <c r="N74" s="100">
        <v>10.566220898120408</v>
      </c>
      <c r="O74" s="101">
        <v>10.955403511664331</v>
      </c>
      <c r="P74" s="101">
        <v>10.230657224171024</v>
      </c>
      <c r="Q74" s="102">
        <v>12.251433553536099</v>
      </c>
      <c r="R74" s="100">
        <v>31.345965099063434</v>
      </c>
      <c r="S74" s="100">
        <v>33.854419468759936</v>
      </c>
      <c r="T74" s="100">
        <v>33.566894732503506</v>
      </c>
      <c r="U74" s="100">
        <v>35.099940432854588</v>
      </c>
      <c r="V74" s="100">
        <v>36.132255792897624</v>
      </c>
      <c r="W74" s="100">
        <v>41.392044981950662</v>
      </c>
      <c r="X74" s="100">
        <v>44.420640366880342</v>
      </c>
      <c r="Y74" s="100">
        <v>44.522298244167835</v>
      </c>
      <c r="Z74" s="100">
        <v>45.330597657025614</v>
      </c>
      <c r="AA74" s="100">
        <v>48.383689346433719</v>
      </c>
      <c r="AB74" s="100" t="s">
        <v>181</v>
      </c>
      <c r="AC74" s="100">
        <v>5</v>
      </c>
      <c r="AD74" s="100">
        <v>6.2</v>
      </c>
      <c r="AE74" s="100">
        <v>9.1999999999999993</v>
      </c>
      <c r="AF74" s="100">
        <v>8.1</v>
      </c>
      <c r="AG74" s="99">
        <v>746.5</v>
      </c>
      <c r="AH74" s="99">
        <v>849.75</v>
      </c>
      <c r="AI74" s="104">
        <v>913.33333333333337</v>
      </c>
      <c r="AJ74" s="104">
        <v>1251.9166666666667</v>
      </c>
      <c r="AK74" s="105">
        <v>1619.1666666666667</v>
      </c>
      <c r="AL74" s="106">
        <v>81569</v>
      </c>
      <c r="AM74" s="106">
        <v>1155</v>
      </c>
      <c r="AN74" s="106">
        <v>376</v>
      </c>
      <c r="AO74" s="106">
        <v>1095</v>
      </c>
      <c r="AP74" s="106">
        <v>0</v>
      </c>
      <c r="AQ74" s="106">
        <v>1531</v>
      </c>
      <c r="AR74" s="106">
        <v>83211</v>
      </c>
      <c r="AS74" s="106">
        <v>1689</v>
      </c>
      <c r="AT74" s="106">
        <v>439</v>
      </c>
      <c r="AU74" s="106">
        <v>1149</v>
      </c>
      <c r="AV74" s="106">
        <v>1500</v>
      </c>
      <c r="AW74" s="106">
        <v>1941</v>
      </c>
      <c r="AX74" s="107">
        <v>27530</v>
      </c>
      <c r="AY74" s="107">
        <v>28067</v>
      </c>
      <c r="AZ74" s="107">
        <v>29529</v>
      </c>
      <c r="BA74" s="107">
        <v>31080</v>
      </c>
      <c r="BB74" s="107">
        <v>30984</v>
      </c>
      <c r="BC74" s="107">
        <v>63181</v>
      </c>
      <c r="BD74" s="107">
        <v>68075</v>
      </c>
      <c r="BE74" s="107">
        <v>67634</v>
      </c>
      <c r="BF74" s="108">
        <v>70212</v>
      </c>
      <c r="BG74" s="108">
        <v>71728</v>
      </c>
      <c r="BH74" s="100">
        <v>4.7</v>
      </c>
      <c r="BI74" s="100">
        <v>5.4</v>
      </c>
      <c r="BJ74" s="100">
        <v>5</v>
      </c>
      <c r="BK74" s="100">
        <v>5.8</v>
      </c>
      <c r="BL74" s="100">
        <v>7.1</v>
      </c>
      <c r="BM74" s="100">
        <v>5.5</v>
      </c>
      <c r="BN74" s="109">
        <v>6.3</v>
      </c>
      <c r="BO74" s="109">
        <v>5.3</v>
      </c>
      <c r="BP74" s="109">
        <v>6.2</v>
      </c>
      <c r="BQ74" s="100">
        <v>8.1999999999999993</v>
      </c>
      <c r="BR74" s="106">
        <v>18983</v>
      </c>
      <c r="BS74" s="118">
        <v>19351</v>
      </c>
      <c r="BT74" s="118">
        <v>19400</v>
      </c>
      <c r="BU74" s="110">
        <v>19621</v>
      </c>
      <c r="BV74" s="100">
        <v>15.877363957224885</v>
      </c>
      <c r="BW74" s="100">
        <v>17.833703684564107</v>
      </c>
      <c r="BX74" s="100">
        <v>21.639175257731956</v>
      </c>
      <c r="BY74" s="103">
        <v>24.198562764385098</v>
      </c>
      <c r="BZ74" s="100">
        <v>2.7340251804245908</v>
      </c>
      <c r="CA74" s="100">
        <v>2.7905534597695207</v>
      </c>
      <c r="CB74" s="100">
        <v>2.231958762886598</v>
      </c>
      <c r="CC74" s="103">
        <v>2.4871311350084095</v>
      </c>
      <c r="CD74" s="100">
        <v>14.154770057419796</v>
      </c>
      <c r="CE74" s="100">
        <v>13.994108831584931</v>
      </c>
      <c r="CF74" s="100">
        <v>14.216494845360824</v>
      </c>
      <c r="CG74" s="103">
        <v>14.515060394475308</v>
      </c>
      <c r="CH74" s="100">
        <v>85.851780558229066</v>
      </c>
      <c r="CI74" s="105">
        <v>88.46</v>
      </c>
      <c r="CJ74" s="111">
        <v>85.89</v>
      </c>
      <c r="CK74" s="111">
        <v>89.116859946476367</v>
      </c>
      <c r="CL74" s="112">
        <v>3903</v>
      </c>
      <c r="CM74" s="112">
        <v>4919</v>
      </c>
      <c r="CN74" s="112">
        <v>6140</v>
      </c>
      <c r="CO74" s="112">
        <v>6552</v>
      </c>
      <c r="CP74" s="112"/>
      <c r="CQ74" s="113">
        <v>16.165841737941889</v>
      </c>
      <c r="CR74" s="113">
        <v>16.31877172961066</v>
      </c>
      <c r="CS74" s="113">
        <v>16.387579602534469</v>
      </c>
      <c r="CT74" s="113">
        <v>15.052622147479857</v>
      </c>
      <c r="CU74" s="112"/>
      <c r="CV74" s="114">
        <v>3.9153439153439153</v>
      </c>
      <c r="CW74" s="114">
        <v>4.1736930860033725</v>
      </c>
      <c r="CX74" s="114">
        <v>3.883167313861219</v>
      </c>
      <c r="CY74" s="114">
        <v>4.176592027949817</v>
      </c>
      <c r="CZ74" s="112"/>
      <c r="DA74" s="113">
        <v>6.8104426787741206</v>
      </c>
      <c r="DB74" s="113">
        <v>7.7562949640287773</v>
      </c>
      <c r="DC74" s="113">
        <v>7.748730487116795</v>
      </c>
      <c r="DD74" s="113">
        <v>7.7644894204231827</v>
      </c>
      <c r="DE74" s="112"/>
      <c r="DF74" s="113">
        <v>85.831134564643804</v>
      </c>
      <c r="DG74" s="113">
        <v>90.039757271395686</v>
      </c>
      <c r="DH74" s="113">
        <v>90.811820652173907</v>
      </c>
      <c r="DI74" s="113">
        <v>90.458918151711089</v>
      </c>
      <c r="DJ74" s="112"/>
      <c r="DK74" s="114">
        <v>16.142668428005283</v>
      </c>
      <c r="DL74" s="114">
        <v>11.146095717884132</v>
      </c>
      <c r="DM74" s="114">
        <v>10.062133241284087</v>
      </c>
      <c r="DN74" s="114">
        <v>9.6979085979860571</v>
      </c>
      <c r="DO74" s="112"/>
      <c r="DP74" s="113">
        <v>17.457062291720071</v>
      </c>
      <c r="DQ74" s="113">
        <v>18.588570266422614</v>
      </c>
      <c r="DR74" s="113">
        <v>18.214402085369827</v>
      </c>
      <c r="DS74" s="113">
        <v>23.095710578537627</v>
      </c>
      <c r="DT74" s="112"/>
      <c r="DU74" s="115">
        <v>25</v>
      </c>
      <c r="DV74" s="115">
        <v>22</v>
      </c>
      <c r="DW74" s="115">
        <v>22</v>
      </c>
      <c r="DX74" s="115">
        <v>34</v>
      </c>
      <c r="DY74" s="112"/>
      <c r="DZ74" s="116">
        <v>3.56</v>
      </c>
      <c r="EA74" s="116">
        <v>2.5854108956602033</v>
      </c>
      <c r="EB74" s="116">
        <v>3.18</v>
      </c>
      <c r="EC74" s="116">
        <v>1.6057091882247994</v>
      </c>
      <c r="ED74" s="112"/>
      <c r="EE74" s="113">
        <v>95.684647302904565</v>
      </c>
      <c r="EF74" s="113">
        <v>1.3278008298755186</v>
      </c>
      <c r="EG74" s="113">
        <v>0.58091286307053946</v>
      </c>
      <c r="EH74" s="113">
        <v>1.8257261410788381</v>
      </c>
      <c r="EI74" s="113">
        <v>1.3300083125519535</v>
      </c>
      <c r="EJ74" s="113">
        <v>20.794601666322386</v>
      </c>
      <c r="EK74" s="113"/>
      <c r="EL74" s="115">
        <v>1410</v>
      </c>
      <c r="EM74" s="115">
        <v>1640</v>
      </c>
      <c r="EN74" s="115">
        <v>1998</v>
      </c>
      <c r="EO74" s="115">
        <v>2121</v>
      </c>
      <c r="EP74" s="112"/>
      <c r="EQ74" s="114">
        <v>584.00811812703216</v>
      </c>
      <c r="ER74" s="114">
        <v>544.069640914037</v>
      </c>
      <c r="ES74" s="114">
        <v>533.26358380885779</v>
      </c>
      <c r="ET74" s="114">
        <v>487.28039644085436</v>
      </c>
      <c r="EU74" s="112"/>
      <c r="EV74" s="113">
        <v>958.80221641000003</v>
      </c>
      <c r="EW74" s="113">
        <v>887.91280330999996</v>
      </c>
      <c r="EX74" s="113">
        <v>831.30364649000001</v>
      </c>
      <c r="EY74" s="113">
        <v>743.56902981999997</v>
      </c>
      <c r="EZ74" s="112"/>
      <c r="FA74" s="115">
        <v>371</v>
      </c>
      <c r="FB74" s="115">
        <v>386</v>
      </c>
      <c r="FC74" s="115">
        <v>419</v>
      </c>
      <c r="FD74" s="115">
        <v>387</v>
      </c>
      <c r="FE74" s="112"/>
      <c r="FF74" s="115">
        <v>308</v>
      </c>
      <c r="FG74" s="115">
        <v>386</v>
      </c>
      <c r="FH74" s="115">
        <v>448</v>
      </c>
      <c r="FI74" s="115">
        <v>517</v>
      </c>
      <c r="FJ74" s="112"/>
      <c r="FK74" s="115">
        <v>111</v>
      </c>
      <c r="FL74" s="115">
        <v>122</v>
      </c>
      <c r="FM74" s="115">
        <v>143</v>
      </c>
      <c r="FN74" s="115">
        <v>107</v>
      </c>
      <c r="FO74" s="112"/>
      <c r="FP74" s="115">
        <v>74</v>
      </c>
      <c r="FQ74" s="115">
        <v>86</v>
      </c>
      <c r="FR74" s="115">
        <v>143</v>
      </c>
      <c r="FS74" s="115">
        <v>132</v>
      </c>
      <c r="FT74" s="112"/>
      <c r="FU74" s="113">
        <v>261.98175616999998</v>
      </c>
      <c r="FV74" s="113">
        <v>217.34285892</v>
      </c>
      <c r="FW74" s="113">
        <v>181.27082827999999</v>
      </c>
      <c r="FX74" s="113">
        <v>140.65495451000001</v>
      </c>
      <c r="FY74" s="112"/>
      <c r="FZ74" s="113">
        <v>210.42504923000001</v>
      </c>
      <c r="GA74" s="113">
        <v>205.71271325999999</v>
      </c>
      <c r="GB74" s="113">
        <v>183.33247072</v>
      </c>
      <c r="GC74" s="113">
        <v>177.83371378000001</v>
      </c>
      <c r="GD74" s="112"/>
      <c r="GE74" s="113">
        <v>80.054396350000005</v>
      </c>
      <c r="GF74" s="113">
        <v>69.307662219999997</v>
      </c>
      <c r="GG74" s="113">
        <v>64.339339879999997</v>
      </c>
      <c r="GH74" s="113">
        <v>40.093584280000002</v>
      </c>
      <c r="GI74" s="112"/>
      <c r="GJ74" s="113">
        <v>37.034469299999998</v>
      </c>
      <c r="GK74" s="113">
        <v>35.090754670000003</v>
      </c>
      <c r="GL74" s="113">
        <v>46.283639200000003</v>
      </c>
      <c r="GM74" s="113">
        <v>37.197331439999999</v>
      </c>
      <c r="GN74" s="112"/>
      <c r="GO74" s="113">
        <v>1070.2654573699999</v>
      </c>
      <c r="GP74" s="113">
        <v>1015.67349396</v>
      </c>
      <c r="GQ74" s="113">
        <v>940.24167629999999</v>
      </c>
      <c r="GR74" s="113">
        <v>851.14163254000005</v>
      </c>
      <c r="GS74" s="112"/>
      <c r="GT74" s="113">
        <v>865.93787907000001</v>
      </c>
      <c r="GU74" s="113">
        <v>791.13016607999998</v>
      </c>
      <c r="GV74" s="113">
        <v>740.92722067</v>
      </c>
      <c r="GW74" s="113">
        <v>667.63637930000004</v>
      </c>
      <c r="GX74" s="112"/>
      <c r="GY74" s="112"/>
      <c r="GZ74" s="112"/>
      <c r="HA74" s="112"/>
      <c r="HB74" s="112"/>
      <c r="HC74" s="112"/>
      <c r="HD74" s="115">
        <v>458</v>
      </c>
      <c r="HE74" s="115">
        <v>1</v>
      </c>
      <c r="HF74" s="115">
        <v>3</v>
      </c>
      <c r="HG74" s="115">
        <v>1</v>
      </c>
      <c r="HH74" s="115">
        <v>1</v>
      </c>
      <c r="HI74" s="114">
        <v>27.646736149204607</v>
      </c>
      <c r="HJ74" s="114">
        <v>23.479019592289998</v>
      </c>
      <c r="HK74" s="113">
        <v>20.320614134116052</v>
      </c>
      <c r="HL74" s="112">
        <v>148</v>
      </c>
      <c r="HM74" s="112">
        <v>198</v>
      </c>
      <c r="HN74" s="112">
        <v>230</v>
      </c>
      <c r="HO74" s="112">
        <v>263</v>
      </c>
      <c r="HP74" s="112"/>
      <c r="HQ74" s="112">
        <v>240</v>
      </c>
      <c r="HR74" s="112">
        <v>345</v>
      </c>
      <c r="HS74" s="112">
        <v>412</v>
      </c>
      <c r="HT74" s="112">
        <v>422</v>
      </c>
      <c r="HU74" s="117"/>
    </row>
    <row r="75" spans="1:229" ht="21" customHeight="1" x14ac:dyDescent="0.2">
      <c r="A75" s="93">
        <v>72</v>
      </c>
      <c r="B75" s="98" t="s">
        <v>139</v>
      </c>
      <c r="C75" s="99">
        <v>15126</v>
      </c>
      <c r="D75" s="99">
        <v>15007</v>
      </c>
      <c r="E75" s="99">
        <v>14954</v>
      </c>
      <c r="F75" s="99">
        <v>14925</v>
      </c>
      <c r="G75" s="99">
        <v>15226</v>
      </c>
      <c r="H75" s="99">
        <v>5932</v>
      </c>
      <c r="I75" s="99">
        <v>5973</v>
      </c>
      <c r="J75" s="99">
        <v>5945</v>
      </c>
      <c r="K75" s="99">
        <v>5947</v>
      </c>
      <c r="L75" s="99">
        <v>6034</v>
      </c>
      <c r="M75" s="100">
        <v>24.43527591542032</v>
      </c>
      <c r="N75" s="100">
        <v>24.132933015840148</v>
      </c>
      <c r="O75" s="101">
        <v>24.013704318936878</v>
      </c>
      <c r="P75" s="101">
        <v>25.389259612329202</v>
      </c>
      <c r="Q75" s="102">
        <v>26.105728727885424</v>
      </c>
      <c r="R75" s="100">
        <v>31.583290355853531</v>
      </c>
      <c r="S75" s="100">
        <v>31.235117506988303</v>
      </c>
      <c r="T75" s="100">
        <v>31.239617940199338</v>
      </c>
      <c r="U75" s="100">
        <v>32.697807435653004</v>
      </c>
      <c r="V75" s="100">
        <v>34.235467565290648</v>
      </c>
      <c r="W75" s="100">
        <v>56.018566271273848</v>
      </c>
      <c r="X75" s="100">
        <v>55.368050522828447</v>
      </c>
      <c r="Y75" s="100">
        <v>55.253322259136219</v>
      </c>
      <c r="Z75" s="100">
        <v>58.087067047982202</v>
      </c>
      <c r="AA75" s="100">
        <v>60.341196293176075</v>
      </c>
      <c r="AB75" s="100" t="s">
        <v>177</v>
      </c>
      <c r="AC75" s="100">
        <v>5.0999999999999996</v>
      </c>
      <c r="AD75" s="100">
        <v>6.3</v>
      </c>
      <c r="AE75" s="100">
        <v>8.4</v>
      </c>
      <c r="AF75" s="100">
        <v>7.2</v>
      </c>
      <c r="AG75" s="99">
        <v>188</v>
      </c>
      <c r="AH75" s="99">
        <v>202.5</v>
      </c>
      <c r="AI75" s="104">
        <v>218.91666666666666</v>
      </c>
      <c r="AJ75" s="104">
        <v>295.08333333333331</v>
      </c>
      <c r="AK75" s="105">
        <v>348.5</v>
      </c>
      <c r="AL75" s="106">
        <v>14859</v>
      </c>
      <c r="AM75" s="106">
        <v>26</v>
      </c>
      <c r="AN75" s="106">
        <v>54</v>
      </c>
      <c r="AO75" s="106">
        <v>78</v>
      </c>
      <c r="AP75" s="106">
        <v>0</v>
      </c>
      <c r="AQ75" s="106">
        <v>951</v>
      </c>
      <c r="AR75" s="106">
        <v>14430</v>
      </c>
      <c r="AS75" s="106">
        <v>48</v>
      </c>
      <c r="AT75" s="106">
        <v>30</v>
      </c>
      <c r="AU75" s="106">
        <v>87</v>
      </c>
      <c r="AV75" s="106">
        <v>180</v>
      </c>
      <c r="AW75" s="106">
        <v>1098</v>
      </c>
      <c r="AX75" s="107">
        <v>27673</v>
      </c>
      <c r="AY75" s="107">
        <v>28448</v>
      </c>
      <c r="AZ75" s="107">
        <v>30062</v>
      </c>
      <c r="BA75" s="107">
        <v>35714</v>
      </c>
      <c r="BB75" s="107">
        <v>36331</v>
      </c>
      <c r="BC75" s="107">
        <v>46742</v>
      </c>
      <c r="BD75" s="107">
        <v>50854</v>
      </c>
      <c r="BE75" s="107">
        <v>49918</v>
      </c>
      <c r="BF75" s="108">
        <v>52370</v>
      </c>
      <c r="BG75" s="108">
        <v>49091</v>
      </c>
      <c r="BH75" s="100">
        <v>8</v>
      </c>
      <c r="BI75" s="100">
        <v>7.6</v>
      </c>
      <c r="BJ75" s="100">
        <v>9</v>
      </c>
      <c r="BK75" s="100">
        <v>10</v>
      </c>
      <c r="BL75" s="100">
        <v>10.5</v>
      </c>
      <c r="BM75" s="100">
        <v>11.8</v>
      </c>
      <c r="BN75" s="109">
        <v>11.3</v>
      </c>
      <c r="BO75" s="109">
        <v>12.8</v>
      </c>
      <c r="BP75" s="109">
        <v>14.7</v>
      </c>
      <c r="BQ75" s="100">
        <v>14.5</v>
      </c>
      <c r="BR75" s="106">
        <v>2344</v>
      </c>
      <c r="BS75" s="118">
        <v>2323</v>
      </c>
      <c r="BT75" s="118">
        <v>2229</v>
      </c>
      <c r="BU75" s="110">
        <v>2219</v>
      </c>
      <c r="BV75" s="100">
        <v>36.220136518771326</v>
      </c>
      <c r="BW75" s="100">
        <v>38.441670253981918</v>
      </c>
      <c r="BX75" s="100">
        <v>43.606998654104977</v>
      </c>
      <c r="BY75" s="103">
        <v>41.640378548895896</v>
      </c>
      <c r="BZ75" s="100">
        <v>9.1723549488054612</v>
      </c>
      <c r="CA75" s="100">
        <v>9.7718467498923811</v>
      </c>
      <c r="CB75" s="100">
        <v>7.5818752803947955</v>
      </c>
      <c r="CC75" s="103">
        <v>9.7791798107255516</v>
      </c>
      <c r="CD75" s="100">
        <v>15.102389078498293</v>
      </c>
      <c r="CE75" s="100">
        <v>14.377959535083942</v>
      </c>
      <c r="CF75" s="100">
        <v>13.862718707940781</v>
      </c>
      <c r="CG75" s="103">
        <v>14.511041009463723</v>
      </c>
      <c r="CH75" s="100">
        <v>72</v>
      </c>
      <c r="CI75" s="105">
        <v>79</v>
      </c>
      <c r="CJ75" s="111">
        <v>86.74</v>
      </c>
      <c r="CK75" s="111">
        <v>84.946236559139791</v>
      </c>
      <c r="CL75" s="112">
        <v>857</v>
      </c>
      <c r="CM75" s="112">
        <v>994</v>
      </c>
      <c r="CN75" s="112">
        <v>973</v>
      </c>
      <c r="CO75" s="112">
        <v>992</v>
      </c>
      <c r="CP75" s="112"/>
      <c r="CQ75" s="113">
        <v>11.853880520630179</v>
      </c>
      <c r="CR75" s="113">
        <v>13.445150818341675</v>
      </c>
      <c r="CS75" s="113">
        <v>12.712473379584264</v>
      </c>
      <c r="CT75" s="113">
        <v>13.184826816236477</v>
      </c>
      <c r="CU75" s="112"/>
      <c r="CV75" s="114">
        <v>4.3735224586288419</v>
      </c>
      <c r="CW75" s="114">
        <v>4.5690550363447562</v>
      </c>
      <c r="CX75" s="114">
        <v>4.2417815482502652</v>
      </c>
      <c r="CY75" s="114">
        <v>4.2887029288702925</v>
      </c>
      <c r="CZ75" s="112"/>
      <c r="DA75" s="113">
        <v>7.1895424836601309</v>
      </c>
      <c r="DB75" s="113">
        <v>7.6419213973799129</v>
      </c>
      <c r="DC75" s="113">
        <v>9.0069284064665123</v>
      </c>
      <c r="DD75" s="113">
        <v>7.4969770253929866</v>
      </c>
      <c r="DE75" s="112"/>
      <c r="DF75" s="113">
        <v>82.926829268292678</v>
      </c>
      <c r="DG75" s="113">
        <v>82.69430051813471</v>
      </c>
      <c r="DH75" s="113">
        <v>85.714285714285708</v>
      </c>
      <c r="DI75" s="113">
        <v>85.173824130879339</v>
      </c>
      <c r="DJ75" s="112"/>
      <c r="DK75" s="114">
        <v>11.380145278450364</v>
      </c>
      <c r="DL75" s="114">
        <v>9.3555093555093549</v>
      </c>
      <c r="DM75" s="114">
        <v>9.9476439790575917</v>
      </c>
      <c r="DN75" s="114">
        <v>9.5238095238095237</v>
      </c>
      <c r="DO75" s="112"/>
      <c r="DP75" s="113">
        <v>17.50291715285881</v>
      </c>
      <c r="DQ75" s="113">
        <v>22.837022132796779</v>
      </c>
      <c r="DR75" s="113">
        <v>26.234567901234566</v>
      </c>
      <c r="DS75" s="113">
        <v>31.25</v>
      </c>
      <c r="DT75" s="112"/>
      <c r="DU75" s="115">
        <v>2</v>
      </c>
      <c r="DV75" s="115">
        <v>5</v>
      </c>
      <c r="DW75" s="115">
        <v>3</v>
      </c>
      <c r="DX75" s="115">
        <v>2</v>
      </c>
      <c r="DY75" s="112"/>
      <c r="DZ75" s="116">
        <v>9.5</v>
      </c>
      <c r="EA75" s="116">
        <v>7.5</v>
      </c>
      <c r="EB75" s="116">
        <v>2.21</v>
      </c>
      <c r="EC75" s="116">
        <v>3.225806451612903</v>
      </c>
      <c r="ED75" s="112"/>
      <c r="EE75" s="113">
        <v>89.714285714285708</v>
      </c>
      <c r="EF75" s="113">
        <v>0.5714285714285714</v>
      </c>
      <c r="EG75" s="113">
        <v>0.5714285714285714</v>
      </c>
      <c r="EH75" s="113">
        <v>0.5714285714285714</v>
      </c>
      <c r="EI75" s="113">
        <v>11.428571428571429</v>
      </c>
      <c r="EJ75" s="113">
        <v>30.750798722044728</v>
      </c>
      <c r="EK75" s="113"/>
      <c r="EL75" s="115">
        <v>750</v>
      </c>
      <c r="EM75" s="115">
        <v>756</v>
      </c>
      <c r="EN75" s="115">
        <v>729</v>
      </c>
      <c r="EO75" s="115">
        <v>654</v>
      </c>
      <c r="EP75" s="112"/>
      <c r="EQ75" s="114">
        <v>1037.3874434623842</v>
      </c>
      <c r="ER75" s="114">
        <v>1022.5889354795077</v>
      </c>
      <c r="ES75" s="114">
        <v>952.45561086504915</v>
      </c>
      <c r="ET75" s="114">
        <v>869.24160663494513</v>
      </c>
      <c r="EU75" s="112"/>
      <c r="EV75" s="113">
        <v>753.72517903999994</v>
      </c>
      <c r="EW75" s="113">
        <v>743.7089234</v>
      </c>
      <c r="EX75" s="113">
        <v>696.51496830999997</v>
      </c>
      <c r="EY75" s="113">
        <v>636.37805316000004</v>
      </c>
      <c r="EZ75" s="112"/>
      <c r="FA75" s="115">
        <v>231</v>
      </c>
      <c r="FB75" s="115">
        <v>209</v>
      </c>
      <c r="FC75" s="115">
        <v>212</v>
      </c>
      <c r="FD75" s="115">
        <v>158</v>
      </c>
      <c r="FE75" s="112"/>
      <c r="FF75" s="115">
        <v>165</v>
      </c>
      <c r="FG75" s="115">
        <v>178</v>
      </c>
      <c r="FH75" s="115">
        <v>178</v>
      </c>
      <c r="FI75" s="115">
        <v>161</v>
      </c>
      <c r="FJ75" s="112"/>
      <c r="FK75" s="115">
        <v>69</v>
      </c>
      <c r="FL75" s="115">
        <v>60</v>
      </c>
      <c r="FM75" s="115">
        <v>55</v>
      </c>
      <c r="FN75" s="115">
        <v>40</v>
      </c>
      <c r="FO75" s="112"/>
      <c r="FP75" s="115">
        <v>36</v>
      </c>
      <c r="FQ75" s="115">
        <v>42</v>
      </c>
      <c r="FR75" s="115">
        <v>25</v>
      </c>
      <c r="FS75" s="115">
        <v>34</v>
      </c>
      <c r="FT75" s="112"/>
      <c r="FU75" s="113">
        <v>224.51571261999999</v>
      </c>
      <c r="FV75" s="113">
        <v>197.61830343</v>
      </c>
      <c r="FW75" s="113">
        <v>188.07883409999999</v>
      </c>
      <c r="FX75" s="113">
        <v>139.20038045999999</v>
      </c>
      <c r="FY75" s="112"/>
      <c r="FZ75" s="113">
        <v>176.75598102000001</v>
      </c>
      <c r="GA75" s="113">
        <v>184.99707383000001</v>
      </c>
      <c r="GB75" s="113">
        <v>183.20777545999999</v>
      </c>
      <c r="GC75" s="113">
        <v>169.43279663000001</v>
      </c>
      <c r="GD75" s="112"/>
      <c r="GE75" s="113">
        <v>63.724643</v>
      </c>
      <c r="GF75" s="113">
        <v>57.333690220000001</v>
      </c>
      <c r="GG75" s="113">
        <v>49.391868250000002</v>
      </c>
      <c r="GH75" s="113">
        <v>36.593702970000002</v>
      </c>
      <c r="GI75" s="112"/>
      <c r="GJ75" s="113">
        <v>45.65696432</v>
      </c>
      <c r="GK75" s="113">
        <v>49.522875640000002</v>
      </c>
      <c r="GL75" s="113">
        <v>25.516330709999998</v>
      </c>
      <c r="GM75" s="113">
        <v>36.245194249999997</v>
      </c>
      <c r="GN75" s="112"/>
      <c r="GO75" s="113">
        <v>965.06859698999995</v>
      </c>
      <c r="GP75" s="113">
        <v>904.72358039000005</v>
      </c>
      <c r="GQ75" s="113">
        <v>891.49897620000002</v>
      </c>
      <c r="GR75" s="113">
        <v>843.13355376000004</v>
      </c>
      <c r="GS75" s="112"/>
      <c r="GT75" s="113">
        <v>603.17019134999998</v>
      </c>
      <c r="GU75" s="113">
        <v>618.17896676999999</v>
      </c>
      <c r="GV75" s="113">
        <v>546.47630835999996</v>
      </c>
      <c r="GW75" s="113">
        <v>491.43228800999998</v>
      </c>
      <c r="GX75" s="112"/>
      <c r="GY75" s="112"/>
      <c r="GZ75" s="112"/>
      <c r="HA75" s="112"/>
      <c r="HB75" s="112"/>
      <c r="HC75" s="112"/>
      <c r="HD75" s="115">
        <v>145</v>
      </c>
      <c r="HE75" s="115">
        <v>0</v>
      </c>
      <c r="HF75" s="115">
        <v>0</v>
      </c>
      <c r="HG75" s="115">
        <v>0</v>
      </c>
      <c r="HH75" s="115">
        <v>0</v>
      </c>
      <c r="HI75" s="114">
        <v>29.479502533394751</v>
      </c>
      <c r="HJ75" s="114">
        <v>36.862745098039213</v>
      </c>
      <c r="HK75" s="113">
        <v>32.729805013927574</v>
      </c>
      <c r="HL75" s="112">
        <v>37</v>
      </c>
      <c r="HM75" s="112">
        <v>44</v>
      </c>
      <c r="HN75" s="112">
        <v>40</v>
      </c>
      <c r="HO75" s="112">
        <v>41</v>
      </c>
      <c r="HP75" s="112"/>
      <c r="HQ75" s="112">
        <v>55</v>
      </c>
      <c r="HR75" s="112">
        <v>70</v>
      </c>
      <c r="HS75" s="112">
        <v>78</v>
      </c>
      <c r="HT75" s="112">
        <v>62</v>
      </c>
      <c r="HU75" s="117"/>
    </row>
    <row r="76" spans="1:229" x14ac:dyDescent="0.2">
      <c r="A76" s="93">
        <v>73</v>
      </c>
      <c r="B76" s="98" t="s">
        <v>140</v>
      </c>
      <c r="C76" s="99">
        <v>144096</v>
      </c>
      <c r="D76" s="99">
        <v>146051</v>
      </c>
      <c r="E76" s="99">
        <v>147076</v>
      </c>
      <c r="F76" s="99">
        <v>148955</v>
      </c>
      <c r="G76" s="99">
        <v>150642</v>
      </c>
      <c r="H76" s="99">
        <v>53846</v>
      </c>
      <c r="I76" s="99">
        <v>54642</v>
      </c>
      <c r="J76" s="99">
        <v>55217</v>
      </c>
      <c r="K76" s="99">
        <v>56487</v>
      </c>
      <c r="L76" s="99">
        <v>56232</v>
      </c>
      <c r="M76" s="100">
        <v>16.812612954438798</v>
      </c>
      <c r="N76" s="100">
        <v>17.076181635031308</v>
      </c>
      <c r="O76" s="101">
        <v>17.55785249948368</v>
      </c>
      <c r="P76" s="101">
        <v>18.814813357208919</v>
      </c>
      <c r="Q76" s="102">
        <v>17.621809744779583</v>
      </c>
      <c r="R76" s="100">
        <v>27.066130143483342</v>
      </c>
      <c r="S76" s="100">
        <v>27.160323134962177</v>
      </c>
      <c r="T76" s="100">
        <v>27.086673026425785</v>
      </c>
      <c r="U76" s="100">
        <v>27.739624943426673</v>
      </c>
      <c r="V76" s="100">
        <v>28.01044083526682</v>
      </c>
      <c r="W76" s="100">
        <v>43.878743097922133</v>
      </c>
      <c r="X76" s="100">
        <v>44.236504769993488</v>
      </c>
      <c r="Y76" s="100">
        <v>44.644525525909465</v>
      </c>
      <c r="Z76" s="100">
        <v>46.554438300635589</v>
      </c>
      <c r="AA76" s="100">
        <v>45.632250580046403</v>
      </c>
      <c r="AB76" s="100" t="s">
        <v>173</v>
      </c>
      <c r="AC76" s="100">
        <v>4.5</v>
      </c>
      <c r="AD76" s="100">
        <v>5.5</v>
      </c>
      <c r="AE76" s="100">
        <v>7.9</v>
      </c>
      <c r="AF76" s="100">
        <v>6.8</v>
      </c>
      <c r="AG76" s="99">
        <v>2534.0833333333335</v>
      </c>
      <c r="AH76" s="99">
        <v>2665.0833333333335</v>
      </c>
      <c r="AI76" s="104">
        <v>2942</v>
      </c>
      <c r="AJ76" s="104">
        <v>3865</v>
      </c>
      <c r="AK76" s="105">
        <v>4903.5</v>
      </c>
      <c r="AL76" s="106">
        <v>137193</v>
      </c>
      <c r="AM76" s="106">
        <v>2208</v>
      </c>
      <c r="AN76" s="106">
        <v>402</v>
      </c>
      <c r="AO76" s="106">
        <v>2928</v>
      </c>
      <c r="AP76" s="106">
        <v>0</v>
      </c>
      <c r="AQ76" s="106">
        <v>2474</v>
      </c>
      <c r="AR76" s="106">
        <v>138262</v>
      </c>
      <c r="AS76" s="106">
        <v>4658</v>
      </c>
      <c r="AT76" s="106">
        <v>473</v>
      </c>
      <c r="AU76" s="106">
        <v>3043</v>
      </c>
      <c r="AV76" s="106">
        <v>2335</v>
      </c>
      <c r="AW76" s="106">
        <v>4190</v>
      </c>
      <c r="AX76" s="107">
        <v>29705</v>
      </c>
      <c r="AY76" s="107">
        <v>30269</v>
      </c>
      <c r="AZ76" s="107">
        <v>31951</v>
      </c>
      <c r="BA76" s="107">
        <v>34328</v>
      </c>
      <c r="BB76" s="107">
        <v>34206</v>
      </c>
      <c r="BC76" s="107">
        <v>47024</v>
      </c>
      <c r="BD76" s="107">
        <v>48822</v>
      </c>
      <c r="BE76" s="107">
        <v>51489</v>
      </c>
      <c r="BF76" s="108">
        <v>52040</v>
      </c>
      <c r="BG76" s="108">
        <v>48383</v>
      </c>
      <c r="BH76" s="100">
        <v>9.5</v>
      </c>
      <c r="BI76" s="100">
        <v>12.4</v>
      </c>
      <c r="BJ76" s="100">
        <v>11.7</v>
      </c>
      <c r="BK76" s="100">
        <v>10.1</v>
      </c>
      <c r="BL76" s="100">
        <v>12.5</v>
      </c>
      <c r="BM76" s="100">
        <v>9.4</v>
      </c>
      <c r="BN76" s="109">
        <v>11.4</v>
      </c>
      <c r="BO76" s="109">
        <v>10.7</v>
      </c>
      <c r="BP76" s="109">
        <v>9.1999999999999993</v>
      </c>
      <c r="BQ76" s="100">
        <v>12.4</v>
      </c>
      <c r="BR76" s="106">
        <v>23142</v>
      </c>
      <c r="BS76" s="118">
        <v>23011</v>
      </c>
      <c r="BT76" s="118">
        <v>23094</v>
      </c>
      <c r="BU76" s="110">
        <v>23264</v>
      </c>
      <c r="BV76" s="100">
        <v>30.82706766917293</v>
      </c>
      <c r="BW76" s="100">
        <v>33.205858067880577</v>
      </c>
      <c r="BX76" s="100">
        <v>36.182558240235558</v>
      </c>
      <c r="BY76" s="103">
        <v>36.335110041265473</v>
      </c>
      <c r="BZ76" s="100">
        <v>5.2026618269812461</v>
      </c>
      <c r="CA76" s="100">
        <v>5.6885837208291683</v>
      </c>
      <c r="CB76" s="100">
        <v>5.5512254265177106</v>
      </c>
      <c r="CC76" s="103">
        <v>6.4047455295735904</v>
      </c>
      <c r="CD76" s="100">
        <v>15.802437127301012</v>
      </c>
      <c r="CE76" s="100">
        <v>16.244404849854419</v>
      </c>
      <c r="CF76" s="100">
        <v>16.878842989521086</v>
      </c>
      <c r="CG76" s="103">
        <v>17.297111416781291</v>
      </c>
      <c r="CH76" s="100">
        <v>77.230483271375462</v>
      </c>
      <c r="CI76" s="105">
        <v>78.760000000000005</v>
      </c>
      <c r="CJ76" s="111">
        <v>80</v>
      </c>
      <c r="CK76" s="111">
        <v>84.008307372793354</v>
      </c>
      <c r="CL76" s="112">
        <v>8220</v>
      </c>
      <c r="CM76" s="112">
        <v>8385</v>
      </c>
      <c r="CN76" s="112">
        <v>9067</v>
      </c>
      <c r="CO76" s="112">
        <v>9864</v>
      </c>
      <c r="CP76" s="112"/>
      <c r="CQ76" s="113">
        <v>13.354041303302445</v>
      </c>
      <c r="CR76" s="113">
        <v>12.982468635377653</v>
      </c>
      <c r="CS76" s="113">
        <v>13.111430529807645</v>
      </c>
      <c r="CT76" s="113">
        <v>13.387258760619961</v>
      </c>
      <c r="CU76" s="112"/>
      <c r="CV76" s="114">
        <v>3.9726027397260273</v>
      </c>
      <c r="CW76" s="114">
        <v>4.3991152617350702</v>
      </c>
      <c r="CX76" s="114">
        <v>5.2404228714334433</v>
      </c>
      <c r="CY76" s="114">
        <v>4.891076665270214</v>
      </c>
      <c r="CZ76" s="112"/>
      <c r="DA76" s="113">
        <v>6.4014513411947647</v>
      </c>
      <c r="DB76" s="113">
        <v>6.9432259681664368</v>
      </c>
      <c r="DC76" s="113">
        <v>9.3995381062355658</v>
      </c>
      <c r="DD76" s="113">
        <v>9.1314978207717665</v>
      </c>
      <c r="DE76" s="112"/>
      <c r="DF76" s="113">
        <v>86.400491400491404</v>
      </c>
      <c r="DG76" s="113">
        <v>89.423192229284084</v>
      </c>
      <c r="DH76" s="113">
        <v>88.442377947525742</v>
      </c>
      <c r="DI76" s="113">
        <v>88.803010271534632</v>
      </c>
      <c r="DJ76" s="112"/>
      <c r="DK76" s="114">
        <v>14.848522628101234</v>
      </c>
      <c r="DL76" s="114">
        <v>13.635818029048133</v>
      </c>
      <c r="DM76" s="114">
        <v>13.507239969050515</v>
      </c>
      <c r="DN76" s="114">
        <v>12.244897959183673</v>
      </c>
      <c r="DO76" s="112"/>
      <c r="DP76" s="113">
        <v>19.223749847913371</v>
      </c>
      <c r="DQ76" s="113">
        <v>21.67481808421806</v>
      </c>
      <c r="DR76" s="113">
        <v>24.991728245285099</v>
      </c>
      <c r="DS76" s="113">
        <v>28.588807785888079</v>
      </c>
      <c r="DT76" s="112"/>
      <c r="DU76" s="115">
        <v>45</v>
      </c>
      <c r="DV76" s="115">
        <v>48</v>
      </c>
      <c r="DW76" s="115">
        <v>49</v>
      </c>
      <c r="DX76" s="115">
        <v>51</v>
      </c>
      <c r="DY76" s="112"/>
      <c r="DZ76" s="116">
        <v>4.1399999999999997</v>
      </c>
      <c r="EA76" s="116">
        <v>2.9280397022332507</v>
      </c>
      <c r="EB76" s="116">
        <v>3.6</v>
      </c>
      <c r="EC76" s="116">
        <v>2.3883696780893042</v>
      </c>
      <c r="ED76" s="112"/>
      <c r="EE76" s="113">
        <v>86.829776158250908</v>
      </c>
      <c r="EF76" s="113">
        <v>7.2358146798542426</v>
      </c>
      <c r="EG76" s="113">
        <v>0.46850598646538261</v>
      </c>
      <c r="EH76" s="113">
        <v>1.8740239458615304</v>
      </c>
      <c r="EI76" s="113">
        <v>5.4138469547110883</v>
      </c>
      <c r="EJ76" s="113">
        <v>17.050719713350219</v>
      </c>
      <c r="EK76" s="113"/>
      <c r="EL76" s="115">
        <v>3508</v>
      </c>
      <c r="EM76" s="115">
        <v>3766</v>
      </c>
      <c r="EN76" s="115">
        <v>3894</v>
      </c>
      <c r="EO76" s="115">
        <v>4095</v>
      </c>
      <c r="EP76" s="112"/>
      <c r="EQ76" s="114">
        <v>569.90239527962262</v>
      </c>
      <c r="ER76" s="114">
        <v>583.08857341481507</v>
      </c>
      <c r="ES76" s="114">
        <v>563.09595768248562</v>
      </c>
      <c r="ET76" s="114">
        <v>555.76667300019005</v>
      </c>
      <c r="EU76" s="112"/>
      <c r="EV76" s="113">
        <v>686.19243642000004</v>
      </c>
      <c r="EW76" s="113">
        <v>662.23534944000005</v>
      </c>
      <c r="EX76" s="113">
        <v>604.33660307000002</v>
      </c>
      <c r="EY76" s="113">
        <v>543.08356168</v>
      </c>
      <c r="EZ76" s="112"/>
      <c r="FA76" s="115">
        <v>1019</v>
      </c>
      <c r="FB76" s="115">
        <v>1060</v>
      </c>
      <c r="FC76" s="115">
        <v>933</v>
      </c>
      <c r="FD76" s="115">
        <v>879</v>
      </c>
      <c r="FE76" s="112"/>
      <c r="FF76" s="115">
        <v>926</v>
      </c>
      <c r="FG76" s="115">
        <v>967</v>
      </c>
      <c r="FH76" s="115">
        <v>996</v>
      </c>
      <c r="FI76" s="115">
        <v>1105</v>
      </c>
      <c r="FJ76" s="112"/>
      <c r="FK76" s="115">
        <v>256</v>
      </c>
      <c r="FL76" s="115">
        <v>279</v>
      </c>
      <c r="FM76" s="115">
        <v>265</v>
      </c>
      <c r="FN76" s="115">
        <v>205</v>
      </c>
      <c r="FO76" s="112"/>
      <c r="FP76" s="115">
        <v>195</v>
      </c>
      <c r="FQ76" s="115">
        <v>207</v>
      </c>
      <c r="FR76" s="115">
        <v>225</v>
      </c>
      <c r="FS76" s="115">
        <v>228</v>
      </c>
      <c r="FT76" s="112"/>
      <c r="FU76" s="113">
        <v>203.51939906000001</v>
      </c>
      <c r="FV76" s="113">
        <v>187.77398793</v>
      </c>
      <c r="FW76" s="113">
        <v>144.24147730999999</v>
      </c>
      <c r="FX76" s="113">
        <v>114.74563712</v>
      </c>
      <c r="FY76" s="112"/>
      <c r="FZ76" s="113">
        <v>182.61701513</v>
      </c>
      <c r="GA76" s="113">
        <v>172.26019278000001</v>
      </c>
      <c r="GB76" s="113">
        <v>158.13007372999999</v>
      </c>
      <c r="GC76" s="113">
        <v>150.22986341999999</v>
      </c>
      <c r="GD76" s="112"/>
      <c r="GE76" s="113">
        <v>51.299416690000001</v>
      </c>
      <c r="GF76" s="113">
        <v>49.321752740000001</v>
      </c>
      <c r="GG76" s="113">
        <v>40.779072229999997</v>
      </c>
      <c r="GH76" s="113">
        <v>26.64634444</v>
      </c>
      <c r="GI76" s="112"/>
      <c r="GJ76" s="113">
        <v>32.543300709999997</v>
      </c>
      <c r="GK76" s="113">
        <v>32.662018089999997</v>
      </c>
      <c r="GL76" s="113">
        <v>33.100290700000002</v>
      </c>
      <c r="GM76" s="113">
        <v>30.080907289999999</v>
      </c>
      <c r="GN76" s="112"/>
      <c r="GO76" s="113">
        <v>901.14422334000005</v>
      </c>
      <c r="GP76" s="113">
        <v>891.52423601999999</v>
      </c>
      <c r="GQ76" s="113">
        <v>763.68313575000002</v>
      </c>
      <c r="GR76" s="113">
        <v>693.66171983000004</v>
      </c>
      <c r="GS76" s="112"/>
      <c r="GT76" s="113">
        <v>526.21228137000003</v>
      </c>
      <c r="GU76" s="113">
        <v>486.74499535000001</v>
      </c>
      <c r="GV76" s="113">
        <v>484.62925429000001</v>
      </c>
      <c r="GW76" s="113">
        <v>426.86066661000001</v>
      </c>
      <c r="GX76" s="112"/>
      <c r="GY76" s="112"/>
      <c r="GZ76" s="112"/>
      <c r="HA76" s="112"/>
      <c r="HB76" s="112"/>
      <c r="HC76" s="112"/>
      <c r="HD76" s="115">
        <v>843</v>
      </c>
      <c r="HE76" s="115">
        <v>8</v>
      </c>
      <c r="HF76" s="115">
        <v>1</v>
      </c>
      <c r="HG76" s="115">
        <v>2</v>
      </c>
      <c r="HH76" s="115">
        <v>0</v>
      </c>
      <c r="HI76" s="114">
        <v>18.532014575741801</v>
      </c>
      <c r="HJ76" s="114">
        <v>17.792738639095937</v>
      </c>
      <c r="HK76" s="113">
        <v>17.923186344238974</v>
      </c>
      <c r="HL76" s="112">
        <v>319</v>
      </c>
      <c r="HM76" s="112">
        <v>358</v>
      </c>
      <c r="HN76" s="112">
        <v>461</v>
      </c>
      <c r="HO76" s="112">
        <v>467</v>
      </c>
      <c r="HP76" s="112"/>
      <c r="HQ76" s="112">
        <v>494</v>
      </c>
      <c r="HR76" s="112">
        <v>554</v>
      </c>
      <c r="HS76" s="112">
        <v>814</v>
      </c>
      <c r="HT76" s="112">
        <v>859</v>
      </c>
      <c r="HU76" s="117"/>
    </row>
    <row r="77" spans="1:229" x14ac:dyDescent="0.2">
      <c r="A77" s="93">
        <v>74</v>
      </c>
      <c r="B77" s="98" t="s">
        <v>141</v>
      </c>
      <c r="C77" s="99">
        <v>36221</v>
      </c>
      <c r="D77" s="99">
        <v>36378</v>
      </c>
      <c r="E77" s="99">
        <v>36546</v>
      </c>
      <c r="F77" s="99">
        <v>36775</v>
      </c>
      <c r="G77" s="99">
        <v>36576</v>
      </c>
      <c r="H77" s="99">
        <v>14163</v>
      </c>
      <c r="I77" s="99">
        <v>14349</v>
      </c>
      <c r="J77" s="99">
        <v>14374</v>
      </c>
      <c r="K77" s="99">
        <v>14398</v>
      </c>
      <c r="L77" s="99">
        <v>14330</v>
      </c>
      <c r="M77" s="100">
        <v>19.807267114429937</v>
      </c>
      <c r="N77" s="100">
        <v>20.407820054656295</v>
      </c>
      <c r="O77" s="101">
        <v>20.990813373044169</v>
      </c>
      <c r="P77" s="101">
        <v>20.924142591653997</v>
      </c>
      <c r="Q77" s="102">
        <v>22.608322608322609</v>
      </c>
      <c r="R77" s="100">
        <v>31.296149513996081</v>
      </c>
      <c r="S77" s="100">
        <v>32.537313432835816</v>
      </c>
      <c r="T77" s="100">
        <v>32.312597004907921</v>
      </c>
      <c r="U77" s="100">
        <v>34.401926001013685</v>
      </c>
      <c r="V77" s="100">
        <v>34.302874302874301</v>
      </c>
      <c r="W77" s="100">
        <v>51.103416628426011</v>
      </c>
      <c r="X77" s="100">
        <v>52.945133487492114</v>
      </c>
      <c r="Y77" s="100">
        <v>53.303410377952098</v>
      </c>
      <c r="Z77" s="100">
        <v>55.326068592667681</v>
      </c>
      <c r="AA77" s="100">
        <v>56.91119691119691</v>
      </c>
      <c r="AB77" s="100" t="s">
        <v>173</v>
      </c>
      <c r="AC77" s="100">
        <v>4.4000000000000004</v>
      </c>
      <c r="AD77" s="100">
        <v>5.0999999999999996</v>
      </c>
      <c r="AE77" s="100">
        <v>8.8000000000000007</v>
      </c>
      <c r="AF77" s="100">
        <v>7.8</v>
      </c>
      <c r="AG77" s="99">
        <v>669.75</v>
      </c>
      <c r="AH77" s="99">
        <v>719.33333333333337</v>
      </c>
      <c r="AI77" s="104">
        <v>759.25</v>
      </c>
      <c r="AJ77" s="104">
        <v>1068.75</v>
      </c>
      <c r="AK77" s="105">
        <v>1351</v>
      </c>
      <c r="AL77" s="106">
        <v>34617</v>
      </c>
      <c r="AM77" s="106">
        <v>1002</v>
      </c>
      <c r="AN77" s="106">
        <v>43</v>
      </c>
      <c r="AO77" s="106">
        <v>346</v>
      </c>
      <c r="AP77" s="106">
        <v>0</v>
      </c>
      <c r="AQ77" s="106">
        <v>1719</v>
      </c>
      <c r="AR77" s="106">
        <v>34038</v>
      </c>
      <c r="AS77" s="106">
        <v>1013</v>
      </c>
      <c r="AT77" s="106">
        <v>86</v>
      </c>
      <c r="AU77" s="106">
        <v>289</v>
      </c>
      <c r="AV77" s="106">
        <v>510</v>
      </c>
      <c r="AW77" s="106">
        <v>2282</v>
      </c>
      <c r="AX77" s="107">
        <v>31643</v>
      </c>
      <c r="AY77" s="107">
        <v>33415</v>
      </c>
      <c r="AZ77" s="107">
        <v>34097</v>
      </c>
      <c r="BA77" s="107">
        <v>37021</v>
      </c>
      <c r="BB77" s="107">
        <v>36895</v>
      </c>
      <c r="BC77" s="107">
        <v>51296</v>
      </c>
      <c r="BD77" s="107">
        <v>52490</v>
      </c>
      <c r="BE77" s="107">
        <v>53333</v>
      </c>
      <c r="BF77" s="108">
        <v>56435</v>
      </c>
      <c r="BG77" s="108">
        <v>57980</v>
      </c>
      <c r="BH77" s="100">
        <v>6.7</v>
      </c>
      <c r="BI77" s="100">
        <v>7.2</v>
      </c>
      <c r="BJ77" s="100">
        <v>7.1</v>
      </c>
      <c r="BK77" s="100">
        <v>7.7</v>
      </c>
      <c r="BL77" s="100">
        <v>7.7</v>
      </c>
      <c r="BM77" s="100">
        <v>9.1</v>
      </c>
      <c r="BN77" s="109">
        <v>9.3000000000000007</v>
      </c>
      <c r="BO77" s="109">
        <v>9.3000000000000007</v>
      </c>
      <c r="BP77" s="109">
        <v>10</v>
      </c>
      <c r="BQ77" s="100">
        <v>10.9</v>
      </c>
      <c r="BR77" s="106">
        <v>6472</v>
      </c>
      <c r="BS77" s="118">
        <v>6464</v>
      </c>
      <c r="BT77" s="118">
        <v>6454</v>
      </c>
      <c r="BU77" s="110">
        <v>6484</v>
      </c>
      <c r="BV77" s="100">
        <v>28.58467243510507</v>
      </c>
      <c r="BW77" s="100">
        <v>30.043316831683171</v>
      </c>
      <c r="BX77" s="100">
        <v>33.88596219398822</v>
      </c>
      <c r="BY77" s="103">
        <v>32.341147439851945</v>
      </c>
      <c r="BZ77" s="100">
        <v>6.5049443757725589</v>
      </c>
      <c r="CA77" s="100">
        <v>6.528465346534654</v>
      </c>
      <c r="CB77" s="100">
        <v>5.3145336225596527</v>
      </c>
      <c r="CC77" s="103">
        <v>6.8013571869216536</v>
      </c>
      <c r="CD77" s="100">
        <v>11.758343634116192</v>
      </c>
      <c r="CE77" s="100">
        <v>11.850247524752474</v>
      </c>
      <c r="CF77" s="100">
        <v>12.674310505113109</v>
      </c>
      <c r="CG77" s="103">
        <v>12.754472547809995</v>
      </c>
      <c r="CH77" s="100">
        <v>80.39867109634551</v>
      </c>
      <c r="CI77" s="105">
        <v>81.08</v>
      </c>
      <c r="CJ77" s="111">
        <v>82.92</v>
      </c>
      <c r="CK77" s="111">
        <v>85.074626865671647</v>
      </c>
      <c r="CL77" s="112">
        <v>2094</v>
      </c>
      <c r="CM77" s="112">
        <v>2115</v>
      </c>
      <c r="CN77" s="112">
        <v>2517</v>
      </c>
      <c r="CO77" s="112">
        <v>2647</v>
      </c>
      <c r="CP77" s="112"/>
      <c r="CQ77" s="113">
        <v>13.41155673972357</v>
      </c>
      <c r="CR77" s="113">
        <v>13.171415226529659</v>
      </c>
      <c r="CS77" s="113">
        <v>14.442111061383276</v>
      </c>
      <c r="CT77" s="113">
        <v>14.504427494301245</v>
      </c>
      <c r="CU77" s="112"/>
      <c r="CV77" s="114">
        <v>5.1622418879056049</v>
      </c>
      <c r="CW77" s="114">
        <v>4.5812807881773399</v>
      </c>
      <c r="CX77" s="114">
        <v>4.4462741869081928</v>
      </c>
      <c r="CY77" s="114">
        <v>4.129333852746397</v>
      </c>
      <c r="CZ77" s="112"/>
      <c r="DA77" s="113">
        <v>8.6158977209560863</v>
      </c>
      <c r="DB77" s="113">
        <v>7.1875</v>
      </c>
      <c r="DC77" s="113">
        <v>7.623318385650224</v>
      </c>
      <c r="DD77" s="113">
        <v>7.9195732457940089</v>
      </c>
      <c r="DE77" s="112"/>
      <c r="DF77" s="113">
        <v>87.506271951831408</v>
      </c>
      <c r="DG77" s="113">
        <v>85.929892891918215</v>
      </c>
      <c r="DH77" s="113">
        <v>84.736842105263165</v>
      </c>
      <c r="DI77" s="113">
        <v>85.993860322333077</v>
      </c>
      <c r="DJ77" s="112"/>
      <c r="DK77" s="114">
        <v>15.708071532141131</v>
      </c>
      <c r="DL77" s="114">
        <v>17.661097852028639</v>
      </c>
      <c r="DM77" s="114">
        <v>15.02197363164203</v>
      </c>
      <c r="DN77" s="114">
        <v>14.377601210745365</v>
      </c>
      <c r="DO77" s="112"/>
      <c r="DP77" s="113">
        <v>17.916865742952698</v>
      </c>
      <c r="DQ77" s="113">
        <v>23.557237464522231</v>
      </c>
      <c r="DR77" s="113">
        <v>28.327373857767181</v>
      </c>
      <c r="DS77" s="113">
        <v>36.191915375897246</v>
      </c>
      <c r="DT77" s="112"/>
      <c r="DU77" s="115">
        <v>16</v>
      </c>
      <c r="DV77" s="115">
        <v>11</v>
      </c>
      <c r="DW77" s="115">
        <v>17</v>
      </c>
      <c r="DX77" s="115">
        <v>8</v>
      </c>
      <c r="DY77" s="112"/>
      <c r="DZ77" s="116">
        <v>4.82</v>
      </c>
      <c r="EA77" s="116">
        <v>5.7657657657657655</v>
      </c>
      <c r="EB77" s="116">
        <v>4.63</v>
      </c>
      <c r="EC77" s="116">
        <v>3.3582089552238807</v>
      </c>
      <c r="ED77" s="112"/>
      <c r="EE77" s="113">
        <v>83.054393305439334</v>
      </c>
      <c r="EF77" s="113">
        <v>8.5774058577405849</v>
      </c>
      <c r="EG77" s="113">
        <v>0.20920502092050208</v>
      </c>
      <c r="EH77" s="113">
        <v>1.6736401673640167</v>
      </c>
      <c r="EI77" s="113">
        <v>7.5</v>
      </c>
      <c r="EJ77" s="113">
        <v>34.606594841658506</v>
      </c>
      <c r="EK77" s="113"/>
      <c r="EL77" s="115">
        <v>1270</v>
      </c>
      <c r="EM77" s="115">
        <v>1293</v>
      </c>
      <c r="EN77" s="115">
        <v>1397</v>
      </c>
      <c r="EO77" s="115">
        <v>1343</v>
      </c>
      <c r="EP77" s="112"/>
      <c r="EQ77" s="114">
        <v>813.40387103385558</v>
      </c>
      <c r="ER77" s="114">
        <v>805.2312003736572</v>
      </c>
      <c r="ES77" s="114">
        <v>801.57445978356918</v>
      </c>
      <c r="ET77" s="114">
        <v>735.90654041732421</v>
      </c>
      <c r="EU77" s="112"/>
      <c r="EV77" s="113">
        <v>739.68633003000002</v>
      </c>
      <c r="EW77" s="113">
        <v>715.66581627000005</v>
      </c>
      <c r="EX77" s="113">
        <v>704.03947554000001</v>
      </c>
      <c r="EY77" s="113">
        <v>620.92322537999996</v>
      </c>
      <c r="EZ77" s="112"/>
      <c r="FA77" s="115">
        <v>358</v>
      </c>
      <c r="FB77" s="115">
        <v>374</v>
      </c>
      <c r="FC77" s="115">
        <v>353</v>
      </c>
      <c r="FD77" s="115">
        <v>333</v>
      </c>
      <c r="FE77" s="112"/>
      <c r="FF77" s="115">
        <v>312</v>
      </c>
      <c r="FG77" s="115">
        <v>302</v>
      </c>
      <c r="FH77" s="115">
        <v>342</v>
      </c>
      <c r="FI77" s="115">
        <v>327</v>
      </c>
      <c r="FJ77" s="112"/>
      <c r="FK77" s="115">
        <v>108</v>
      </c>
      <c r="FL77" s="115">
        <v>82</v>
      </c>
      <c r="FM77" s="115">
        <v>104</v>
      </c>
      <c r="FN77" s="115">
        <v>86</v>
      </c>
      <c r="FO77" s="112"/>
      <c r="FP77" s="115">
        <v>54</v>
      </c>
      <c r="FQ77" s="115">
        <v>59</v>
      </c>
      <c r="FR77" s="115">
        <v>84</v>
      </c>
      <c r="FS77" s="115">
        <v>67</v>
      </c>
      <c r="FT77" s="112"/>
      <c r="FU77" s="113">
        <v>206.99012318999999</v>
      </c>
      <c r="FV77" s="113">
        <v>202.654752</v>
      </c>
      <c r="FW77" s="113">
        <v>172.46464601</v>
      </c>
      <c r="FX77" s="113">
        <v>149.80579012000001</v>
      </c>
      <c r="FY77" s="112"/>
      <c r="FZ77" s="113">
        <v>188.69065280000001</v>
      </c>
      <c r="GA77" s="113">
        <v>174.82545245</v>
      </c>
      <c r="GB77" s="113">
        <v>183.94994817</v>
      </c>
      <c r="GC77" s="113">
        <v>158.48936565</v>
      </c>
      <c r="GD77" s="112"/>
      <c r="GE77" s="113">
        <v>60.418845300000001</v>
      </c>
      <c r="GF77" s="113">
        <v>44.667377250000001</v>
      </c>
      <c r="GG77" s="113">
        <v>49.15082726</v>
      </c>
      <c r="GH77" s="113">
        <v>38.058121530000001</v>
      </c>
      <c r="GI77" s="112"/>
      <c r="GJ77" s="113">
        <v>32.705415039999998</v>
      </c>
      <c r="GK77" s="113">
        <v>35.032945550000001</v>
      </c>
      <c r="GL77" s="113">
        <v>44.321016870000001</v>
      </c>
      <c r="GM77" s="113">
        <v>33.872329919999999</v>
      </c>
      <c r="GN77" s="112"/>
      <c r="GO77" s="113">
        <v>926.47615919999998</v>
      </c>
      <c r="GP77" s="113">
        <v>866.91574834000005</v>
      </c>
      <c r="GQ77" s="113">
        <v>843.94925996999996</v>
      </c>
      <c r="GR77" s="113">
        <v>766.22538908000001</v>
      </c>
      <c r="GS77" s="112"/>
      <c r="GT77" s="113">
        <v>612.12964523999995</v>
      </c>
      <c r="GU77" s="113">
        <v>605.35934152000004</v>
      </c>
      <c r="GV77" s="113">
        <v>602.72340463</v>
      </c>
      <c r="GW77" s="113">
        <v>511.64187836000002</v>
      </c>
      <c r="GX77" s="112"/>
      <c r="GY77" s="112"/>
      <c r="GZ77" s="112"/>
      <c r="HA77" s="112"/>
      <c r="HB77" s="112"/>
      <c r="HC77" s="112"/>
      <c r="HD77" s="115">
        <v>272</v>
      </c>
      <c r="HE77" s="115">
        <v>3</v>
      </c>
      <c r="HF77" s="115">
        <v>1</v>
      </c>
      <c r="HG77" s="115">
        <v>1</v>
      </c>
      <c r="HH77" s="115">
        <v>4</v>
      </c>
      <c r="HI77" s="114">
        <v>29.526789206100901</v>
      </c>
      <c r="HJ77" s="114">
        <v>31.923925963661063</v>
      </c>
      <c r="HK77" s="113">
        <v>34.689893377383989</v>
      </c>
      <c r="HL77" s="112">
        <v>105</v>
      </c>
      <c r="HM77" s="112">
        <v>93</v>
      </c>
      <c r="HN77" s="112">
        <v>108</v>
      </c>
      <c r="HO77" s="112">
        <v>106</v>
      </c>
      <c r="HP77" s="112"/>
      <c r="HQ77" s="112">
        <v>155</v>
      </c>
      <c r="HR77" s="112">
        <v>138</v>
      </c>
      <c r="HS77" s="112">
        <v>170</v>
      </c>
      <c r="HT77" s="112">
        <v>193</v>
      </c>
      <c r="HU77" s="117"/>
    </row>
    <row r="78" spans="1:229" x14ac:dyDescent="0.2">
      <c r="A78" s="93">
        <v>75</v>
      </c>
      <c r="B78" s="98" t="s">
        <v>142</v>
      </c>
      <c r="C78" s="99">
        <v>9827</v>
      </c>
      <c r="D78" s="99">
        <v>9624</v>
      </c>
      <c r="E78" s="99">
        <v>9661</v>
      </c>
      <c r="F78" s="99">
        <v>9629</v>
      </c>
      <c r="G78" s="99">
        <v>9726</v>
      </c>
      <c r="H78" s="99">
        <v>3832</v>
      </c>
      <c r="I78" s="99">
        <v>3873</v>
      </c>
      <c r="J78" s="99">
        <v>3873</v>
      </c>
      <c r="K78" s="99">
        <v>3877</v>
      </c>
      <c r="L78" s="99">
        <v>3726</v>
      </c>
      <c r="M78" s="100">
        <v>24.368743463319888</v>
      </c>
      <c r="N78" s="100">
        <v>24.992343032159265</v>
      </c>
      <c r="O78" s="101">
        <v>25.260736196319016</v>
      </c>
      <c r="P78" s="101">
        <v>25.054500155714731</v>
      </c>
      <c r="Q78" s="102">
        <v>24.875389408099689</v>
      </c>
      <c r="R78" s="100">
        <v>22.456297624383684</v>
      </c>
      <c r="S78" s="100">
        <v>22.38897396630934</v>
      </c>
      <c r="T78" s="100">
        <v>22.914110429447852</v>
      </c>
      <c r="U78" s="100">
        <v>24.883213952039863</v>
      </c>
      <c r="V78" s="100">
        <v>26.619937694704049</v>
      </c>
      <c r="W78" s="100">
        <v>46.825041087703575</v>
      </c>
      <c r="X78" s="100">
        <v>47.381316998468606</v>
      </c>
      <c r="Y78" s="100">
        <v>48.174846625766868</v>
      </c>
      <c r="Z78" s="100">
        <v>49.937714107754594</v>
      </c>
      <c r="AA78" s="100">
        <v>51.495327102803735</v>
      </c>
      <c r="AB78" s="100" t="s">
        <v>191</v>
      </c>
      <c r="AC78" s="100">
        <v>3.9</v>
      </c>
      <c r="AD78" s="100">
        <v>4.5999999999999996</v>
      </c>
      <c r="AE78" s="100">
        <v>5.6</v>
      </c>
      <c r="AF78" s="100">
        <v>5.4</v>
      </c>
      <c r="AG78" s="99">
        <v>125.66666666666667</v>
      </c>
      <c r="AH78" s="99">
        <v>136.75</v>
      </c>
      <c r="AI78" s="104">
        <v>154.33333333333334</v>
      </c>
      <c r="AJ78" s="104">
        <v>185.08333333333334</v>
      </c>
      <c r="AK78" s="105">
        <v>237.41666666666666</v>
      </c>
      <c r="AL78" s="106">
        <v>9268</v>
      </c>
      <c r="AM78" s="106">
        <v>150</v>
      </c>
      <c r="AN78" s="106">
        <v>116</v>
      </c>
      <c r="AO78" s="106">
        <v>177</v>
      </c>
      <c r="AP78" s="106">
        <v>0</v>
      </c>
      <c r="AQ78" s="106">
        <v>141</v>
      </c>
      <c r="AR78" s="106">
        <v>9110</v>
      </c>
      <c r="AS78" s="106">
        <v>76</v>
      </c>
      <c r="AT78" s="106">
        <v>89</v>
      </c>
      <c r="AU78" s="106">
        <v>151</v>
      </c>
      <c r="AV78" s="106">
        <v>171</v>
      </c>
      <c r="AW78" s="106">
        <v>337</v>
      </c>
      <c r="AX78" s="107">
        <v>28985</v>
      </c>
      <c r="AY78" s="107">
        <v>29831</v>
      </c>
      <c r="AZ78" s="107">
        <v>32374</v>
      </c>
      <c r="BA78" s="107">
        <v>40186</v>
      </c>
      <c r="BB78" s="107">
        <v>37460</v>
      </c>
      <c r="BC78" s="107">
        <v>42916</v>
      </c>
      <c r="BD78" s="107">
        <v>43309</v>
      </c>
      <c r="BE78" s="107">
        <v>44888</v>
      </c>
      <c r="BF78" s="108">
        <v>49847</v>
      </c>
      <c r="BG78" s="108">
        <v>53889</v>
      </c>
      <c r="BH78" s="100">
        <v>11.9</v>
      </c>
      <c r="BI78" s="100">
        <v>13.7</v>
      </c>
      <c r="BJ78" s="100">
        <v>13.4</v>
      </c>
      <c r="BK78" s="100">
        <v>12.3</v>
      </c>
      <c r="BL78" s="100">
        <v>12.1</v>
      </c>
      <c r="BM78" s="100">
        <v>9.3000000000000007</v>
      </c>
      <c r="BN78" s="109">
        <v>9.6</v>
      </c>
      <c r="BO78" s="109">
        <v>9.9</v>
      </c>
      <c r="BP78" s="109">
        <v>9</v>
      </c>
      <c r="BQ78" s="100">
        <v>10.199999999999999</v>
      </c>
      <c r="BR78" s="106">
        <v>1370</v>
      </c>
      <c r="BS78" s="118">
        <v>1397</v>
      </c>
      <c r="BT78" s="118">
        <v>1489</v>
      </c>
      <c r="BU78" s="110">
        <v>1411</v>
      </c>
      <c r="BV78" s="100">
        <v>26.569343065693431</v>
      </c>
      <c r="BW78" s="100">
        <v>27.201145311381531</v>
      </c>
      <c r="BX78" s="100">
        <v>29.214237743451982</v>
      </c>
      <c r="BY78" s="103">
        <v>29.128277817150956</v>
      </c>
      <c r="BZ78" s="100">
        <v>1.6788321167883213</v>
      </c>
      <c r="CA78" s="100">
        <v>1.8611309949892625</v>
      </c>
      <c r="CB78" s="100">
        <v>1.0745466756212223</v>
      </c>
      <c r="CC78" s="103">
        <v>1.559177888022679</v>
      </c>
      <c r="CD78" s="100">
        <v>19.051094890510949</v>
      </c>
      <c r="CE78" s="100">
        <v>19.398711524695777</v>
      </c>
      <c r="CF78" s="100">
        <v>19.140362659503023</v>
      </c>
      <c r="CG78" s="103">
        <v>19.489723600283487</v>
      </c>
      <c r="CH78" s="100">
        <v>88.793103448275858</v>
      </c>
      <c r="CI78" s="105">
        <v>88.37</v>
      </c>
      <c r="CJ78" s="111">
        <v>95.93</v>
      </c>
      <c r="CK78" s="111">
        <v>89.473684210526315</v>
      </c>
      <c r="CL78" s="112">
        <v>474</v>
      </c>
      <c r="CM78" s="112">
        <v>525</v>
      </c>
      <c r="CN78" s="112">
        <v>506</v>
      </c>
      <c r="CO78" s="112">
        <v>600</v>
      </c>
      <c r="CP78" s="112"/>
      <c r="CQ78" s="113">
        <v>9.0790683420165497</v>
      </c>
      <c r="CR78" s="113">
        <v>10.396657227162009</v>
      </c>
      <c r="CS78" s="113">
        <v>10.218506401712508</v>
      </c>
      <c r="CT78" s="113">
        <v>12.379557224503269</v>
      </c>
      <c r="CU78" s="112"/>
      <c r="CV78" s="114">
        <v>4.0772532188841204</v>
      </c>
      <c r="CW78" s="114">
        <v>3.125</v>
      </c>
      <c r="CX78" s="114">
        <v>5.4216867469879517</v>
      </c>
      <c r="CY78" s="114">
        <v>3.2423208191126278</v>
      </c>
      <c r="CZ78" s="112"/>
      <c r="DA78" s="113">
        <v>6.6964285714285712</v>
      </c>
      <c r="DB78" s="113">
        <v>6.5346534653465342</v>
      </c>
      <c r="DC78" s="113">
        <v>6.2370062370062369</v>
      </c>
      <c r="DD78" s="113">
        <v>6.7010309278350517</v>
      </c>
      <c r="DE78" s="112"/>
      <c r="DF78" s="113">
        <v>80.392156862745097</v>
      </c>
      <c r="DG78" s="113">
        <v>78.805394990366082</v>
      </c>
      <c r="DH78" s="113">
        <v>89.442231075697208</v>
      </c>
      <c r="DI78" s="113">
        <v>91.80602006688963</v>
      </c>
      <c r="DJ78" s="112"/>
      <c r="DK78" s="114">
        <v>7.7611940298507465</v>
      </c>
      <c r="DL78" s="114">
        <v>7.3217726396917149</v>
      </c>
      <c r="DM78" s="114">
        <v>6.9721115537848606</v>
      </c>
      <c r="DN78" s="114">
        <v>8.8333333333333339</v>
      </c>
      <c r="DO78" s="112"/>
      <c r="DP78" s="113">
        <v>12.236286919831224</v>
      </c>
      <c r="DQ78" s="113">
        <v>18.476190476190474</v>
      </c>
      <c r="DR78" s="113">
        <v>18.57707509881423</v>
      </c>
      <c r="DS78" s="113">
        <v>21.333333333333332</v>
      </c>
      <c r="DT78" s="112"/>
      <c r="DU78" s="115">
        <v>4</v>
      </c>
      <c r="DV78" s="115">
        <v>6</v>
      </c>
      <c r="DW78" s="115">
        <v>4</v>
      </c>
      <c r="DX78" s="115">
        <v>3</v>
      </c>
      <c r="DY78" s="112"/>
      <c r="DZ78" s="116">
        <v>0</v>
      </c>
      <c r="EA78" s="116">
        <v>3.8759689922480618</v>
      </c>
      <c r="EB78" s="116">
        <v>0</v>
      </c>
      <c r="EC78" s="116">
        <v>0</v>
      </c>
      <c r="ED78" s="112"/>
      <c r="EE78" s="113">
        <v>89.075630252100837</v>
      </c>
      <c r="EF78" s="113">
        <v>1.680672268907563</v>
      </c>
      <c r="EG78" s="113">
        <v>1.680672268907563</v>
      </c>
      <c r="EH78" s="113">
        <v>0.84033613445378152</v>
      </c>
      <c r="EI78" s="113">
        <v>7.5630252100840334</v>
      </c>
      <c r="EJ78" s="113">
        <v>11.402902557014512</v>
      </c>
      <c r="EK78" s="113"/>
      <c r="EL78" s="115">
        <v>477</v>
      </c>
      <c r="EM78" s="115">
        <v>479</v>
      </c>
      <c r="EN78" s="115">
        <v>386</v>
      </c>
      <c r="EO78" s="115">
        <v>453</v>
      </c>
      <c r="EP78" s="112"/>
      <c r="EQ78" s="114">
        <v>913.65307998774131</v>
      </c>
      <c r="ER78" s="114">
        <v>948.57120224963865</v>
      </c>
      <c r="ES78" s="114">
        <v>779.51451997253525</v>
      </c>
      <c r="ET78" s="114">
        <v>934.65657044999693</v>
      </c>
      <c r="EU78" s="112"/>
      <c r="EV78" s="113">
        <v>717.11930993999999</v>
      </c>
      <c r="EW78" s="113">
        <v>694.48019840999996</v>
      </c>
      <c r="EX78" s="113">
        <v>532.77588351999998</v>
      </c>
      <c r="EY78" s="113">
        <v>619.88008029000002</v>
      </c>
      <c r="EZ78" s="112"/>
      <c r="FA78" s="115">
        <v>167</v>
      </c>
      <c r="FB78" s="115">
        <v>114</v>
      </c>
      <c r="FC78" s="115">
        <v>90</v>
      </c>
      <c r="FD78" s="115">
        <v>95</v>
      </c>
      <c r="FE78" s="112"/>
      <c r="FF78" s="115">
        <v>107</v>
      </c>
      <c r="FG78" s="115">
        <v>96</v>
      </c>
      <c r="FH78" s="115">
        <v>105</v>
      </c>
      <c r="FI78" s="115">
        <v>99</v>
      </c>
      <c r="FJ78" s="112"/>
      <c r="FK78" s="115">
        <v>39</v>
      </c>
      <c r="FL78" s="115">
        <v>34</v>
      </c>
      <c r="FM78" s="115">
        <v>33</v>
      </c>
      <c r="FN78" s="115">
        <v>27</v>
      </c>
      <c r="FO78" s="112"/>
      <c r="FP78" s="115">
        <v>16</v>
      </c>
      <c r="FQ78" s="115">
        <v>25</v>
      </c>
      <c r="FR78" s="115">
        <v>21</v>
      </c>
      <c r="FS78" s="115">
        <v>29</v>
      </c>
      <c r="FT78" s="112"/>
      <c r="FU78" s="113">
        <v>237.00400715999999</v>
      </c>
      <c r="FV78" s="113">
        <v>158.84428136</v>
      </c>
      <c r="FW78" s="113">
        <v>112.94337706</v>
      </c>
      <c r="FX78" s="113">
        <v>118.41869918</v>
      </c>
      <c r="FY78" s="112"/>
      <c r="FZ78" s="113">
        <v>171.16944361</v>
      </c>
      <c r="GA78" s="113">
        <v>157.75508551999999</v>
      </c>
      <c r="GB78" s="113">
        <v>157.85348058</v>
      </c>
      <c r="GC78" s="113">
        <v>148.40714635</v>
      </c>
      <c r="GD78" s="112"/>
      <c r="GE78" s="113">
        <v>53.061853130000003</v>
      </c>
      <c r="GF78" s="113">
        <v>44.868748949999997</v>
      </c>
      <c r="GG78" s="113">
        <v>42.013734200000002</v>
      </c>
      <c r="GH78" s="113">
        <v>32.913696539999997</v>
      </c>
      <c r="GI78" s="112"/>
      <c r="GJ78" s="113" t="s">
        <v>46</v>
      </c>
      <c r="GK78" s="113">
        <v>41.967924330000002</v>
      </c>
      <c r="GL78" s="113">
        <v>32.179512719999998</v>
      </c>
      <c r="GM78" s="113">
        <v>53.19226175</v>
      </c>
      <c r="GN78" s="112"/>
      <c r="GO78" s="113">
        <v>935.61030977999997</v>
      </c>
      <c r="GP78" s="113">
        <v>853.62518251999995</v>
      </c>
      <c r="GQ78" s="113">
        <v>626.38433667000004</v>
      </c>
      <c r="GR78" s="113">
        <v>727.23318297000003</v>
      </c>
      <c r="GS78" s="112"/>
      <c r="GT78" s="113">
        <v>566.52596525000001</v>
      </c>
      <c r="GU78" s="113">
        <v>586.47139604999995</v>
      </c>
      <c r="GV78" s="113">
        <v>451.33663663999999</v>
      </c>
      <c r="GW78" s="113">
        <v>527.10838754999997</v>
      </c>
      <c r="GX78" s="112"/>
      <c r="GY78" s="112"/>
      <c r="GZ78" s="112"/>
      <c r="HA78" s="112"/>
      <c r="HB78" s="112"/>
      <c r="HC78" s="112"/>
      <c r="HD78" s="115">
        <v>111</v>
      </c>
      <c r="HE78" s="115">
        <v>0</v>
      </c>
      <c r="HF78" s="115">
        <v>0</v>
      </c>
      <c r="HG78" s="115">
        <v>0</v>
      </c>
      <c r="HH78" s="115">
        <v>0</v>
      </c>
      <c r="HI78" s="114" t="s">
        <v>46</v>
      </c>
      <c r="HJ78" s="114">
        <v>9.9781727471156838</v>
      </c>
      <c r="HK78" s="113">
        <v>8.0370942812982999</v>
      </c>
      <c r="HL78" s="112">
        <v>19</v>
      </c>
      <c r="HM78" s="112">
        <v>16</v>
      </c>
      <c r="HN78" s="112">
        <v>27</v>
      </c>
      <c r="HO78" s="112">
        <v>19</v>
      </c>
      <c r="HP78" s="112"/>
      <c r="HQ78" s="112">
        <v>30</v>
      </c>
      <c r="HR78" s="112">
        <v>33</v>
      </c>
      <c r="HS78" s="112">
        <v>30</v>
      </c>
      <c r="HT78" s="112">
        <v>39</v>
      </c>
      <c r="HU78" s="117"/>
    </row>
    <row r="79" spans="1:229" x14ac:dyDescent="0.2">
      <c r="A79" s="93">
        <v>76</v>
      </c>
      <c r="B79" s="98" t="s">
        <v>143</v>
      </c>
      <c r="C79" s="99">
        <v>10307</v>
      </c>
      <c r="D79" s="99">
        <v>11192</v>
      </c>
      <c r="E79" s="99">
        <v>11035</v>
      </c>
      <c r="F79" s="99">
        <v>10823</v>
      </c>
      <c r="G79" s="99">
        <v>9783</v>
      </c>
      <c r="H79" s="99">
        <v>4301</v>
      </c>
      <c r="I79" s="99">
        <v>4304</v>
      </c>
      <c r="J79" s="99">
        <v>4310</v>
      </c>
      <c r="K79" s="99">
        <v>4289</v>
      </c>
      <c r="L79" s="99">
        <v>4236</v>
      </c>
      <c r="M79" s="100">
        <v>31.988204252677328</v>
      </c>
      <c r="N79" s="100">
        <v>27.546763558067553</v>
      </c>
      <c r="O79" s="101">
        <v>27.998357064622127</v>
      </c>
      <c r="P79" s="101">
        <v>27.547434996486295</v>
      </c>
      <c r="Q79" s="102">
        <v>32.372797628849007</v>
      </c>
      <c r="R79" s="100">
        <v>27.983858451032127</v>
      </c>
      <c r="S79" s="100">
        <v>23.065536266989639</v>
      </c>
      <c r="T79" s="100">
        <v>23.083242059145672</v>
      </c>
      <c r="U79" s="100">
        <v>24.567814476458185</v>
      </c>
      <c r="V79" s="100">
        <v>28.717273176354354</v>
      </c>
      <c r="W79" s="100">
        <v>59.972062703709447</v>
      </c>
      <c r="X79" s="100">
        <v>50.612299825057192</v>
      </c>
      <c r="Y79" s="100">
        <v>51.081599123767795</v>
      </c>
      <c r="Z79" s="100">
        <v>52.115249472944484</v>
      </c>
      <c r="AA79" s="100">
        <v>61.090070805203361</v>
      </c>
      <c r="AB79" s="100" t="s">
        <v>184</v>
      </c>
      <c r="AC79" s="100">
        <v>5.0999999999999996</v>
      </c>
      <c r="AD79" s="100">
        <v>6.1</v>
      </c>
      <c r="AE79" s="100">
        <v>7.4</v>
      </c>
      <c r="AF79" s="100">
        <v>7.4</v>
      </c>
      <c r="AG79" s="99">
        <v>205.75</v>
      </c>
      <c r="AH79" s="99">
        <v>205.08333333333334</v>
      </c>
      <c r="AI79" s="104">
        <v>230.83333333333334</v>
      </c>
      <c r="AJ79" s="104">
        <v>283</v>
      </c>
      <c r="AK79" s="105">
        <v>349.16666666666669</v>
      </c>
      <c r="AL79" s="106">
        <v>9748</v>
      </c>
      <c r="AM79" s="106">
        <v>172</v>
      </c>
      <c r="AN79" s="106">
        <v>54</v>
      </c>
      <c r="AO79" s="106">
        <v>193</v>
      </c>
      <c r="AP79" s="106">
        <v>0</v>
      </c>
      <c r="AQ79" s="106">
        <v>339</v>
      </c>
      <c r="AR79" s="106">
        <v>9453</v>
      </c>
      <c r="AS79" s="106">
        <v>49</v>
      </c>
      <c r="AT79" s="106">
        <v>36</v>
      </c>
      <c r="AU79" s="106">
        <v>24</v>
      </c>
      <c r="AV79" s="106">
        <v>92</v>
      </c>
      <c r="AW79" s="106">
        <v>350</v>
      </c>
      <c r="AX79" s="107">
        <v>25986</v>
      </c>
      <c r="AY79" s="107">
        <v>24017</v>
      </c>
      <c r="AZ79" s="107">
        <v>26206</v>
      </c>
      <c r="BA79" s="107">
        <v>31241</v>
      </c>
      <c r="BB79" s="107">
        <v>32257</v>
      </c>
      <c r="BC79" s="107">
        <v>38277</v>
      </c>
      <c r="BD79" s="107">
        <v>39761</v>
      </c>
      <c r="BE79" s="107">
        <v>40499</v>
      </c>
      <c r="BF79" s="108">
        <v>43628</v>
      </c>
      <c r="BG79" s="108">
        <v>44451</v>
      </c>
      <c r="BH79" s="100">
        <v>9.6999999999999993</v>
      </c>
      <c r="BI79" s="100">
        <v>10.7</v>
      </c>
      <c r="BJ79" s="100">
        <v>11.7</v>
      </c>
      <c r="BK79" s="100">
        <v>11.7</v>
      </c>
      <c r="BL79" s="100">
        <v>11.4</v>
      </c>
      <c r="BM79" s="100">
        <v>10.9</v>
      </c>
      <c r="BN79" s="109">
        <v>12.4</v>
      </c>
      <c r="BO79" s="109">
        <v>11.7</v>
      </c>
      <c r="BP79" s="109">
        <v>11.9</v>
      </c>
      <c r="BQ79" s="100">
        <v>13.3</v>
      </c>
      <c r="BR79" s="106">
        <v>1540</v>
      </c>
      <c r="BS79" s="118">
        <v>1535</v>
      </c>
      <c r="BT79" s="118">
        <v>1507</v>
      </c>
      <c r="BU79" s="110">
        <v>1527</v>
      </c>
      <c r="BV79" s="100">
        <v>30.974025974025977</v>
      </c>
      <c r="BW79" s="100">
        <v>32.11726384364821</v>
      </c>
      <c r="BX79" s="100">
        <v>34.771068347710681</v>
      </c>
      <c r="BY79" s="103">
        <v>37.917485265225935</v>
      </c>
      <c r="BZ79" s="100">
        <v>1.4935064935064934</v>
      </c>
      <c r="CA79" s="100">
        <v>1.3029315960912053</v>
      </c>
      <c r="CB79" s="100">
        <v>1.3934970139349701</v>
      </c>
      <c r="CC79" s="103">
        <v>1.7026850032743943</v>
      </c>
      <c r="CD79" s="100">
        <v>15.909090909090908</v>
      </c>
      <c r="CE79" s="100">
        <v>15.895765472312704</v>
      </c>
      <c r="CF79" s="100">
        <v>14.863968148639682</v>
      </c>
      <c r="CG79" s="103">
        <v>15.324165029469548</v>
      </c>
      <c r="CH79" s="100">
        <v>82.236842105263165</v>
      </c>
      <c r="CI79" s="105">
        <v>81.37</v>
      </c>
      <c r="CJ79" s="111">
        <v>86.11</v>
      </c>
      <c r="CK79" s="111">
        <v>82.065217391304344</v>
      </c>
      <c r="CL79" s="112">
        <v>626</v>
      </c>
      <c r="CM79" s="112">
        <v>644</v>
      </c>
      <c r="CN79" s="112">
        <v>593</v>
      </c>
      <c r="CO79" s="112">
        <v>554</v>
      </c>
      <c r="CP79" s="112"/>
      <c r="CQ79" s="113">
        <v>11.746383202296737</v>
      </c>
      <c r="CR79" s="113">
        <v>11.543908078943122</v>
      </c>
      <c r="CS79" s="113">
        <v>10.278721486514595</v>
      </c>
      <c r="CT79" s="113">
        <v>10.425291682348513</v>
      </c>
      <c r="CU79" s="112"/>
      <c r="CV79" s="114">
        <v>2.7777777777777777</v>
      </c>
      <c r="CW79" s="114">
        <v>4.5597484276729556</v>
      </c>
      <c r="CX79" s="114">
        <v>3.8394415357766145</v>
      </c>
      <c r="CY79" s="114">
        <v>4.066543438077634</v>
      </c>
      <c r="CZ79" s="112"/>
      <c r="DA79" s="113">
        <v>4.3844856661045535</v>
      </c>
      <c r="DB79" s="113">
        <v>4.9342105263157894</v>
      </c>
      <c r="DC79" s="113">
        <v>7.0370370370370372</v>
      </c>
      <c r="DD79" s="113">
        <v>5.5555555555555554</v>
      </c>
      <c r="DE79" s="112"/>
      <c r="DF79" s="113">
        <v>85.18518518518519</v>
      </c>
      <c r="DG79" s="113">
        <v>84.591194968553452</v>
      </c>
      <c r="DH79" s="113">
        <v>88.074957410562178</v>
      </c>
      <c r="DI79" s="113">
        <v>92.095588235294116</v>
      </c>
      <c r="DJ79" s="112"/>
      <c r="DK79" s="114">
        <v>12.126245847176079</v>
      </c>
      <c r="DL79" s="114">
        <v>18.068535825545172</v>
      </c>
      <c r="DM79" s="114">
        <v>18.228279386712096</v>
      </c>
      <c r="DN79" s="114">
        <v>17.179023508137433</v>
      </c>
      <c r="DO79" s="112"/>
      <c r="DP79" s="113">
        <v>16.613418530351439</v>
      </c>
      <c r="DQ79" s="113">
        <v>24.06832298136646</v>
      </c>
      <c r="DR79" s="113">
        <v>25.463743676222595</v>
      </c>
      <c r="DS79" s="113">
        <v>30.505415162454874</v>
      </c>
      <c r="DT79" s="112"/>
      <c r="DU79" s="115">
        <v>3</v>
      </c>
      <c r="DV79" s="115">
        <v>1</v>
      </c>
      <c r="DW79" s="115">
        <v>3</v>
      </c>
      <c r="DX79" s="115">
        <v>4</v>
      </c>
      <c r="DY79" s="112"/>
      <c r="DZ79" s="116">
        <v>2.63</v>
      </c>
      <c r="EA79" s="116">
        <v>1.2422360248447204</v>
      </c>
      <c r="EB79" s="116">
        <v>1.39</v>
      </c>
      <c r="EC79" s="116">
        <v>1.6304347826086956</v>
      </c>
      <c r="ED79" s="112"/>
      <c r="EE79" s="113">
        <v>93.442622950819668</v>
      </c>
      <c r="EF79" s="113">
        <v>0</v>
      </c>
      <c r="EG79" s="113">
        <v>2.459016393442623</v>
      </c>
      <c r="EH79" s="113">
        <v>0.81967213114754101</v>
      </c>
      <c r="EI79" s="113">
        <v>10.655737704918034</v>
      </c>
      <c r="EJ79" s="113">
        <v>28.535980148883375</v>
      </c>
      <c r="EK79" s="113"/>
      <c r="EL79" s="115">
        <v>728</v>
      </c>
      <c r="EM79" s="115">
        <v>684</v>
      </c>
      <c r="EN79" s="115">
        <v>603</v>
      </c>
      <c r="EO79" s="115">
        <v>579</v>
      </c>
      <c r="EP79" s="112"/>
      <c r="EQ79" s="114">
        <v>1366.0330625035183</v>
      </c>
      <c r="ER79" s="114">
        <v>1226.092100310108</v>
      </c>
      <c r="ES79" s="114">
        <v>1045.2055744297304</v>
      </c>
      <c r="ET79" s="114">
        <v>1089.5747083176516</v>
      </c>
      <c r="EU79" s="112"/>
      <c r="EV79" s="113">
        <v>860.42086427000004</v>
      </c>
      <c r="EW79" s="113">
        <v>767.67407513000001</v>
      </c>
      <c r="EX79" s="113">
        <v>639.57644716000004</v>
      </c>
      <c r="EY79" s="113">
        <v>635.11487983999996</v>
      </c>
      <c r="EZ79" s="112"/>
      <c r="FA79" s="115">
        <v>273</v>
      </c>
      <c r="FB79" s="115">
        <v>220</v>
      </c>
      <c r="FC79" s="115">
        <v>158</v>
      </c>
      <c r="FD79" s="115">
        <v>154</v>
      </c>
      <c r="FE79" s="112"/>
      <c r="FF79" s="115">
        <v>168</v>
      </c>
      <c r="FG79" s="115">
        <v>164</v>
      </c>
      <c r="FH79" s="115">
        <v>144</v>
      </c>
      <c r="FI79" s="115">
        <v>141</v>
      </c>
      <c r="FJ79" s="112"/>
      <c r="FK79" s="115">
        <v>60</v>
      </c>
      <c r="FL79" s="115">
        <v>61</v>
      </c>
      <c r="FM79" s="115">
        <v>57</v>
      </c>
      <c r="FN79" s="115">
        <v>31</v>
      </c>
      <c r="FO79" s="112"/>
      <c r="FP79" s="115">
        <v>29</v>
      </c>
      <c r="FQ79" s="115">
        <v>25</v>
      </c>
      <c r="FR79" s="115">
        <v>22</v>
      </c>
      <c r="FS79" s="115">
        <v>27</v>
      </c>
      <c r="FT79" s="112"/>
      <c r="FU79" s="113">
        <v>299.75556409000001</v>
      </c>
      <c r="FV79" s="113">
        <v>233.59747734000001</v>
      </c>
      <c r="FW79" s="113">
        <v>155.94841027000001</v>
      </c>
      <c r="FX79" s="113">
        <v>150.72170844999999</v>
      </c>
      <c r="FY79" s="112"/>
      <c r="FZ79" s="113">
        <v>217.12105201</v>
      </c>
      <c r="GA79" s="113">
        <v>197.76149150000001</v>
      </c>
      <c r="GB79" s="113">
        <v>176.09469511</v>
      </c>
      <c r="GC79" s="113">
        <v>181.97517869999999</v>
      </c>
      <c r="GD79" s="112"/>
      <c r="GE79" s="113">
        <v>63.867704549999999</v>
      </c>
      <c r="GF79" s="113">
        <v>65.329034730000004</v>
      </c>
      <c r="GG79" s="113">
        <v>51.282451899999998</v>
      </c>
      <c r="GH79" s="113">
        <v>29.568721490000001</v>
      </c>
      <c r="GI79" s="112"/>
      <c r="GJ79" s="113">
        <v>47.324842580000002</v>
      </c>
      <c r="GK79" s="113">
        <v>29.464525210000001</v>
      </c>
      <c r="GL79" s="113">
        <v>31.910276660000001</v>
      </c>
      <c r="GM79" s="113">
        <v>41.840279029999998</v>
      </c>
      <c r="GN79" s="112"/>
      <c r="GO79" s="113">
        <v>1135.1639056500001</v>
      </c>
      <c r="GP79" s="113">
        <v>958.40376498000001</v>
      </c>
      <c r="GQ79" s="113">
        <v>820.75432038999998</v>
      </c>
      <c r="GR79" s="113">
        <v>737.99864174000004</v>
      </c>
      <c r="GS79" s="112"/>
      <c r="GT79" s="113">
        <v>650.84498431999998</v>
      </c>
      <c r="GU79" s="113">
        <v>620.61585490000004</v>
      </c>
      <c r="GV79" s="113">
        <v>512.80727299</v>
      </c>
      <c r="GW79" s="113">
        <v>550.18717981999998</v>
      </c>
      <c r="GX79" s="112"/>
      <c r="GY79" s="112"/>
      <c r="GZ79" s="112"/>
      <c r="HA79" s="112"/>
      <c r="HB79" s="112"/>
      <c r="HC79" s="112"/>
      <c r="HD79" s="115">
        <v>117</v>
      </c>
      <c r="HE79" s="115">
        <v>0</v>
      </c>
      <c r="HF79" s="115">
        <v>1</v>
      </c>
      <c r="HG79" s="115">
        <v>0</v>
      </c>
      <c r="HH79" s="115">
        <v>0</v>
      </c>
      <c r="HI79" s="114">
        <v>38.435140700068636</v>
      </c>
      <c r="HJ79" s="114">
        <v>31.812725090036015</v>
      </c>
      <c r="HK79" s="113">
        <v>27.256208358570564</v>
      </c>
      <c r="HL79" s="112">
        <v>17</v>
      </c>
      <c r="HM79" s="112">
        <v>29</v>
      </c>
      <c r="HN79" s="112">
        <v>22</v>
      </c>
      <c r="HO79" s="112">
        <v>22</v>
      </c>
      <c r="HP79" s="112"/>
      <c r="HQ79" s="112">
        <v>26</v>
      </c>
      <c r="HR79" s="112">
        <v>30</v>
      </c>
      <c r="HS79" s="112">
        <v>38</v>
      </c>
      <c r="HT79" s="112">
        <v>28</v>
      </c>
      <c r="HU79" s="117"/>
    </row>
    <row r="80" spans="1:229" ht="21" customHeight="1" x14ac:dyDescent="0.2">
      <c r="A80" s="93">
        <v>77</v>
      </c>
      <c r="B80" s="98" t="s">
        <v>144</v>
      </c>
      <c r="C80" s="99">
        <v>24375</v>
      </c>
      <c r="D80" s="99">
        <v>24029</v>
      </c>
      <c r="E80" s="99">
        <v>23917</v>
      </c>
      <c r="F80" s="99">
        <v>23869</v>
      </c>
      <c r="G80" s="99">
        <v>24895</v>
      </c>
      <c r="H80" s="99">
        <v>9709</v>
      </c>
      <c r="I80" s="99">
        <v>9728</v>
      </c>
      <c r="J80" s="99">
        <v>9764</v>
      </c>
      <c r="K80" s="99">
        <v>9784</v>
      </c>
      <c r="L80" s="99">
        <v>9756</v>
      </c>
      <c r="M80" s="100">
        <v>24.625321377061514</v>
      </c>
      <c r="N80" s="100">
        <v>25.27697726544989</v>
      </c>
      <c r="O80" s="101">
        <v>25.872769588828547</v>
      </c>
      <c r="P80" s="101">
        <v>26.776137191286498</v>
      </c>
      <c r="Q80" s="102">
        <v>27.887342098478989</v>
      </c>
      <c r="R80" s="100">
        <v>28.224744466043774</v>
      </c>
      <c r="S80" s="100">
        <v>28.607108549471661</v>
      </c>
      <c r="T80" s="100">
        <v>28.749676752004138</v>
      </c>
      <c r="U80" s="100">
        <v>31.265311527511091</v>
      </c>
      <c r="V80" s="100">
        <v>32.559938128383607</v>
      </c>
      <c r="W80" s="100">
        <v>52.850065843105284</v>
      </c>
      <c r="X80" s="100">
        <v>53.884085814921548</v>
      </c>
      <c r="Y80" s="100">
        <v>54.622446340832688</v>
      </c>
      <c r="Z80" s="100">
        <v>58.041448718797589</v>
      </c>
      <c r="AA80" s="100">
        <v>60.447280226862595</v>
      </c>
      <c r="AB80" s="100" t="s">
        <v>194</v>
      </c>
      <c r="AC80" s="100">
        <v>5.5</v>
      </c>
      <c r="AD80" s="100">
        <v>6.6</v>
      </c>
      <c r="AE80" s="100">
        <v>9.3000000000000007</v>
      </c>
      <c r="AF80" s="100">
        <v>7.9</v>
      </c>
      <c r="AG80" s="99">
        <v>623.66666666666663</v>
      </c>
      <c r="AH80" s="99">
        <v>613.16666666666663</v>
      </c>
      <c r="AI80" s="104">
        <v>674.08333333333337</v>
      </c>
      <c r="AJ80" s="104">
        <v>835.91666666666663</v>
      </c>
      <c r="AK80" s="105">
        <v>929.75</v>
      </c>
      <c r="AL80" s="106">
        <v>23869</v>
      </c>
      <c r="AM80" s="106">
        <v>51</v>
      </c>
      <c r="AN80" s="106">
        <v>152</v>
      </c>
      <c r="AO80" s="106">
        <v>103</v>
      </c>
      <c r="AP80" s="106">
        <v>0</v>
      </c>
      <c r="AQ80" s="106">
        <v>854</v>
      </c>
      <c r="AR80" s="106">
        <v>23727</v>
      </c>
      <c r="AS80" s="106">
        <v>94</v>
      </c>
      <c r="AT80" s="106">
        <v>87</v>
      </c>
      <c r="AU80" s="106">
        <v>147</v>
      </c>
      <c r="AV80" s="106">
        <v>324</v>
      </c>
      <c r="AW80" s="106">
        <v>1288</v>
      </c>
      <c r="AX80" s="107">
        <v>23073</v>
      </c>
      <c r="AY80" s="107">
        <v>23834</v>
      </c>
      <c r="AZ80" s="107">
        <v>25017</v>
      </c>
      <c r="BA80" s="107">
        <v>28176</v>
      </c>
      <c r="BB80" s="107">
        <v>28325</v>
      </c>
      <c r="BC80" s="107">
        <v>37095</v>
      </c>
      <c r="BD80" s="107">
        <v>39662</v>
      </c>
      <c r="BE80" s="107">
        <v>39655</v>
      </c>
      <c r="BF80" s="108">
        <v>42325</v>
      </c>
      <c r="BG80" s="108">
        <v>41643</v>
      </c>
      <c r="BH80" s="100">
        <v>12</v>
      </c>
      <c r="BI80" s="100">
        <v>14</v>
      </c>
      <c r="BJ80" s="100">
        <v>13.5</v>
      </c>
      <c r="BK80" s="100">
        <v>13.4</v>
      </c>
      <c r="BL80" s="100">
        <v>14.7</v>
      </c>
      <c r="BM80" s="100">
        <v>16.399999999999999</v>
      </c>
      <c r="BN80" s="109">
        <v>18.600000000000001</v>
      </c>
      <c r="BO80" s="109">
        <v>20.100000000000001</v>
      </c>
      <c r="BP80" s="109">
        <v>19.3</v>
      </c>
      <c r="BQ80" s="100">
        <v>21</v>
      </c>
      <c r="BR80" s="106">
        <v>4140</v>
      </c>
      <c r="BS80" s="118">
        <v>4044</v>
      </c>
      <c r="BT80" s="118">
        <v>3775</v>
      </c>
      <c r="BU80" s="110">
        <v>3689</v>
      </c>
      <c r="BV80" s="100">
        <v>55.314009661835748</v>
      </c>
      <c r="BW80" s="100">
        <v>53.90702274975272</v>
      </c>
      <c r="BX80" s="100">
        <v>59.47019867549669</v>
      </c>
      <c r="BY80" s="103">
        <v>58.010300894551371</v>
      </c>
      <c r="BZ80" s="100">
        <v>5.0724637681159424</v>
      </c>
      <c r="CA80" s="100">
        <v>5.1434223541048461</v>
      </c>
      <c r="CB80" s="100">
        <v>5.7483443708609272</v>
      </c>
      <c r="CC80" s="103">
        <v>6.397397668744917</v>
      </c>
      <c r="CD80" s="100">
        <v>18.067632850241548</v>
      </c>
      <c r="CE80" s="100">
        <v>19.164193867457964</v>
      </c>
      <c r="CF80" s="100">
        <v>17.85430463576159</v>
      </c>
      <c r="CG80" s="103">
        <v>17.538628354567635</v>
      </c>
      <c r="CH80" s="100">
        <v>71.33620689655173</v>
      </c>
      <c r="CI80" s="105">
        <v>72.319999999999993</v>
      </c>
      <c r="CJ80" s="111">
        <v>67.73</v>
      </c>
      <c r="CK80" s="111">
        <v>70.289855072463766</v>
      </c>
      <c r="CL80" s="112">
        <v>1431</v>
      </c>
      <c r="CM80" s="112">
        <v>1361</v>
      </c>
      <c r="CN80" s="112">
        <v>1466</v>
      </c>
      <c r="CO80" s="112">
        <v>1632</v>
      </c>
      <c r="CP80" s="112"/>
      <c r="CQ80" s="113">
        <v>12.131025245418016</v>
      </c>
      <c r="CR80" s="113">
        <v>11.268328627847096</v>
      </c>
      <c r="CS80" s="113">
        <v>11.965686394541166</v>
      </c>
      <c r="CT80" s="113">
        <v>13.478135194285006</v>
      </c>
      <c r="CU80" s="112"/>
      <c r="CV80" s="114">
        <v>4.1998551774076756</v>
      </c>
      <c r="CW80" s="114">
        <v>3.9274924471299095</v>
      </c>
      <c r="CX80" s="114">
        <v>4.6511627906976747</v>
      </c>
      <c r="CY80" s="114">
        <v>3.7807183364839321</v>
      </c>
      <c r="CZ80" s="112"/>
      <c r="DA80" s="113">
        <v>7.3302469135802468</v>
      </c>
      <c r="DB80" s="113">
        <v>7.4614760746147608</v>
      </c>
      <c r="DC80" s="113">
        <v>7.2562358276643995</v>
      </c>
      <c r="DD80" s="113">
        <v>8.4086170952050043</v>
      </c>
      <c r="DE80" s="112"/>
      <c r="DF80" s="113">
        <v>80.331412103746402</v>
      </c>
      <c r="DG80" s="113">
        <v>78.046934140802421</v>
      </c>
      <c r="DH80" s="113">
        <v>75.774647887323937</v>
      </c>
      <c r="DI80" s="113">
        <v>72.969543147208128</v>
      </c>
      <c r="DJ80" s="112"/>
      <c r="DK80" s="114">
        <v>21.521739130434781</v>
      </c>
      <c r="DL80" s="114">
        <v>21.166791323859385</v>
      </c>
      <c r="DM80" s="114">
        <v>17.869415807560138</v>
      </c>
      <c r="DN80" s="114">
        <v>14.603960396039604</v>
      </c>
      <c r="DO80" s="112"/>
      <c r="DP80" s="113">
        <v>21.243885394828791</v>
      </c>
      <c r="DQ80" s="113">
        <v>26.671565025716387</v>
      </c>
      <c r="DR80" s="113">
        <v>29.809004092769442</v>
      </c>
      <c r="DS80" s="113">
        <v>30.269607843137255</v>
      </c>
      <c r="DT80" s="112"/>
      <c r="DU80" s="115">
        <v>8</v>
      </c>
      <c r="DV80" s="115">
        <v>8</v>
      </c>
      <c r="DW80" s="115">
        <v>8</v>
      </c>
      <c r="DX80" s="115">
        <v>12</v>
      </c>
      <c r="DY80" s="112"/>
      <c r="DZ80" s="116">
        <v>6.03</v>
      </c>
      <c r="EA80" s="116">
        <v>4.7210300429184553</v>
      </c>
      <c r="EB80" s="116">
        <v>3.61</v>
      </c>
      <c r="EC80" s="116">
        <v>7.7294685990338161</v>
      </c>
      <c r="ED80" s="112"/>
      <c r="EE80" s="113">
        <v>96.855345911949684</v>
      </c>
      <c r="EF80" s="113">
        <v>0</v>
      </c>
      <c r="EG80" s="113">
        <v>0.31446540880503143</v>
      </c>
      <c r="EH80" s="113">
        <v>0</v>
      </c>
      <c r="EI80" s="113">
        <v>15.806451612903226</v>
      </c>
      <c r="EJ80" s="113">
        <v>31.08685334598956</v>
      </c>
      <c r="EK80" s="113"/>
      <c r="EL80" s="115">
        <v>1226</v>
      </c>
      <c r="EM80" s="115">
        <v>1104</v>
      </c>
      <c r="EN80" s="115">
        <v>1138</v>
      </c>
      <c r="EO80" s="115">
        <v>1037</v>
      </c>
      <c r="EP80" s="112"/>
      <c r="EQ80" s="114">
        <v>1039.3177463929062</v>
      </c>
      <c r="ER80" s="114">
        <v>914.0510510759143</v>
      </c>
      <c r="ES80" s="114">
        <v>928.85069010831148</v>
      </c>
      <c r="ET80" s="114">
        <v>856.42317380352642</v>
      </c>
      <c r="EU80" s="112"/>
      <c r="EV80" s="113">
        <v>809.24039699000002</v>
      </c>
      <c r="EW80" s="113">
        <v>721.03964608000001</v>
      </c>
      <c r="EX80" s="113">
        <v>723.92812884</v>
      </c>
      <c r="EY80" s="113">
        <v>641.75750903999995</v>
      </c>
      <c r="EZ80" s="112"/>
      <c r="FA80" s="115">
        <v>326</v>
      </c>
      <c r="FB80" s="115">
        <v>227</v>
      </c>
      <c r="FC80" s="115">
        <v>246</v>
      </c>
      <c r="FD80" s="115">
        <v>205</v>
      </c>
      <c r="FE80" s="112"/>
      <c r="FF80" s="115">
        <v>279</v>
      </c>
      <c r="FG80" s="115">
        <v>233</v>
      </c>
      <c r="FH80" s="115">
        <v>298</v>
      </c>
      <c r="FI80" s="115">
        <v>261</v>
      </c>
      <c r="FJ80" s="112"/>
      <c r="FK80" s="115">
        <v>98</v>
      </c>
      <c r="FL80" s="115">
        <v>68</v>
      </c>
      <c r="FM80" s="115">
        <v>66</v>
      </c>
      <c r="FN80" s="115">
        <v>37</v>
      </c>
      <c r="FO80" s="112"/>
      <c r="FP80" s="115">
        <v>48</v>
      </c>
      <c r="FQ80" s="115">
        <v>45</v>
      </c>
      <c r="FR80" s="115">
        <v>53</v>
      </c>
      <c r="FS80" s="115">
        <v>66</v>
      </c>
      <c r="FT80" s="112"/>
      <c r="FU80" s="113">
        <v>212.78891908</v>
      </c>
      <c r="FV80" s="113">
        <v>146.48548235000001</v>
      </c>
      <c r="FW80" s="113">
        <v>151.57958735</v>
      </c>
      <c r="FX80" s="113">
        <v>123.81308731</v>
      </c>
      <c r="FY80" s="112"/>
      <c r="FZ80" s="113">
        <v>188.01945645999999</v>
      </c>
      <c r="GA80" s="113">
        <v>157.12807896999999</v>
      </c>
      <c r="GB80" s="113">
        <v>194.59442283000001</v>
      </c>
      <c r="GC80" s="113">
        <v>165.82413528999999</v>
      </c>
      <c r="GD80" s="112"/>
      <c r="GE80" s="113">
        <v>61.216666519999997</v>
      </c>
      <c r="GF80" s="113">
        <v>42.650742010000002</v>
      </c>
      <c r="GG80" s="113">
        <v>39.756200229999997</v>
      </c>
      <c r="GH80" s="113">
        <v>20.91029825</v>
      </c>
      <c r="GI80" s="112"/>
      <c r="GJ80" s="113">
        <v>37.219741839999998</v>
      </c>
      <c r="GK80" s="113">
        <v>30.852451599999998</v>
      </c>
      <c r="GL80" s="113">
        <v>41.18095709</v>
      </c>
      <c r="GM80" s="113">
        <v>52.395435790000001</v>
      </c>
      <c r="GN80" s="112"/>
      <c r="GO80" s="113">
        <v>1018.4676497200001</v>
      </c>
      <c r="GP80" s="113">
        <v>854.76633493999998</v>
      </c>
      <c r="GQ80" s="113">
        <v>896.27036249000002</v>
      </c>
      <c r="GR80" s="113">
        <v>759.49118061000001</v>
      </c>
      <c r="GS80" s="112"/>
      <c r="GT80" s="113">
        <v>639.57912055999998</v>
      </c>
      <c r="GU80" s="113">
        <v>602.64323042000001</v>
      </c>
      <c r="GV80" s="113">
        <v>584.91932312999995</v>
      </c>
      <c r="GW80" s="113">
        <v>528.31619800999999</v>
      </c>
      <c r="GX80" s="112"/>
      <c r="GY80" s="112"/>
      <c r="GZ80" s="112"/>
      <c r="HA80" s="112"/>
      <c r="HB80" s="112"/>
      <c r="HC80" s="112"/>
      <c r="HD80" s="115">
        <v>217</v>
      </c>
      <c r="HE80" s="115">
        <v>0</v>
      </c>
      <c r="HF80" s="115">
        <v>0</v>
      </c>
      <c r="HG80" s="115">
        <v>0</v>
      </c>
      <c r="HH80" s="115">
        <v>2</v>
      </c>
      <c r="HI80" s="114">
        <v>38.582868235865078</v>
      </c>
      <c r="HJ80" s="114">
        <v>29.735234215885946</v>
      </c>
      <c r="HK80" s="113">
        <v>32.793209876543209</v>
      </c>
      <c r="HL80" s="112">
        <v>58</v>
      </c>
      <c r="HM80" s="112">
        <v>52</v>
      </c>
      <c r="HN80" s="112">
        <v>66</v>
      </c>
      <c r="HO80" s="112">
        <v>60</v>
      </c>
      <c r="HP80" s="112"/>
      <c r="HQ80" s="112">
        <v>95</v>
      </c>
      <c r="HR80" s="112">
        <v>92</v>
      </c>
      <c r="HS80" s="112">
        <v>96</v>
      </c>
      <c r="HT80" s="112">
        <v>121</v>
      </c>
      <c r="HU80" s="117"/>
    </row>
    <row r="81" spans="1:229" x14ac:dyDescent="0.2">
      <c r="A81" s="93">
        <v>78</v>
      </c>
      <c r="B81" s="98" t="s">
        <v>145</v>
      </c>
      <c r="C81" s="99">
        <v>3799</v>
      </c>
      <c r="D81" s="99">
        <v>3712</v>
      </c>
      <c r="E81" s="99">
        <v>3660</v>
      </c>
      <c r="F81" s="99">
        <v>3573</v>
      </c>
      <c r="G81" s="99">
        <v>3558</v>
      </c>
      <c r="H81" s="99">
        <v>1635</v>
      </c>
      <c r="I81" s="99">
        <v>1635</v>
      </c>
      <c r="J81" s="99">
        <v>1617</v>
      </c>
      <c r="K81" s="99">
        <v>1576</v>
      </c>
      <c r="L81" s="99">
        <v>1524</v>
      </c>
      <c r="M81" s="100">
        <v>48.967136150234744</v>
      </c>
      <c r="N81" s="100">
        <v>50.288739172281041</v>
      </c>
      <c r="O81" s="101">
        <v>51.793611793611795</v>
      </c>
      <c r="P81" s="101">
        <v>49.597180261832833</v>
      </c>
      <c r="Q81" s="102">
        <v>46.82658670664668</v>
      </c>
      <c r="R81" s="100">
        <v>29.389671361502344</v>
      </c>
      <c r="S81" s="100">
        <v>28.344562078922042</v>
      </c>
      <c r="T81" s="100">
        <v>28.058968058968059</v>
      </c>
      <c r="U81" s="100">
        <v>30.312185297079559</v>
      </c>
      <c r="V81" s="100">
        <v>30.984507746126937</v>
      </c>
      <c r="W81" s="100">
        <v>78.356807511737088</v>
      </c>
      <c r="X81" s="100">
        <v>78.633301251203079</v>
      </c>
      <c r="Y81" s="100">
        <v>79.852579852579851</v>
      </c>
      <c r="Z81" s="100">
        <v>79.909365558912384</v>
      </c>
      <c r="AA81" s="100">
        <v>77.811094452773617</v>
      </c>
      <c r="AB81" s="100" t="s">
        <v>181</v>
      </c>
      <c r="AC81" s="100">
        <v>5.3</v>
      </c>
      <c r="AD81" s="100">
        <v>5.6</v>
      </c>
      <c r="AE81" s="100">
        <v>7.1</v>
      </c>
      <c r="AF81" s="100">
        <v>6.4</v>
      </c>
      <c r="AG81" s="99">
        <v>80.25</v>
      </c>
      <c r="AH81" s="99">
        <v>83.083333333333329</v>
      </c>
      <c r="AI81" s="104">
        <v>82.083333333333329</v>
      </c>
      <c r="AJ81" s="104">
        <v>110.41666666666667</v>
      </c>
      <c r="AK81" s="105">
        <v>126.33333333333333</v>
      </c>
      <c r="AL81" s="106">
        <v>3612</v>
      </c>
      <c r="AM81" s="106">
        <v>1</v>
      </c>
      <c r="AN81" s="106">
        <v>157</v>
      </c>
      <c r="AO81" s="106">
        <v>15</v>
      </c>
      <c r="AP81" s="106">
        <v>0</v>
      </c>
      <c r="AQ81" s="106">
        <v>60</v>
      </c>
      <c r="AR81" s="106">
        <v>3352</v>
      </c>
      <c r="AS81" s="106">
        <v>13</v>
      </c>
      <c r="AT81" s="106">
        <v>139</v>
      </c>
      <c r="AU81" s="106">
        <v>5</v>
      </c>
      <c r="AV81" s="106">
        <v>40</v>
      </c>
      <c r="AW81" s="106">
        <v>50</v>
      </c>
      <c r="AX81" s="107">
        <v>27073</v>
      </c>
      <c r="AY81" s="107">
        <v>26360</v>
      </c>
      <c r="AZ81" s="107">
        <v>28910</v>
      </c>
      <c r="BA81" s="107">
        <v>40986</v>
      </c>
      <c r="BB81" s="107">
        <v>40329</v>
      </c>
      <c r="BC81" s="107">
        <v>32883</v>
      </c>
      <c r="BD81" s="107">
        <v>34759</v>
      </c>
      <c r="BE81" s="107">
        <v>42342</v>
      </c>
      <c r="BF81" s="108">
        <v>37651</v>
      </c>
      <c r="BG81" s="108">
        <v>39389</v>
      </c>
      <c r="BH81" s="100">
        <v>14</v>
      </c>
      <c r="BI81" s="100">
        <v>13.9</v>
      </c>
      <c r="BJ81" s="100">
        <v>11.3</v>
      </c>
      <c r="BK81" s="100">
        <v>11.9</v>
      </c>
      <c r="BL81" s="100">
        <v>12</v>
      </c>
      <c r="BM81" s="100">
        <v>17.399999999999999</v>
      </c>
      <c r="BN81" s="109">
        <v>16.399999999999999</v>
      </c>
      <c r="BO81" s="109">
        <v>13.5</v>
      </c>
      <c r="BP81" s="109">
        <v>16.3</v>
      </c>
      <c r="BQ81" s="100">
        <v>14.7</v>
      </c>
      <c r="BR81" s="106">
        <v>549</v>
      </c>
      <c r="BS81" s="118">
        <v>529</v>
      </c>
      <c r="BT81" s="118">
        <v>542</v>
      </c>
      <c r="BU81" s="110">
        <v>529</v>
      </c>
      <c r="BV81" s="100">
        <v>37.887067395264118</v>
      </c>
      <c r="BW81" s="100">
        <v>34.026465028355382</v>
      </c>
      <c r="BX81" s="100">
        <v>38.929889298892988</v>
      </c>
      <c r="BY81" s="103">
        <v>39.319470699432891</v>
      </c>
      <c r="BZ81" s="100">
        <v>0.72859744990892528</v>
      </c>
      <c r="CA81" s="100">
        <v>0.75614366729678639</v>
      </c>
      <c r="CB81" s="100">
        <v>1.4760147601476015</v>
      </c>
      <c r="CC81" s="103">
        <v>1.7013232514177694</v>
      </c>
      <c r="CD81" s="100">
        <v>16.393442622950818</v>
      </c>
      <c r="CE81" s="100">
        <v>14.366729678638942</v>
      </c>
      <c r="CF81" s="100">
        <v>13.284132841328413</v>
      </c>
      <c r="CG81" s="103">
        <v>13.043478260869565</v>
      </c>
      <c r="CH81" s="100">
        <v>87.755102040816325</v>
      </c>
      <c r="CI81" s="120" t="s">
        <v>217</v>
      </c>
      <c r="CJ81" s="111" t="s">
        <v>217</v>
      </c>
      <c r="CK81" s="111" t="s">
        <v>217</v>
      </c>
      <c r="CL81" s="112">
        <v>242</v>
      </c>
      <c r="CM81" s="112">
        <v>215</v>
      </c>
      <c r="CN81" s="112">
        <v>172</v>
      </c>
      <c r="CO81" s="112">
        <v>184</v>
      </c>
      <c r="CP81" s="112"/>
      <c r="CQ81" s="113">
        <v>11.168543474247739</v>
      </c>
      <c r="CR81" s="113">
        <v>10.176551332418233</v>
      </c>
      <c r="CS81" s="113">
        <v>8.8114754098360653</v>
      </c>
      <c r="CT81" s="113">
        <v>10.053546060539832</v>
      </c>
      <c r="CU81" s="112"/>
      <c r="CV81" s="114">
        <v>1.2931034482758621</v>
      </c>
      <c r="CW81" s="114">
        <v>2.9850746268656718</v>
      </c>
      <c r="CX81" s="114">
        <v>9.0361445783132535</v>
      </c>
      <c r="CY81" s="114">
        <v>4.9450549450549453</v>
      </c>
      <c r="CZ81" s="112"/>
      <c r="DA81" s="113">
        <v>4.4642857142857144</v>
      </c>
      <c r="DB81" s="113">
        <v>7.0707070707070709</v>
      </c>
      <c r="DC81" s="113">
        <v>10</v>
      </c>
      <c r="DD81" s="113">
        <v>8.720930232558139</v>
      </c>
      <c r="DE81" s="112"/>
      <c r="DF81" s="113">
        <v>74.893617021276597</v>
      </c>
      <c r="DG81" s="113">
        <v>85.514018691588788</v>
      </c>
      <c r="DH81" s="113">
        <v>84.21052631578948</v>
      </c>
      <c r="DI81" s="113">
        <v>80.681818181818187</v>
      </c>
      <c r="DJ81" s="112"/>
      <c r="DK81" s="114">
        <v>13.181818181818182</v>
      </c>
      <c r="DL81" s="114">
        <v>17.452830188679247</v>
      </c>
      <c r="DM81" s="114">
        <v>23.255813953488371</v>
      </c>
      <c r="DN81" s="114">
        <v>17.391304347826086</v>
      </c>
      <c r="DO81" s="112"/>
      <c r="DP81" s="113">
        <v>19.421487603305785</v>
      </c>
      <c r="DQ81" s="113">
        <v>21.86046511627907</v>
      </c>
      <c r="DR81" s="113">
        <v>29.651162790697676</v>
      </c>
      <c r="DS81" s="113">
        <v>26.086956521739129</v>
      </c>
      <c r="DT81" s="112"/>
      <c r="DU81" s="115">
        <v>1</v>
      </c>
      <c r="DV81" s="115">
        <v>1</v>
      </c>
      <c r="DW81" s="115">
        <v>1</v>
      </c>
      <c r="DX81" s="115">
        <v>1</v>
      </c>
      <c r="DY81" s="112"/>
      <c r="DZ81" s="116" t="s">
        <v>217</v>
      </c>
      <c r="EA81" s="116" t="s">
        <v>217</v>
      </c>
      <c r="EB81" s="116" t="s">
        <v>217</v>
      </c>
      <c r="EC81" s="116" t="s">
        <v>217</v>
      </c>
      <c r="ED81" s="112"/>
      <c r="EE81" s="113">
        <v>81.481481481481481</v>
      </c>
      <c r="EF81" s="113">
        <v>3.7037037037037037</v>
      </c>
      <c r="EG81" s="113">
        <v>14.814814814814815</v>
      </c>
      <c r="EH81" s="113">
        <v>0</v>
      </c>
      <c r="EI81" s="113">
        <v>0</v>
      </c>
      <c r="EJ81" s="113" t="s">
        <v>46</v>
      </c>
      <c r="EK81" s="113"/>
      <c r="EL81" s="115">
        <v>294</v>
      </c>
      <c r="EM81" s="115">
        <v>316</v>
      </c>
      <c r="EN81" s="115">
        <v>268</v>
      </c>
      <c r="EO81" s="115">
        <v>278</v>
      </c>
      <c r="EP81" s="112"/>
      <c r="EQ81" s="114">
        <v>1356.8395791028245</v>
      </c>
      <c r="ER81" s="114">
        <v>1495.7163818810054</v>
      </c>
      <c r="ES81" s="114">
        <v>1372.950819672131</v>
      </c>
      <c r="ET81" s="114">
        <v>1518.9596765380832</v>
      </c>
      <c r="EU81" s="112"/>
      <c r="EV81" s="113">
        <v>700.03829342999995</v>
      </c>
      <c r="EW81" s="113">
        <v>758.36892831</v>
      </c>
      <c r="EX81" s="113">
        <v>651.53657381999994</v>
      </c>
      <c r="EY81" s="113">
        <v>622.19310547999999</v>
      </c>
      <c r="EZ81" s="112"/>
      <c r="FA81" s="115">
        <v>142</v>
      </c>
      <c r="FB81" s="115">
        <v>133</v>
      </c>
      <c r="FC81" s="115">
        <v>109</v>
      </c>
      <c r="FD81" s="115">
        <v>81</v>
      </c>
      <c r="FE81" s="112"/>
      <c r="FF81" s="115">
        <v>65</v>
      </c>
      <c r="FG81" s="115">
        <v>81</v>
      </c>
      <c r="FH81" s="115">
        <v>65</v>
      </c>
      <c r="FI81" s="115">
        <v>59</v>
      </c>
      <c r="FJ81" s="112"/>
      <c r="FK81" s="115">
        <v>13</v>
      </c>
      <c r="FL81" s="115">
        <v>13</v>
      </c>
      <c r="FM81" s="115">
        <v>13</v>
      </c>
      <c r="FN81" s="115">
        <v>19</v>
      </c>
      <c r="FO81" s="112"/>
      <c r="FP81" s="115">
        <v>9</v>
      </c>
      <c r="FQ81" s="115">
        <v>8</v>
      </c>
      <c r="FR81" s="115">
        <v>14</v>
      </c>
      <c r="FS81" s="115">
        <v>10</v>
      </c>
      <c r="FT81" s="112"/>
      <c r="FU81" s="113">
        <v>314.69594898000003</v>
      </c>
      <c r="FV81" s="113">
        <v>291.73884791</v>
      </c>
      <c r="FW81" s="113">
        <v>201.08838693999999</v>
      </c>
      <c r="FX81" s="113">
        <v>192.39839663000001</v>
      </c>
      <c r="FY81" s="112"/>
      <c r="FZ81" s="113">
        <v>174.64437935000001</v>
      </c>
      <c r="GA81" s="113">
        <v>210.76737039</v>
      </c>
      <c r="GB81" s="113">
        <v>185.95289163999999</v>
      </c>
      <c r="GC81" s="113">
        <v>145.97193032000001</v>
      </c>
      <c r="GD81" s="112"/>
      <c r="GE81" s="113" t="s">
        <v>46</v>
      </c>
      <c r="GF81" s="113" t="s">
        <v>46</v>
      </c>
      <c r="GG81" s="113" t="s">
        <v>46</v>
      </c>
      <c r="GH81" s="113" t="s">
        <v>46</v>
      </c>
      <c r="GI81" s="112"/>
      <c r="GJ81" s="113" t="s">
        <v>46</v>
      </c>
      <c r="GK81" s="113" t="s">
        <v>46</v>
      </c>
      <c r="GL81" s="113" t="s">
        <v>46</v>
      </c>
      <c r="GM81" s="113" t="s">
        <v>46</v>
      </c>
      <c r="GN81" s="112"/>
      <c r="GO81" s="113">
        <v>779.83623415</v>
      </c>
      <c r="GP81" s="113">
        <v>851.89807054000005</v>
      </c>
      <c r="GQ81" s="113">
        <v>791.01114874999996</v>
      </c>
      <c r="GR81" s="113">
        <v>783.18261786999994</v>
      </c>
      <c r="GS81" s="112"/>
      <c r="GT81" s="113">
        <v>634.77401882000004</v>
      </c>
      <c r="GU81" s="113">
        <v>677.84065678000002</v>
      </c>
      <c r="GV81" s="113">
        <v>535.22032563000005</v>
      </c>
      <c r="GW81" s="113">
        <v>485.12108408</v>
      </c>
      <c r="GX81" s="112"/>
      <c r="GY81" s="112"/>
      <c r="GZ81" s="112"/>
      <c r="HA81" s="112"/>
      <c r="HB81" s="112"/>
      <c r="HC81" s="112"/>
      <c r="HD81" s="115">
        <v>66</v>
      </c>
      <c r="HE81" s="115">
        <v>0</v>
      </c>
      <c r="HF81" s="115">
        <v>1</v>
      </c>
      <c r="HG81" s="115">
        <v>1</v>
      </c>
      <c r="HH81" s="115">
        <v>0</v>
      </c>
      <c r="HI81" s="114">
        <v>40.852575488454704</v>
      </c>
      <c r="HJ81" s="114" t="s">
        <v>46</v>
      </c>
      <c r="HK81" s="113" t="s">
        <v>46</v>
      </c>
      <c r="HL81" s="112">
        <v>3</v>
      </c>
      <c r="HM81" s="112">
        <v>6</v>
      </c>
      <c r="HN81" s="112">
        <v>15</v>
      </c>
      <c r="HO81" s="112">
        <v>9</v>
      </c>
      <c r="HP81" s="112"/>
      <c r="HQ81" s="112">
        <v>10</v>
      </c>
      <c r="HR81" s="112">
        <v>14</v>
      </c>
      <c r="HS81" s="112">
        <v>16</v>
      </c>
      <c r="HT81" s="112">
        <v>15</v>
      </c>
      <c r="HU81" s="117"/>
    </row>
    <row r="82" spans="1:229" x14ac:dyDescent="0.2">
      <c r="A82" s="93">
        <v>79</v>
      </c>
      <c r="B82" s="98" t="s">
        <v>146</v>
      </c>
      <c r="C82" s="99">
        <v>22282</v>
      </c>
      <c r="D82" s="99">
        <v>21783</v>
      </c>
      <c r="E82" s="99">
        <v>21813</v>
      </c>
      <c r="F82" s="99">
        <v>21884</v>
      </c>
      <c r="G82" s="99">
        <v>21676</v>
      </c>
      <c r="H82" s="99">
        <v>8860</v>
      </c>
      <c r="I82" s="99">
        <v>8898</v>
      </c>
      <c r="J82" s="99">
        <v>8947</v>
      </c>
      <c r="K82" s="99">
        <v>8890</v>
      </c>
      <c r="L82" s="99">
        <v>8822</v>
      </c>
      <c r="M82" s="100">
        <v>23.192730231927303</v>
      </c>
      <c r="N82" s="100">
        <v>24.363280156731037</v>
      </c>
      <c r="O82" s="101">
        <v>24.94413407821229</v>
      </c>
      <c r="P82" s="101">
        <v>26.086956521739129</v>
      </c>
      <c r="Q82" s="102">
        <v>26.58410138248848</v>
      </c>
      <c r="R82" s="100">
        <v>27.912654279126542</v>
      </c>
      <c r="S82" s="100">
        <v>28.050657710607336</v>
      </c>
      <c r="T82" s="100">
        <v>27.381284916201114</v>
      </c>
      <c r="U82" s="100">
        <v>29.129725512447692</v>
      </c>
      <c r="V82" s="100">
        <v>29.493087557603687</v>
      </c>
      <c r="W82" s="100">
        <v>51.105384511053842</v>
      </c>
      <c r="X82" s="100">
        <v>52.413937867338369</v>
      </c>
      <c r="Y82" s="100">
        <v>52.325418994413411</v>
      </c>
      <c r="Z82" s="100">
        <v>55.216682034186825</v>
      </c>
      <c r="AA82" s="100">
        <v>56.077188940092164</v>
      </c>
      <c r="AB82" s="100" t="s">
        <v>174</v>
      </c>
      <c r="AC82" s="100">
        <v>4.4000000000000004</v>
      </c>
      <c r="AD82" s="100">
        <v>5</v>
      </c>
      <c r="AE82" s="100">
        <v>7.7</v>
      </c>
      <c r="AF82" s="100">
        <v>6.4</v>
      </c>
      <c r="AG82" s="99">
        <v>269.25</v>
      </c>
      <c r="AH82" s="99">
        <v>289.83333333333331</v>
      </c>
      <c r="AI82" s="104">
        <v>298.91666666666669</v>
      </c>
      <c r="AJ82" s="104">
        <v>381.66666666666669</v>
      </c>
      <c r="AK82" s="105">
        <v>468.5</v>
      </c>
      <c r="AL82" s="106">
        <v>21886</v>
      </c>
      <c r="AM82" s="106">
        <v>81</v>
      </c>
      <c r="AN82" s="106">
        <v>72</v>
      </c>
      <c r="AO82" s="106">
        <v>140</v>
      </c>
      <c r="AP82" s="106">
        <v>0</v>
      </c>
      <c r="AQ82" s="106">
        <v>480</v>
      </c>
      <c r="AR82" s="106">
        <v>21000</v>
      </c>
      <c r="AS82" s="106">
        <v>80</v>
      </c>
      <c r="AT82" s="106">
        <v>38</v>
      </c>
      <c r="AU82" s="106">
        <v>98</v>
      </c>
      <c r="AV82" s="106">
        <v>215</v>
      </c>
      <c r="AW82" s="106">
        <v>592</v>
      </c>
      <c r="AX82" s="107">
        <v>31817</v>
      </c>
      <c r="AY82" s="107">
        <v>31822</v>
      </c>
      <c r="AZ82" s="107">
        <v>32774</v>
      </c>
      <c r="BA82" s="107">
        <v>36740</v>
      </c>
      <c r="BB82" s="107">
        <v>36944</v>
      </c>
      <c r="BC82" s="107">
        <v>52140</v>
      </c>
      <c r="BD82" s="107">
        <v>51230</v>
      </c>
      <c r="BE82" s="107">
        <v>49886</v>
      </c>
      <c r="BF82" s="108">
        <v>51870</v>
      </c>
      <c r="BG82" s="108">
        <v>49517</v>
      </c>
      <c r="BH82" s="100">
        <v>7</v>
      </c>
      <c r="BI82" s="100">
        <v>7.7</v>
      </c>
      <c r="BJ82" s="100">
        <v>8.5</v>
      </c>
      <c r="BK82" s="100">
        <v>7.7</v>
      </c>
      <c r="BL82" s="100">
        <v>8.3000000000000007</v>
      </c>
      <c r="BM82" s="100">
        <v>8.3000000000000007</v>
      </c>
      <c r="BN82" s="109">
        <v>9.3000000000000007</v>
      </c>
      <c r="BO82" s="109">
        <v>8.4</v>
      </c>
      <c r="BP82" s="109">
        <v>9.8000000000000007</v>
      </c>
      <c r="BQ82" s="100">
        <v>10.7</v>
      </c>
      <c r="BR82" s="106">
        <v>4601</v>
      </c>
      <c r="BS82" s="118">
        <v>4637</v>
      </c>
      <c r="BT82" s="118">
        <v>4541</v>
      </c>
      <c r="BU82" s="110">
        <v>4491</v>
      </c>
      <c r="BV82" s="100">
        <v>21.16931101934362</v>
      </c>
      <c r="BW82" s="100">
        <v>21.263748113004098</v>
      </c>
      <c r="BX82" s="100">
        <v>26.337811054833736</v>
      </c>
      <c r="BY82" s="103">
        <v>27.009574704965488</v>
      </c>
      <c r="BZ82" s="100">
        <v>1.4127363616605084</v>
      </c>
      <c r="CA82" s="100">
        <v>1.5095967220185464</v>
      </c>
      <c r="CB82" s="100">
        <v>1.6956617485135432</v>
      </c>
      <c r="CC82" s="103">
        <v>1.447339122689824</v>
      </c>
      <c r="CD82" s="100">
        <v>11.736579004564225</v>
      </c>
      <c r="CE82" s="100">
        <v>11.257278412766874</v>
      </c>
      <c r="CF82" s="100">
        <v>12.508258092931072</v>
      </c>
      <c r="CG82" s="103">
        <v>12.491649966599866</v>
      </c>
      <c r="CH82" s="100">
        <v>81.360946745562131</v>
      </c>
      <c r="CI82" s="105">
        <v>86.65</v>
      </c>
      <c r="CJ82" s="111">
        <v>87.78</v>
      </c>
      <c r="CK82" s="111">
        <v>81.456953642384107</v>
      </c>
      <c r="CL82" s="112">
        <v>1308</v>
      </c>
      <c r="CM82" s="112">
        <v>1149</v>
      </c>
      <c r="CN82" s="112">
        <v>1315</v>
      </c>
      <c r="CO82" s="112">
        <v>1297</v>
      </c>
      <c r="CP82" s="112"/>
      <c r="CQ82" s="113">
        <v>12.937813430399904</v>
      </c>
      <c r="CR82" s="113">
        <v>10.922780032891923</v>
      </c>
      <c r="CS82" s="113">
        <v>11.924409220334065</v>
      </c>
      <c r="CT82" s="113">
        <v>11.851459273744037</v>
      </c>
      <c r="CU82" s="112"/>
      <c r="CV82" s="114">
        <v>3.2334384858044163</v>
      </c>
      <c r="CW82" s="114">
        <v>4.288321167883212</v>
      </c>
      <c r="CX82" s="114">
        <v>5.7924376508447306</v>
      </c>
      <c r="CY82" s="114">
        <v>3.6450079239302693</v>
      </c>
      <c r="CZ82" s="112"/>
      <c r="DA82" s="113">
        <v>5.7441253263707575</v>
      </c>
      <c r="DB82" s="113">
        <v>6.9001029866117403</v>
      </c>
      <c r="DC82" s="113">
        <v>8.7140439932318099</v>
      </c>
      <c r="DD82" s="113">
        <v>5.8873002523128681</v>
      </c>
      <c r="DE82" s="112"/>
      <c r="DF82" s="113">
        <v>83.958499600957708</v>
      </c>
      <c r="DG82" s="113">
        <v>86.511627906976742</v>
      </c>
      <c r="DH82" s="113">
        <v>88.846447669977081</v>
      </c>
      <c r="DI82" s="113">
        <v>89.510489510489506</v>
      </c>
      <c r="DJ82" s="112"/>
      <c r="DK82" s="114">
        <v>15.885623510722796</v>
      </c>
      <c r="DL82" s="114">
        <v>14.758497316636852</v>
      </c>
      <c r="DM82" s="114">
        <v>13.119755911517926</v>
      </c>
      <c r="DN82" s="114">
        <v>12.898212898212899</v>
      </c>
      <c r="DO82" s="112"/>
      <c r="DP82" s="113">
        <v>16.131498470948014</v>
      </c>
      <c r="DQ82" s="113">
        <v>21.061792863359443</v>
      </c>
      <c r="DR82" s="113">
        <v>26.235741444866921</v>
      </c>
      <c r="DS82" s="113">
        <v>30.223592906707786</v>
      </c>
      <c r="DT82" s="112"/>
      <c r="DU82" s="115">
        <v>15</v>
      </c>
      <c r="DV82" s="115">
        <v>11</v>
      </c>
      <c r="DW82" s="115">
        <v>8</v>
      </c>
      <c r="DX82" s="115">
        <v>5</v>
      </c>
      <c r="DY82" s="112"/>
      <c r="DZ82" s="116">
        <v>4.1399999999999997</v>
      </c>
      <c r="EA82" s="116">
        <v>3.2640949554896141</v>
      </c>
      <c r="EB82" s="116">
        <v>1.29</v>
      </c>
      <c r="EC82" s="116">
        <v>4.3046357615894042</v>
      </c>
      <c r="ED82" s="112"/>
      <c r="EE82" s="113">
        <v>94.117647058823536</v>
      </c>
      <c r="EF82" s="113">
        <v>0.42016806722689076</v>
      </c>
      <c r="EG82" s="113">
        <v>0.42016806722689076</v>
      </c>
      <c r="EH82" s="113">
        <v>0.84033613445378152</v>
      </c>
      <c r="EI82" s="113">
        <v>5.8577405857740583</v>
      </c>
      <c r="EJ82" s="113">
        <v>23.993381136238281</v>
      </c>
      <c r="EK82" s="113"/>
      <c r="EL82" s="115">
        <v>976</v>
      </c>
      <c r="EM82" s="115">
        <v>955</v>
      </c>
      <c r="EN82" s="115">
        <v>966</v>
      </c>
      <c r="EO82" s="115">
        <v>889</v>
      </c>
      <c r="EP82" s="112"/>
      <c r="EQ82" s="114">
        <v>965.39035994421306</v>
      </c>
      <c r="ER82" s="114">
        <v>907.85508541442869</v>
      </c>
      <c r="ES82" s="114">
        <v>875.96800812492063</v>
      </c>
      <c r="ET82" s="114">
        <v>812.33209671229372</v>
      </c>
      <c r="EU82" s="112"/>
      <c r="EV82" s="113">
        <v>803.05249276999996</v>
      </c>
      <c r="EW82" s="113">
        <v>740.99631494000005</v>
      </c>
      <c r="EX82" s="113">
        <v>692.51704382000003</v>
      </c>
      <c r="EY82" s="113">
        <v>592.10184872000002</v>
      </c>
      <c r="EZ82" s="112"/>
      <c r="FA82" s="115">
        <v>325</v>
      </c>
      <c r="FB82" s="115">
        <v>264</v>
      </c>
      <c r="FC82" s="115">
        <v>245</v>
      </c>
      <c r="FD82" s="115">
        <v>195</v>
      </c>
      <c r="FE82" s="112"/>
      <c r="FF82" s="115">
        <v>212</v>
      </c>
      <c r="FG82" s="115">
        <v>236</v>
      </c>
      <c r="FH82" s="115">
        <v>246</v>
      </c>
      <c r="FI82" s="115">
        <v>237</v>
      </c>
      <c r="FJ82" s="112"/>
      <c r="FK82" s="115">
        <v>77</v>
      </c>
      <c r="FL82" s="115">
        <v>75</v>
      </c>
      <c r="FM82" s="115">
        <v>71</v>
      </c>
      <c r="FN82" s="115">
        <v>53</v>
      </c>
      <c r="FO82" s="112"/>
      <c r="FP82" s="115">
        <v>49</v>
      </c>
      <c r="FQ82" s="115">
        <v>56</v>
      </c>
      <c r="FR82" s="115">
        <v>58</v>
      </c>
      <c r="FS82" s="115">
        <v>57</v>
      </c>
      <c r="FT82" s="112"/>
      <c r="FU82" s="113">
        <v>261.82981618999997</v>
      </c>
      <c r="FV82" s="113">
        <v>200.22175335</v>
      </c>
      <c r="FW82" s="113">
        <v>168.28712537000001</v>
      </c>
      <c r="FX82" s="113">
        <v>127.03439957000001</v>
      </c>
      <c r="FY82" s="112"/>
      <c r="FZ82" s="113">
        <v>182.469863</v>
      </c>
      <c r="GA82" s="113">
        <v>191.90886409999999</v>
      </c>
      <c r="GB82" s="113">
        <v>183.57808023999999</v>
      </c>
      <c r="GC82" s="113">
        <v>166.06217083999999</v>
      </c>
      <c r="GD82" s="112"/>
      <c r="GE82" s="113">
        <v>60.008656559999999</v>
      </c>
      <c r="GF82" s="113">
        <v>55.234593070000003</v>
      </c>
      <c r="GG82" s="113">
        <v>48.34643019</v>
      </c>
      <c r="GH82" s="113">
        <v>33.341310849999999</v>
      </c>
      <c r="GI82" s="112"/>
      <c r="GJ82" s="113">
        <v>43.046642609999999</v>
      </c>
      <c r="GK82" s="113">
        <v>47.347874050000001</v>
      </c>
      <c r="GL82" s="113">
        <v>48.149292899999999</v>
      </c>
      <c r="GM82" s="113">
        <v>40.234138340000001</v>
      </c>
      <c r="GN82" s="112"/>
      <c r="GO82" s="113">
        <v>1041.4773426899999</v>
      </c>
      <c r="GP82" s="113">
        <v>897.58237485999996</v>
      </c>
      <c r="GQ82" s="113">
        <v>816.54482308000001</v>
      </c>
      <c r="GR82" s="113">
        <v>716.98828815000002</v>
      </c>
      <c r="GS82" s="112"/>
      <c r="GT82" s="113">
        <v>610.93478385000003</v>
      </c>
      <c r="GU82" s="113">
        <v>612.25667529999998</v>
      </c>
      <c r="GV82" s="113">
        <v>585.33720802000005</v>
      </c>
      <c r="GW82" s="113">
        <v>485.68736631000002</v>
      </c>
      <c r="GX82" s="112"/>
      <c r="GY82" s="112"/>
      <c r="GZ82" s="112"/>
      <c r="HA82" s="112"/>
      <c r="HB82" s="112"/>
      <c r="HC82" s="112"/>
      <c r="HD82" s="115">
        <v>181</v>
      </c>
      <c r="HE82" s="115">
        <v>1</v>
      </c>
      <c r="HF82" s="115">
        <v>1</v>
      </c>
      <c r="HG82" s="115">
        <v>0</v>
      </c>
      <c r="HH82" s="115">
        <v>1</v>
      </c>
      <c r="HI82" s="114">
        <v>24.816176470588236</v>
      </c>
      <c r="HJ82" s="114">
        <v>20.397624580428609</v>
      </c>
      <c r="HK82" s="113">
        <v>22.940074906367041</v>
      </c>
      <c r="HL82" s="112">
        <v>41</v>
      </c>
      <c r="HM82" s="112">
        <v>47</v>
      </c>
      <c r="HN82" s="112">
        <v>72</v>
      </c>
      <c r="HO82" s="112">
        <v>46</v>
      </c>
      <c r="HP82" s="112"/>
      <c r="HQ82" s="112">
        <v>66</v>
      </c>
      <c r="HR82" s="112">
        <v>67</v>
      </c>
      <c r="HS82" s="112">
        <v>103</v>
      </c>
      <c r="HT82" s="112">
        <v>70</v>
      </c>
      <c r="HU82" s="117"/>
    </row>
    <row r="83" spans="1:229" x14ac:dyDescent="0.2">
      <c r="A83" s="93">
        <v>80</v>
      </c>
      <c r="B83" s="98" t="s">
        <v>147</v>
      </c>
      <c r="C83" s="99">
        <v>13445</v>
      </c>
      <c r="D83" s="99">
        <v>13382</v>
      </c>
      <c r="E83" s="99">
        <v>13311</v>
      </c>
      <c r="F83" s="99">
        <v>13269</v>
      </c>
      <c r="G83" s="99">
        <v>13843</v>
      </c>
      <c r="H83" s="99">
        <v>5591</v>
      </c>
      <c r="I83" s="99">
        <v>5618</v>
      </c>
      <c r="J83" s="99">
        <v>5646</v>
      </c>
      <c r="K83" s="99">
        <v>5624</v>
      </c>
      <c r="L83" s="99">
        <v>5705</v>
      </c>
      <c r="M83" s="100">
        <v>34.102060843964672</v>
      </c>
      <c r="N83" s="100">
        <v>34.635901252946283</v>
      </c>
      <c r="O83" s="101">
        <v>35.395791583166329</v>
      </c>
      <c r="P83" s="101">
        <v>37.067078666151666</v>
      </c>
      <c r="Q83" s="102">
        <v>35.516066212268747</v>
      </c>
      <c r="R83" s="100">
        <v>30.826790971540724</v>
      </c>
      <c r="S83" s="100">
        <v>31.373278749534801</v>
      </c>
      <c r="T83" s="100">
        <v>31.325150300601202</v>
      </c>
      <c r="U83" s="100">
        <v>33.771082786146515</v>
      </c>
      <c r="V83" s="100">
        <v>32.972249269717622</v>
      </c>
      <c r="W83" s="100">
        <v>64.928851815505396</v>
      </c>
      <c r="X83" s="100">
        <v>66.009180002481088</v>
      </c>
      <c r="Y83" s="100">
        <v>66.720941883767537</v>
      </c>
      <c r="Z83" s="100">
        <v>70.838161452298181</v>
      </c>
      <c r="AA83" s="100">
        <v>68.488315481986362</v>
      </c>
      <c r="AB83" s="100" t="s">
        <v>180</v>
      </c>
      <c r="AC83" s="100">
        <v>7.4</v>
      </c>
      <c r="AD83" s="100">
        <v>8.4</v>
      </c>
      <c r="AE83" s="100">
        <v>11.2</v>
      </c>
      <c r="AF83" s="100">
        <v>9.9</v>
      </c>
      <c r="AG83" s="99">
        <v>469.75</v>
      </c>
      <c r="AH83" s="99">
        <v>518.5</v>
      </c>
      <c r="AI83" s="104">
        <v>550.66666666666663</v>
      </c>
      <c r="AJ83" s="104">
        <v>688.33333333333337</v>
      </c>
      <c r="AK83" s="105">
        <v>803</v>
      </c>
      <c r="AL83" s="106">
        <v>13143</v>
      </c>
      <c r="AM83" s="106">
        <v>71</v>
      </c>
      <c r="AN83" s="106">
        <v>88</v>
      </c>
      <c r="AO83" s="106">
        <v>46</v>
      </c>
      <c r="AP83" s="106">
        <v>0</v>
      </c>
      <c r="AQ83" s="106">
        <v>141</v>
      </c>
      <c r="AR83" s="106">
        <v>13380</v>
      </c>
      <c r="AS83" s="106">
        <v>111</v>
      </c>
      <c r="AT83" s="106">
        <v>65</v>
      </c>
      <c r="AU83" s="106">
        <v>36</v>
      </c>
      <c r="AV83" s="106">
        <v>211</v>
      </c>
      <c r="AW83" s="106">
        <v>176</v>
      </c>
      <c r="AX83" s="107">
        <v>24642</v>
      </c>
      <c r="AY83" s="107">
        <v>25023</v>
      </c>
      <c r="AZ83" s="107">
        <v>25718</v>
      </c>
      <c r="BA83" s="107">
        <v>28672</v>
      </c>
      <c r="BB83" s="107">
        <v>29661</v>
      </c>
      <c r="BC83" s="107">
        <v>33769</v>
      </c>
      <c r="BD83" s="107">
        <v>34542</v>
      </c>
      <c r="BE83" s="107">
        <v>35728</v>
      </c>
      <c r="BF83" s="108">
        <v>35569</v>
      </c>
      <c r="BG83" s="108">
        <v>35952</v>
      </c>
      <c r="BH83" s="100">
        <v>14.7</v>
      </c>
      <c r="BI83" s="100">
        <v>16.5</v>
      </c>
      <c r="BJ83" s="100">
        <v>14.9</v>
      </c>
      <c r="BK83" s="100">
        <v>17.3</v>
      </c>
      <c r="BL83" s="100">
        <v>16</v>
      </c>
      <c r="BM83" s="100">
        <v>19.3</v>
      </c>
      <c r="BN83" s="109">
        <v>20.100000000000001</v>
      </c>
      <c r="BO83" s="109">
        <v>19.100000000000001</v>
      </c>
      <c r="BP83" s="109">
        <v>21.2</v>
      </c>
      <c r="BQ83" s="100">
        <v>23.2</v>
      </c>
      <c r="BR83" s="106">
        <v>2800</v>
      </c>
      <c r="BS83" s="118">
        <v>2781</v>
      </c>
      <c r="BT83" s="118">
        <v>2799</v>
      </c>
      <c r="BU83" s="110">
        <v>2818</v>
      </c>
      <c r="BV83" s="100">
        <v>52.5</v>
      </c>
      <c r="BW83" s="100">
        <v>54.225098885293058</v>
      </c>
      <c r="BX83" s="100">
        <v>58.306538049303327</v>
      </c>
      <c r="BY83" s="103">
        <v>56.990773598296663</v>
      </c>
      <c r="BZ83" s="100">
        <v>7.1428571428571425E-2</v>
      </c>
      <c r="CA83" s="100">
        <v>0.14383315354189141</v>
      </c>
      <c r="CB83" s="100">
        <v>3.5727045373347623E-2</v>
      </c>
      <c r="CC83" s="103">
        <v>0</v>
      </c>
      <c r="CD83" s="100">
        <v>13.678571428571429</v>
      </c>
      <c r="CE83" s="100">
        <v>13.160733549083064</v>
      </c>
      <c r="CF83" s="100">
        <v>14.969632011432655</v>
      </c>
      <c r="CG83" s="103">
        <v>15.649396735273243</v>
      </c>
      <c r="CH83" s="100">
        <v>86.147186147186147</v>
      </c>
      <c r="CI83" s="105">
        <v>84.11</v>
      </c>
      <c r="CJ83" s="111">
        <v>85.59</v>
      </c>
      <c r="CK83" s="111">
        <v>82.608695652173907</v>
      </c>
      <c r="CL83" s="112">
        <v>830</v>
      </c>
      <c r="CM83" s="112">
        <v>807</v>
      </c>
      <c r="CN83" s="112">
        <v>858</v>
      </c>
      <c r="CO83" s="112">
        <v>922</v>
      </c>
      <c r="CP83" s="112"/>
      <c r="CQ83" s="113">
        <v>12.750203542405949</v>
      </c>
      <c r="CR83" s="113">
        <v>12.194569110113786</v>
      </c>
      <c r="CS83" s="113">
        <v>12.605042016806722</v>
      </c>
      <c r="CT83" s="113">
        <v>13.71003717472119</v>
      </c>
      <c r="CU83" s="112"/>
      <c r="CV83" s="114">
        <v>4.0993788819875778</v>
      </c>
      <c r="CW83" s="114">
        <v>3.8412291933418694</v>
      </c>
      <c r="CX83" s="114">
        <v>5.3012048192771086</v>
      </c>
      <c r="CY83" s="114">
        <v>5.039193729003359</v>
      </c>
      <c r="CZ83" s="112"/>
      <c r="DA83" s="113">
        <v>6.9767441860465116</v>
      </c>
      <c r="DB83" s="113">
        <v>6.557377049180328</v>
      </c>
      <c r="DC83" s="113">
        <v>8.0357142857142865</v>
      </c>
      <c r="DD83" s="113">
        <v>7.5318655851680187</v>
      </c>
      <c r="DE83" s="112"/>
      <c r="DF83" s="113">
        <v>82.202304737516002</v>
      </c>
      <c r="DG83" s="113">
        <v>77.7490297542044</v>
      </c>
      <c r="DH83" s="113">
        <v>82.185273159144899</v>
      </c>
      <c r="DI83" s="113">
        <v>82.527472527472526</v>
      </c>
      <c r="DJ83" s="112"/>
      <c r="DK83" s="114">
        <v>20.664206642066421</v>
      </c>
      <c r="DL83" s="114">
        <v>21.3653603034134</v>
      </c>
      <c r="DM83" s="114">
        <v>23.274853801169591</v>
      </c>
      <c r="DN83" s="114">
        <v>23.118865866957471</v>
      </c>
      <c r="DO83" s="112"/>
      <c r="DP83" s="113">
        <v>25.060240963855421</v>
      </c>
      <c r="DQ83" s="113">
        <v>28.004956629491947</v>
      </c>
      <c r="DR83" s="113">
        <v>31.235431235431236</v>
      </c>
      <c r="DS83" s="113">
        <v>34.815618221258134</v>
      </c>
      <c r="DT83" s="112"/>
      <c r="DU83" s="115">
        <v>11</v>
      </c>
      <c r="DV83" s="115">
        <v>3</v>
      </c>
      <c r="DW83" s="115">
        <v>3</v>
      </c>
      <c r="DX83" s="115">
        <v>7</v>
      </c>
      <c r="DY83" s="112"/>
      <c r="DZ83" s="116">
        <v>2.16</v>
      </c>
      <c r="EA83" s="116">
        <v>0.77519379844961245</v>
      </c>
      <c r="EB83" s="116">
        <v>0.87</v>
      </c>
      <c r="EC83" s="116">
        <v>3.4782608695652173</v>
      </c>
      <c r="ED83" s="112"/>
      <c r="EE83" s="113">
        <v>98.75</v>
      </c>
      <c r="EF83" s="113">
        <v>0.625</v>
      </c>
      <c r="EG83" s="113">
        <v>0</v>
      </c>
      <c r="EH83" s="113">
        <v>0.625</v>
      </c>
      <c r="EI83" s="113">
        <v>0.625</v>
      </c>
      <c r="EJ83" s="113">
        <v>40.109389243391064</v>
      </c>
      <c r="EK83" s="113"/>
      <c r="EL83" s="115">
        <v>920</v>
      </c>
      <c r="EM83" s="115">
        <v>890</v>
      </c>
      <c r="EN83" s="115">
        <v>987</v>
      </c>
      <c r="EO83" s="115">
        <v>913</v>
      </c>
      <c r="EP83" s="112"/>
      <c r="EQ83" s="114">
        <v>1413.2755733751171</v>
      </c>
      <c r="ER83" s="114">
        <v>1344.8781298638501</v>
      </c>
      <c r="ES83" s="114">
        <v>1450.0205676676264</v>
      </c>
      <c r="ET83" s="114">
        <v>1357.6208178438662</v>
      </c>
      <c r="EU83" s="112"/>
      <c r="EV83" s="113">
        <v>963.26418419000004</v>
      </c>
      <c r="EW83" s="113">
        <v>869.08598981</v>
      </c>
      <c r="EX83" s="113">
        <v>889.21676497999999</v>
      </c>
      <c r="EY83" s="113">
        <v>800.90340628000001</v>
      </c>
      <c r="EZ83" s="112"/>
      <c r="FA83" s="115">
        <v>301</v>
      </c>
      <c r="FB83" s="115">
        <v>277</v>
      </c>
      <c r="FC83" s="115">
        <v>283</v>
      </c>
      <c r="FD83" s="115">
        <v>233</v>
      </c>
      <c r="FE83" s="112"/>
      <c r="FF83" s="115">
        <v>193</v>
      </c>
      <c r="FG83" s="115">
        <v>188</v>
      </c>
      <c r="FH83" s="115">
        <v>181</v>
      </c>
      <c r="FI83" s="115">
        <v>190</v>
      </c>
      <c r="FJ83" s="112"/>
      <c r="FK83" s="115">
        <v>80</v>
      </c>
      <c r="FL83" s="115">
        <v>77</v>
      </c>
      <c r="FM83" s="115">
        <v>74</v>
      </c>
      <c r="FN83" s="115">
        <v>54</v>
      </c>
      <c r="FO83" s="112"/>
      <c r="FP83" s="115">
        <v>34</v>
      </c>
      <c r="FQ83" s="115">
        <v>30</v>
      </c>
      <c r="FR83" s="115">
        <v>38</v>
      </c>
      <c r="FS83" s="115">
        <v>27</v>
      </c>
      <c r="FT83" s="112"/>
      <c r="FU83" s="113">
        <v>300.42164938000002</v>
      </c>
      <c r="FV83" s="113">
        <v>268.32369423</v>
      </c>
      <c r="FW83" s="113">
        <v>250.26304873999999</v>
      </c>
      <c r="FX83" s="113">
        <v>195.6261183</v>
      </c>
      <c r="FY83" s="112"/>
      <c r="FZ83" s="113">
        <v>216.29025186999999</v>
      </c>
      <c r="GA83" s="113">
        <v>191.82994717</v>
      </c>
      <c r="GB83" s="113">
        <v>174.30243973</v>
      </c>
      <c r="GC83" s="113">
        <v>184.82638721000001</v>
      </c>
      <c r="GD83" s="112"/>
      <c r="GE83" s="113">
        <v>78.288444049999995</v>
      </c>
      <c r="GF83" s="113">
        <v>68.152868530000006</v>
      </c>
      <c r="GG83" s="113">
        <v>61.07031593</v>
      </c>
      <c r="GH83" s="113">
        <v>45.62171919</v>
      </c>
      <c r="GI83" s="112"/>
      <c r="GJ83" s="113">
        <v>47.448545520000003</v>
      </c>
      <c r="GK83" s="113">
        <v>42.472948879999997</v>
      </c>
      <c r="GL83" s="113">
        <v>45.357822300000002</v>
      </c>
      <c r="GM83" s="113">
        <v>31.0255893</v>
      </c>
      <c r="GN83" s="112"/>
      <c r="GO83" s="113">
        <v>1215.6122278400001</v>
      </c>
      <c r="GP83" s="113">
        <v>1034.60420082</v>
      </c>
      <c r="GQ83" s="113">
        <v>1072.41923855</v>
      </c>
      <c r="GR83" s="113">
        <v>997.84469875000002</v>
      </c>
      <c r="GS83" s="112"/>
      <c r="GT83" s="113">
        <v>765.09137040999997</v>
      </c>
      <c r="GU83" s="113">
        <v>740.17370788999995</v>
      </c>
      <c r="GV83" s="113">
        <v>731.98707566999997</v>
      </c>
      <c r="GW83" s="113">
        <v>631.57939987999998</v>
      </c>
      <c r="GX83" s="112"/>
      <c r="GY83" s="112"/>
      <c r="GZ83" s="112"/>
      <c r="HA83" s="112"/>
      <c r="HB83" s="112"/>
      <c r="HC83" s="112"/>
      <c r="HD83" s="115">
        <v>192</v>
      </c>
      <c r="HE83" s="115">
        <v>0</v>
      </c>
      <c r="HF83" s="115">
        <v>0</v>
      </c>
      <c r="HG83" s="115">
        <v>1</v>
      </c>
      <c r="HH83" s="115">
        <v>1</v>
      </c>
      <c r="HI83" s="114">
        <v>45.288197621225983</v>
      </c>
      <c r="HJ83" s="114">
        <v>39.065646395489324</v>
      </c>
      <c r="HK83" s="113">
        <v>35.193133047210303</v>
      </c>
      <c r="HL83" s="112">
        <v>33</v>
      </c>
      <c r="HM83" s="112">
        <v>30</v>
      </c>
      <c r="HN83" s="112">
        <v>44</v>
      </c>
      <c r="HO83" s="112">
        <v>45</v>
      </c>
      <c r="HP83" s="112"/>
      <c r="HQ83" s="112">
        <v>51</v>
      </c>
      <c r="HR83" s="112">
        <v>48</v>
      </c>
      <c r="HS83" s="112">
        <v>63</v>
      </c>
      <c r="HT83" s="112">
        <v>65</v>
      </c>
      <c r="HU83" s="117"/>
    </row>
    <row r="84" spans="1:229" x14ac:dyDescent="0.2">
      <c r="A84" s="93">
        <v>81</v>
      </c>
      <c r="B84" s="98" t="s">
        <v>148</v>
      </c>
      <c r="C84" s="99">
        <v>19469</v>
      </c>
      <c r="D84" s="99">
        <v>19528</v>
      </c>
      <c r="E84" s="99">
        <v>19443</v>
      </c>
      <c r="F84" s="99">
        <v>18771</v>
      </c>
      <c r="G84" s="99">
        <v>19136</v>
      </c>
      <c r="H84" s="99">
        <v>7278</v>
      </c>
      <c r="I84" s="99">
        <v>7281</v>
      </c>
      <c r="J84" s="99">
        <v>7302</v>
      </c>
      <c r="K84" s="99">
        <v>7324</v>
      </c>
      <c r="L84" s="99">
        <v>7281</v>
      </c>
      <c r="M84" s="100">
        <v>20.392668149397959</v>
      </c>
      <c r="N84" s="100">
        <v>20.496894409937887</v>
      </c>
      <c r="O84" s="101">
        <v>20.873187287874114</v>
      </c>
      <c r="P84" s="101">
        <v>21.973425196850393</v>
      </c>
      <c r="Q84" s="102">
        <v>22.546588818683517</v>
      </c>
      <c r="R84" s="100">
        <v>28.920929519134901</v>
      </c>
      <c r="S84" s="100">
        <v>29.246223449121999</v>
      </c>
      <c r="T84" s="100">
        <v>29.103671706263501</v>
      </c>
      <c r="U84" s="100">
        <v>31.988188976377952</v>
      </c>
      <c r="V84" s="100">
        <v>30.504678877069502</v>
      </c>
      <c r="W84" s="100">
        <v>49.313597668532857</v>
      </c>
      <c r="X84" s="100">
        <v>49.743117859059886</v>
      </c>
      <c r="Y84" s="100">
        <v>49.976858994137615</v>
      </c>
      <c r="Z84" s="100">
        <v>53.961614173228348</v>
      </c>
      <c r="AA84" s="100">
        <v>53.051267695753019</v>
      </c>
      <c r="AB84" s="100" t="s">
        <v>174</v>
      </c>
      <c r="AC84" s="100">
        <v>4.8</v>
      </c>
      <c r="AD84" s="100">
        <v>5.5</v>
      </c>
      <c r="AE84" s="100">
        <v>8.4</v>
      </c>
      <c r="AF84" s="100">
        <v>7.6</v>
      </c>
      <c r="AG84" s="99">
        <v>439.91666666666669</v>
      </c>
      <c r="AH84" s="99">
        <v>423.16666666666669</v>
      </c>
      <c r="AI84" s="104">
        <v>477.08333333333331</v>
      </c>
      <c r="AJ84" s="104">
        <v>612.91666666666663</v>
      </c>
      <c r="AK84" s="105">
        <v>701.08333333333337</v>
      </c>
      <c r="AL84" s="106">
        <v>18561</v>
      </c>
      <c r="AM84" s="106">
        <v>506</v>
      </c>
      <c r="AN84" s="106">
        <v>124</v>
      </c>
      <c r="AO84" s="106">
        <v>154</v>
      </c>
      <c r="AP84" s="106">
        <v>0</v>
      </c>
      <c r="AQ84" s="106">
        <v>597</v>
      </c>
      <c r="AR84" s="106">
        <v>17933</v>
      </c>
      <c r="AS84" s="106">
        <v>380</v>
      </c>
      <c r="AT84" s="106">
        <v>148</v>
      </c>
      <c r="AU84" s="106">
        <v>133</v>
      </c>
      <c r="AV84" s="106">
        <v>292</v>
      </c>
      <c r="AW84" s="106">
        <v>985</v>
      </c>
      <c r="AX84" s="107">
        <v>28115</v>
      </c>
      <c r="AY84" s="107">
        <v>28399</v>
      </c>
      <c r="AZ84" s="107">
        <v>30051</v>
      </c>
      <c r="BA84" s="107">
        <v>33786</v>
      </c>
      <c r="BB84" s="107">
        <v>34528</v>
      </c>
      <c r="BC84" s="107">
        <v>46085</v>
      </c>
      <c r="BD84" s="107">
        <v>47232</v>
      </c>
      <c r="BE84" s="107">
        <v>49108</v>
      </c>
      <c r="BF84" s="108">
        <v>50589</v>
      </c>
      <c r="BG84" s="108">
        <v>51100</v>
      </c>
      <c r="BH84" s="100">
        <v>9.1999999999999993</v>
      </c>
      <c r="BI84" s="100">
        <v>8.6</v>
      </c>
      <c r="BJ84" s="100">
        <v>8.5</v>
      </c>
      <c r="BK84" s="100">
        <v>8.8000000000000007</v>
      </c>
      <c r="BL84" s="100">
        <v>8.5</v>
      </c>
      <c r="BM84" s="100">
        <v>10.7</v>
      </c>
      <c r="BN84" s="109">
        <v>10.7</v>
      </c>
      <c r="BO84" s="109">
        <v>10.1</v>
      </c>
      <c r="BP84" s="109">
        <v>10.5</v>
      </c>
      <c r="BQ84" s="100">
        <v>12.6</v>
      </c>
      <c r="BR84" s="106">
        <v>3564</v>
      </c>
      <c r="BS84" s="118">
        <v>3596</v>
      </c>
      <c r="BT84" s="118">
        <v>3592</v>
      </c>
      <c r="BU84" s="110">
        <v>3606</v>
      </c>
      <c r="BV84" s="100">
        <v>27.833894500561168</v>
      </c>
      <c r="BW84" s="100">
        <v>31.062291434927698</v>
      </c>
      <c r="BX84" s="100">
        <v>34.548997772828507</v>
      </c>
      <c r="BY84" s="103">
        <v>34.830837493067108</v>
      </c>
      <c r="BZ84" s="100">
        <v>2.861952861952862</v>
      </c>
      <c r="CA84" s="100">
        <v>2.7808676307007785E-2</v>
      </c>
      <c r="CB84" s="100">
        <v>3.591314031180401</v>
      </c>
      <c r="CC84" s="103">
        <v>2.9950083194675541</v>
      </c>
      <c r="CD84" s="100">
        <v>16.273849607182942</v>
      </c>
      <c r="CE84" s="100">
        <v>16.518353726362626</v>
      </c>
      <c r="CF84" s="100">
        <v>16.258351893095767</v>
      </c>
      <c r="CG84" s="103">
        <v>15.085967831392125</v>
      </c>
      <c r="CH84" s="100">
        <v>83.382789317507417</v>
      </c>
      <c r="CI84" s="105">
        <v>84.69</v>
      </c>
      <c r="CJ84" s="111">
        <v>82.77</v>
      </c>
      <c r="CK84" s="111">
        <v>87.545787545787547</v>
      </c>
      <c r="CL84" s="112">
        <v>1105</v>
      </c>
      <c r="CM84" s="112">
        <v>1258</v>
      </c>
      <c r="CN84" s="112">
        <v>1260</v>
      </c>
      <c r="CO84" s="112">
        <v>1201</v>
      </c>
      <c r="CP84" s="112"/>
      <c r="CQ84" s="113">
        <v>12.254086543793111</v>
      </c>
      <c r="CR84" s="113">
        <v>13.610299686249054</v>
      </c>
      <c r="CS84" s="113">
        <v>12.998669183869271</v>
      </c>
      <c r="CT84" s="113">
        <v>12.465359585664318</v>
      </c>
      <c r="CU84" s="112"/>
      <c r="CV84" s="114">
        <v>3.838951310861423</v>
      </c>
      <c r="CW84" s="114">
        <v>3.9538714991762767</v>
      </c>
      <c r="CX84" s="114">
        <v>4.2518397383483242</v>
      </c>
      <c r="CY84" s="114">
        <v>4.3739279588336188</v>
      </c>
      <c r="CZ84" s="112"/>
      <c r="DA84" s="113">
        <v>6.6803699897225073</v>
      </c>
      <c r="DB84" s="113">
        <v>6.575576430401366</v>
      </c>
      <c r="DC84" s="113">
        <v>6.99912510936133</v>
      </c>
      <c r="DD84" s="113">
        <v>7.7062556663644601</v>
      </c>
      <c r="DE84" s="112"/>
      <c r="DF84" s="113">
        <v>86.692015209125472</v>
      </c>
      <c r="DG84" s="113">
        <v>88.461538461538467</v>
      </c>
      <c r="DH84" s="113">
        <v>86.527666399358466</v>
      </c>
      <c r="DI84" s="113">
        <v>88.617200674536249</v>
      </c>
      <c r="DJ84" s="112"/>
      <c r="DK84" s="114">
        <v>9.1866028708133971</v>
      </c>
      <c r="DL84" s="114">
        <v>13.931144915932746</v>
      </c>
      <c r="DM84" s="114">
        <v>16.534181240063592</v>
      </c>
      <c r="DN84" s="114">
        <v>12.531328320802006</v>
      </c>
      <c r="DO84" s="112"/>
      <c r="DP84" s="113">
        <v>20.271493212669682</v>
      </c>
      <c r="DQ84" s="113">
        <v>25.596184419713833</v>
      </c>
      <c r="DR84" s="113">
        <v>31.587301587301589</v>
      </c>
      <c r="DS84" s="113">
        <v>33.72189841798501</v>
      </c>
      <c r="DT84" s="112"/>
      <c r="DU84" s="115">
        <v>3</v>
      </c>
      <c r="DV84" s="115">
        <v>8</v>
      </c>
      <c r="DW84" s="115">
        <v>5</v>
      </c>
      <c r="DX84" s="115">
        <v>4</v>
      </c>
      <c r="DY84" s="112"/>
      <c r="DZ84" s="116">
        <v>5.64</v>
      </c>
      <c r="EA84" s="116">
        <v>4.7619047619047619</v>
      </c>
      <c r="EB84" s="116">
        <v>5.41</v>
      </c>
      <c r="EC84" s="116">
        <v>2.197802197802198</v>
      </c>
      <c r="ED84" s="112"/>
      <c r="EE84" s="113">
        <v>88.311688311688314</v>
      </c>
      <c r="EF84" s="113">
        <v>2.1645021645021645</v>
      </c>
      <c r="EG84" s="113">
        <v>0.4329004329004329</v>
      </c>
      <c r="EH84" s="113">
        <v>1.2987012987012987</v>
      </c>
      <c r="EI84" s="113">
        <v>8.695652173913043</v>
      </c>
      <c r="EJ84" s="113">
        <v>28.203342618384401</v>
      </c>
      <c r="EK84" s="113"/>
      <c r="EL84" s="115">
        <v>852</v>
      </c>
      <c r="EM84" s="115">
        <v>874</v>
      </c>
      <c r="EN84" s="115">
        <v>839</v>
      </c>
      <c r="EO84" s="115">
        <v>779</v>
      </c>
      <c r="EP84" s="112"/>
      <c r="EQ84" s="114">
        <v>944.83997604631043</v>
      </c>
      <c r="ER84" s="114">
        <v>945.58043925132529</v>
      </c>
      <c r="ES84" s="114">
        <v>865.54630517986652</v>
      </c>
      <c r="ET84" s="114">
        <v>808.5358132583267</v>
      </c>
      <c r="EU84" s="112"/>
      <c r="EV84" s="113">
        <v>774.17590085999996</v>
      </c>
      <c r="EW84" s="113">
        <v>760.00615175999997</v>
      </c>
      <c r="EX84" s="113">
        <v>704.04233298999998</v>
      </c>
      <c r="EY84" s="113">
        <v>618.16700951999997</v>
      </c>
      <c r="EZ84" s="112"/>
      <c r="FA84" s="115">
        <v>289</v>
      </c>
      <c r="FB84" s="115">
        <v>266</v>
      </c>
      <c r="FC84" s="115">
        <v>216</v>
      </c>
      <c r="FD84" s="115">
        <v>186</v>
      </c>
      <c r="FE84" s="112"/>
      <c r="FF84" s="115">
        <v>208</v>
      </c>
      <c r="FG84" s="115">
        <v>207</v>
      </c>
      <c r="FH84" s="115">
        <v>200</v>
      </c>
      <c r="FI84" s="115">
        <v>188</v>
      </c>
      <c r="FJ84" s="112"/>
      <c r="FK84" s="115">
        <v>73</v>
      </c>
      <c r="FL84" s="115">
        <v>64</v>
      </c>
      <c r="FM84" s="115">
        <v>71</v>
      </c>
      <c r="FN84" s="115">
        <v>43</v>
      </c>
      <c r="FO84" s="112"/>
      <c r="FP84" s="115">
        <v>32</v>
      </c>
      <c r="FQ84" s="115">
        <v>45</v>
      </c>
      <c r="FR84" s="115">
        <v>32</v>
      </c>
      <c r="FS84" s="115">
        <v>32</v>
      </c>
      <c r="FT84" s="112"/>
      <c r="FU84" s="113">
        <v>255.15238934000001</v>
      </c>
      <c r="FV84" s="113">
        <v>225.36680673000001</v>
      </c>
      <c r="FW84" s="113">
        <v>175.35015826</v>
      </c>
      <c r="FX84" s="113">
        <v>141.784710939999</v>
      </c>
      <c r="FY84" s="112"/>
      <c r="FZ84" s="113">
        <v>199.16391734000001</v>
      </c>
      <c r="GA84" s="113">
        <v>188.21435416</v>
      </c>
      <c r="GB84" s="113">
        <v>183.41936475</v>
      </c>
      <c r="GC84" s="113">
        <v>155.22539065000001</v>
      </c>
      <c r="GD84" s="112"/>
      <c r="GE84" s="113">
        <v>64.390726130000004</v>
      </c>
      <c r="GF84" s="113">
        <v>50.987373720000001</v>
      </c>
      <c r="GG84" s="113">
        <v>54.186414999999997</v>
      </c>
      <c r="GH84" s="113">
        <v>31.10990074</v>
      </c>
      <c r="GI84" s="112"/>
      <c r="GJ84" s="113">
        <v>33.332642149999998</v>
      </c>
      <c r="GK84" s="113">
        <v>45.616513660000003</v>
      </c>
      <c r="GL84" s="113">
        <v>29.841186870000001</v>
      </c>
      <c r="GM84" s="113">
        <v>31.46716691</v>
      </c>
      <c r="GN84" s="112"/>
      <c r="GO84" s="113">
        <v>914.05470801000001</v>
      </c>
      <c r="GP84" s="113">
        <v>964.56870561000005</v>
      </c>
      <c r="GQ84" s="113">
        <v>835.87398422000001</v>
      </c>
      <c r="GR84" s="113">
        <v>744.40549590000001</v>
      </c>
      <c r="GS84" s="112"/>
      <c r="GT84" s="113">
        <v>664.28236372000003</v>
      </c>
      <c r="GU84" s="113">
        <v>611.60896449999996</v>
      </c>
      <c r="GV84" s="113">
        <v>598.62983680000002</v>
      </c>
      <c r="GW84" s="113">
        <v>525.59222150999994</v>
      </c>
      <c r="GX84" s="112"/>
      <c r="GY84" s="112"/>
      <c r="GZ84" s="112"/>
      <c r="HA84" s="112"/>
      <c r="HB84" s="112"/>
      <c r="HC84" s="112"/>
      <c r="HD84" s="115">
        <v>159</v>
      </c>
      <c r="HE84" s="115">
        <v>0</v>
      </c>
      <c r="HF84" s="115">
        <v>0</v>
      </c>
      <c r="HG84" s="115">
        <v>0</v>
      </c>
      <c r="HH84" s="115">
        <v>1</v>
      </c>
      <c r="HI84" s="114">
        <v>26.148172980221254</v>
      </c>
      <c r="HJ84" s="114">
        <v>32.861018993066025</v>
      </c>
      <c r="HK84" s="113">
        <v>32.248432367871004</v>
      </c>
      <c r="HL84" s="112">
        <v>41</v>
      </c>
      <c r="HM84" s="112">
        <v>48</v>
      </c>
      <c r="HN84" s="112">
        <v>52</v>
      </c>
      <c r="HO84" s="112">
        <v>51</v>
      </c>
      <c r="HP84" s="112"/>
      <c r="HQ84" s="112">
        <v>65</v>
      </c>
      <c r="HR84" s="112">
        <v>77</v>
      </c>
      <c r="HS84" s="112">
        <v>80</v>
      </c>
      <c r="HT84" s="112">
        <v>85</v>
      </c>
      <c r="HU84" s="117"/>
    </row>
    <row r="85" spans="1:229" ht="21" customHeight="1" x14ac:dyDescent="0.2">
      <c r="A85" s="93">
        <v>82</v>
      </c>
      <c r="B85" s="98" t="s">
        <v>149</v>
      </c>
      <c r="C85" s="99">
        <v>225000</v>
      </c>
      <c r="D85" s="99">
        <v>226475</v>
      </c>
      <c r="E85" s="99">
        <v>229173</v>
      </c>
      <c r="F85" s="99">
        <v>231958</v>
      </c>
      <c r="G85" s="99">
        <v>238136</v>
      </c>
      <c r="H85" s="99">
        <v>83762</v>
      </c>
      <c r="I85" s="99">
        <v>85632</v>
      </c>
      <c r="J85" s="99">
        <v>86709</v>
      </c>
      <c r="K85" s="99">
        <v>88120</v>
      </c>
      <c r="L85" s="99">
        <v>87859</v>
      </c>
      <c r="M85" s="100">
        <v>12.010973206875359</v>
      </c>
      <c r="N85" s="100">
        <v>12.413863055729891</v>
      </c>
      <c r="O85" s="101">
        <v>12.737989574087733</v>
      </c>
      <c r="P85" s="101">
        <v>13.678420858104003</v>
      </c>
      <c r="Q85" s="102">
        <v>15.507417292533052</v>
      </c>
      <c r="R85" s="100">
        <v>30.539347056177498</v>
      </c>
      <c r="S85" s="100">
        <v>31.158276436989279</v>
      </c>
      <c r="T85" s="100">
        <v>30.507669421074347</v>
      </c>
      <c r="U85" s="100">
        <v>31.630447720054374</v>
      </c>
      <c r="V85" s="100">
        <v>32.302153807957296</v>
      </c>
      <c r="W85" s="100">
        <v>42.550320263052861</v>
      </c>
      <c r="X85" s="100">
        <v>43.572139492719167</v>
      </c>
      <c r="Y85" s="100">
        <v>43.245658995162081</v>
      </c>
      <c r="Z85" s="100">
        <v>45.308868578158375</v>
      </c>
      <c r="AA85" s="100">
        <v>47.809571100490345</v>
      </c>
      <c r="AB85" s="100" t="s">
        <v>175</v>
      </c>
      <c r="AC85" s="100">
        <v>4</v>
      </c>
      <c r="AD85" s="100">
        <v>5</v>
      </c>
      <c r="AE85" s="100">
        <v>7.4</v>
      </c>
      <c r="AF85" s="100">
        <v>6.7</v>
      </c>
      <c r="AG85" s="99">
        <v>2067.5</v>
      </c>
      <c r="AH85" s="99">
        <v>2148.5</v>
      </c>
      <c r="AI85" s="104">
        <v>2392.25</v>
      </c>
      <c r="AJ85" s="104">
        <v>3012.6666666666665</v>
      </c>
      <c r="AK85" s="105">
        <v>3675.6666666666665</v>
      </c>
      <c r="AL85" s="106">
        <v>203426</v>
      </c>
      <c r="AM85" s="106">
        <v>6987</v>
      </c>
      <c r="AN85" s="106">
        <v>1014</v>
      </c>
      <c r="AO85" s="106">
        <v>10588</v>
      </c>
      <c r="AP85" s="106">
        <v>0</v>
      </c>
      <c r="AQ85" s="106">
        <v>6014</v>
      </c>
      <c r="AR85" s="106">
        <v>209012</v>
      </c>
      <c r="AS85" s="106">
        <v>8579</v>
      </c>
      <c r="AT85" s="106">
        <v>1088</v>
      </c>
      <c r="AU85" s="106">
        <v>12148</v>
      </c>
      <c r="AV85" s="106">
        <v>5009</v>
      </c>
      <c r="AW85" s="106">
        <v>8127</v>
      </c>
      <c r="AX85" s="107">
        <v>43030</v>
      </c>
      <c r="AY85" s="107">
        <v>44618</v>
      </c>
      <c r="AZ85" s="107">
        <v>47351</v>
      </c>
      <c r="BA85" s="107">
        <v>48617</v>
      </c>
      <c r="BB85" s="107">
        <v>46208</v>
      </c>
      <c r="BC85" s="107">
        <v>73976</v>
      </c>
      <c r="BD85" s="107">
        <v>76563</v>
      </c>
      <c r="BE85" s="107">
        <v>78113</v>
      </c>
      <c r="BF85" s="108">
        <v>79670</v>
      </c>
      <c r="BG85" s="108">
        <v>75421</v>
      </c>
      <c r="BH85" s="100">
        <v>3.8</v>
      </c>
      <c r="BI85" s="100">
        <v>4.5</v>
      </c>
      <c r="BJ85" s="100">
        <v>4.7</v>
      </c>
      <c r="BK85" s="100">
        <v>4.5</v>
      </c>
      <c r="BL85" s="100">
        <v>5.7</v>
      </c>
      <c r="BM85" s="100">
        <v>4.5999999999999996</v>
      </c>
      <c r="BN85" s="109">
        <v>5</v>
      </c>
      <c r="BO85" s="109">
        <v>5.5</v>
      </c>
      <c r="BP85" s="109">
        <v>4.7</v>
      </c>
      <c r="BQ85" s="100">
        <v>6.5</v>
      </c>
      <c r="BR85" s="106">
        <v>38757</v>
      </c>
      <c r="BS85" s="118">
        <v>39108</v>
      </c>
      <c r="BT85" s="118">
        <v>38681</v>
      </c>
      <c r="BU85" s="110">
        <v>39274</v>
      </c>
      <c r="BV85" s="100">
        <v>13.958768738550456</v>
      </c>
      <c r="BW85" s="100">
        <v>14.948348164058507</v>
      </c>
      <c r="BX85" s="100">
        <v>16.320674232827486</v>
      </c>
      <c r="BY85" s="103">
        <v>17.823496460762847</v>
      </c>
      <c r="BZ85" s="100">
        <v>2.7246690920349872</v>
      </c>
      <c r="CA85" s="100">
        <v>3.0991101564897208</v>
      </c>
      <c r="CB85" s="100">
        <v>3.1488327602699</v>
      </c>
      <c r="CC85" s="103">
        <v>3.824413097723685</v>
      </c>
      <c r="CD85" s="100">
        <v>13.151172691384783</v>
      </c>
      <c r="CE85" s="100">
        <v>12.892502812723738</v>
      </c>
      <c r="CF85" s="100">
        <v>11.982627129598511</v>
      </c>
      <c r="CG85" s="103">
        <v>11.890818353108926</v>
      </c>
      <c r="CH85" s="100">
        <v>85.668789808917197</v>
      </c>
      <c r="CI85" s="105">
        <v>86.77</v>
      </c>
      <c r="CJ85" s="111">
        <v>87.63</v>
      </c>
      <c r="CK85" s="111">
        <v>88.879029872818691</v>
      </c>
      <c r="CL85" s="112">
        <v>12215</v>
      </c>
      <c r="CM85" s="112">
        <v>13656</v>
      </c>
      <c r="CN85" s="112">
        <v>14317</v>
      </c>
      <c r="CO85" s="112">
        <v>14443</v>
      </c>
      <c r="CP85" s="112"/>
      <c r="CQ85" s="113">
        <v>14.711904417786771</v>
      </c>
      <c r="CR85" s="113">
        <v>13.979714263485265</v>
      </c>
      <c r="CS85" s="113">
        <v>13.404037595343555</v>
      </c>
      <c r="CT85" s="113">
        <v>12.551032290469974</v>
      </c>
      <c r="CU85" s="112"/>
      <c r="CV85" s="114">
        <v>4.1831163376732468</v>
      </c>
      <c r="CW85" s="114">
        <v>3.7121384650421319</v>
      </c>
      <c r="CX85" s="114">
        <v>3.9423916205993601</v>
      </c>
      <c r="CY85" s="114">
        <v>4.4430042485778065</v>
      </c>
      <c r="CZ85" s="112"/>
      <c r="DA85" s="113">
        <v>6.5327542526239597</v>
      </c>
      <c r="DB85" s="113">
        <v>6.372846133864404</v>
      </c>
      <c r="DC85" s="113">
        <v>7.7788033901149616</v>
      </c>
      <c r="DD85" s="113">
        <v>7.8306963296120795</v>
      </c>
      <c r="DE85" s="112"/>
      <c r="DF85" s="113">
        <v>90.456116684933818</v>
      </c>
      <c r="DG85" s="113">
        <v>91.18160431054109</v>
      </c>
      <c r="DH85" s="113">
        <v>92.299189388356666</v>
      </c>
      <c r="DI85" s="113">
        <v>91.702340182648399</v>
      </c>
      <c r="DJ85" s="112"/>
      <c r="DK85" s="114">
        <v>10.481538199761783</v>
      </c>
      <c r="DL85" s="114">
        <v>8.6554882782176676</v>
      </c>
      <c r="DM85" s="114">
        <v>7.3688836800468795</v>
      </c>
      <c r="DN85" s="114">
        <v>6.4605959342801444</v>
      </c>
      <c r="DO85" s="112"/>
      <c r="DP85" s="113">
        <v>14.933682659243491</v>
      </c>
      <c r="DQ85" s="113">
        <v>15.173272767235694</v>
      </c>
      <c r="DR85" s="113">
        <v>18.306907871760842</v>
      </c>
      <c r="DS85" s="113">
        <v>23.084914808145172</v>
      </c>
      <c r="DT85" s="112"/>
      <c r="DU85" s="115">
        <v>69</v>
      </c>
      <c r="DV85" s="115">
        <v>61</v>
      </c>
      <c r="DW85" s="115">
        <v>67</v>
      </c>
      <c r="DX85" s="115">
        <v>72</v>
      </c>
      <c r="DY85" s="112"/>
      <c r="DZ85" s="116">
        <v>3.27</v>
      </c>
      <c r="EA85" s="116">
        <v>2.7097146151628713</v>
      </c>
      <c r="EB85" s="116">
        <v>2.1</v>
      </c>
      <c r="EC85" s="116">
        <v>1.5084294587400178</v>
      </c>
      <c r="ED85" s="112"/>
      <c r="EE85" s="113">
        <v>81.077299755159146</v>
      </c>
      <c r="EF85" s="113">
        <v>6.750612102133613</v>
      </c>
      <c r="EG85" s="113">
        <v>0.1049317943336831</v>
      </c>
      <c r="EH85" s="113">
        <v>9.5837705491430576</v>
      </c>
      <c r="EI85" s="113">
        <v>3.7406483790523692</v>
      </c>
      <c r="EJ85" s="113">
        <v>14.021031547320982</v>
      </c>
      <c r="EK85" s="113"/>
      <c r="EL85" s="115">
        <v>3655</v>
      </c>
      <c r="EM85" s="115">
        <v>4508</v>
      </c>
      <c r="EN85" s="115">
        <v>5353</v>
      </c>
      <c r="EO85" s="115">
        <v>6005</v>
      </c>
      <c r="EP85" s="112"/>
      <c r="EQ85" s="114">
        <v>440.21294021294023</v>
      </c>
      <c r="ER85" s="114">
        <v>461.48617384147315</v>
      </c>
      <c r="ES85" s="114">
        <v>501.16514107616155</v>
      </c>
      <c r="ET85" s="114">
        <v>521.83721459719038</v>
      </c>
      <c r="EU85" s="112"/>
      <c r="EV85" s="113">
        <v>787.50878857999999</v>
      </c>
      <c r="EW85" s="113">
        <v>800.02207391000002</v>
      </c>
      <c r="EX85" s="113">
        <v>759.78787365999995</v>
      </c>
      <c r="EY85" s="113">
        <v>700.40955025000005</v>
      </c>
      <c r="EZ85" s="112"/>
      <c r="FA85" s="115">
        <v>874</v>
      </c>
      <c r="FB85" s="115">
        <v>1015</v>
      </c>
      <c r="FC85" s="115">
        <v>1013</v>
      </c>
      <c r="FD85" s="115">
        <v>1014</v>
      </c>
      <c r="FE85" s="112"/>
      <c r="FF85" s="115">
        <v>971</v>
      </c>
      <c r="FG85" s="115">
        <v>1229</v>
      </c>
      <c r="FH85" s="115">
        <v>1395</v>
      </c>
      <c r="FI85" s="115">
        <v>1670</v>
      </c>
      <c r="FJ85" s="112"/>
      <c r="FK85" s="115">
        <v>312</v>
      </c>
      <c r="FL85" s="115">
        <v>335</v>
      </c>
      <c r="FM85" s="115">
        <v>343</v>
      </c>
      <c r="FN85" s="115">
        <v>312</v>
      </c>
      <c r="FO85" s="112"/>
      <c r="FP85" s="115">
        <v>154</v>
      </c>
      <c r="FQ85" s="115">
        <v>187</v>
      </c>
      <c r="FR85" s="115">
        <v>233</v>
      </c>
      <c r="FS85" s="115">
        <v>277</v>
      </c>
      <c r="FT85" s="112"/>
      <c r="FU85" s="113">
        <v>198.33827621</v>
      </c>
      <c r="FV85" s="113">
        <v>187.63799648</v>
      </c>
      <c r="FW85" s="113">
        <v>150.21150634</v>
      </c>
      <c r="FX85" s="113">
        <v>122.80063199999999</v>
      </c>
      <c r="FY85" s="112"/>
      <c r="FZ85" s="113">
        <v>197.28648577999999</v>
      </c>
      <c r="GA85" s="113">
        <v>205.24621768</v>
      </c>
      <c r="GB85" s="113">
        <v>183.45580687</v>
      </c>
      <c r="GC85" s="113">
        <v>180.080350089999</v>
      </c>
      <c r="GD85" s="112"/>
      <c r="GE85" s="113">
        <v>76.111411599999997</v>
      </c>
      <c r="GF85" s="113">
        <v>65.29623952</v>
      </c>
      <c r="GG85" s="113">
        <v>53.673564489999997</v>
      </c>
      <c r="GH85" s="113">
        <v>39.048560670000001</v>
      </c>
      <c r="GI85" s="112"/>
      <c r="GJ85" s="113">
        <v>23.4417983099999</v>
      </c>
      <c r="GK85" s="113">
        <v>26.736895820000001</v>
      </c>
      <c r="GL85" s="113">
        <v>26.327657689999999</v>
      </c>
      <c r="GM85" s="113">
        <v>28.058706560000001</v>
      </c>
      <c r="GN85" s="112"/>
      <c r="GO85" s="113">
        <v>962.32442980999997</v>
      </c>
      <c r="GP85" s="113">
        <v>950.4191032</v>
      </c>
      <c r="GQ85" s="113">
        <v>896.37382161000005</v>
      </c>
      <c r="GR85" s="113">
        <v>798.11659391000001</v>
      </c>
      <c r="GS85" s="112"/>
      <c r="GT85" s="113">
        <v>664.49252261000004</v>
      </c>
      <c r="GU85" s="113">
        <v>688.53318374000003</v>
      </c>
      <c r="GV85" s="113">
        <v>662.05061980999994</v>
      </c>
      <c r="GW85" s="113">
        <v>626.00168079000002</v>
      </c>
      <c r="GX85" s="112"/>
      <c r="GY85" s="112"/>
      <c r="GZ85" s="112"/>
      <c r="HA85" s="112"/>
      <c r="HB85" s="112"/>
      <c r="HC85" s="112"/>
      <c r="HD85" s="115">
        <v>1212</v>
      </c>
      <c r="HE85" s="115">
        <v>25</v>
      </c>
      <c r="HF85" s="115">
        <v>0</v>
      </c>
      <c r="HG85" s="115">
        <v>23</v>
      </c>
      <c r="HH85" s="115">
        <v>13</v>
      </c>
      <c r="HI85" s="114">
        <v>20.334135537651285</v>
      </c>
      <c r="HJ85" s="114">
        <v>16.57428832804176</v>
      </c>
      <c r="HK85" s="113">
        <v>15.017258255628253</v>
      </c>
      <c r="HL85" s="112">
        <v>498</v>
      </c>
      <c r="HM85" s="112">
        <v>489</v>
      </c>
      <c r="HN85" s="112">
        <v>542</v>
      </c>
      <c r="HO85" s="112">
        <v>617</v>
      </c>
      <c r="HP85" s="112"/>
      <c r="HQ85" s="112">
        <v>722</v>
      </c>
      <c r="HR85" s="112">
        <v>736</v>
      </c>
      <c r="HS85" s="112">
        <v>927</v>
      </c>
      <c r="HT85" s="112">
        <v>975</v>
      </c>
      <c r="HU85" s="117"/>
    </row>
    <row r="86" spans="1:229" x14ac:dyDescent="0.2">
      <c r="A86" s="93">
        <v>83</v>
      </c>
      <c r="B86" s="98" t="s">
        <v>150</v>
      </c>
      <c r="C86" s="99">
        <v>11164</v>
      </c>
      <c r="D86" s="99">
        <v>11022</v>
      </c>
      <c r="E86" s="99">
        <v>10860</v>
      </c>
      <c r="F86" s="99">
        <v>10912</v>
      </c>
      <c r="G86" s="99">
        <v>11211</v>
      </c>
      <c r="H86" s="99">
        <v>4589</v>
      </c>
      <c r="I86" s="99">
        <v>4594</v>
      </c>
      <c r="J86" s="99">
        <v>4588</v>
      </c>
      <c r="K86" s="99">
        <v>4546</v>
      </c>
      <c r="L86" s="99">
        <v>4520</v>
      </c>
      <c r="M86" s="100">
        <v>32.036647641934515</v>
      </c>
      <c r="N86" s="100">
        <v>32.562033795098188</v>
      </c>
      <c r="O86" s="101">
        <v>33.359025743795286</v>
      </c>
      <c r="P86" s="101">
        <v>32.34016139044072</v>
      </c>
      <c r="Q86" s="102">
        <v>31.231628453850675</v>
      </c>
      <c r="R86" s="100">
        <v>35.641333733854012</v>
      </c>
      <c r="S86" s="100">
        <v>35.226061805449838</v>
      </c>
      <c r="T86" s="100">
        <v>34.052720826267915</v>
      </c>
      <c r="U86" s="100">
        <v>36.995654872749846</v>
      </c>
      <c r="V86" s="100">
        <v>33.539094650205762</v>
      </c>
      <c r="W86" s="100">
        <v>67.677981375788519</v>
      </c>
      <c r="X86" s="100">
        <v>67.788095600548033</v>
      </c>
      <c r="Y86" s="100">
        <v>67.411746570063201</v>
      </c>
      <c r="Z86" s="100">
        <v>69.335816263190566</v>
      </c>
      <c r="AA86" s="100">
        <v>64.770723104056444</v>
      </c>
      <c r="AB86" s="100" t="s">
        <v>184</v>
      </c>
      <c r="AC86" s="100">
        <v>5.0999999999999996</v>
      </c>
      <c r="AD86" s="100">
        <v>6.6</v>
      </c>
      <c r="AE86" s="100">
        <v>9.1</v>
      </c>
      <c r="AF86" s="100">
        <v>7.7</v>
      </c>
      <c r="AG86" s="99">
        <v>179.08333333333334</v>
      </c>
      <c r="AH86" s="99">
        <v>171.66666666666666</v>
      </c>
      <c r="AI86" s="104">
        <v>174.91666666666666</v>
      </c>
      <c r="AJ86" s="104">
        <v>225</v>
      </c>
      <c r="AK86" s="105">
        <v>291.08333333333331</v>
      </c>
      <c r="AL86" s="106">
        <v>10855</v>
      </c>
      <c r="AM86" s="106">
        <v>73</v>
      </c>
      <c r="AN86" s="106">
        <v>42</v>
      </c>
      <c r="AO86" s="106">
        <v>121</v>
      </c>
      <c r="AP86" s="106">
        <v>0</v>
      </c>
      <c r="AQ86" s="106">
        <v>2057</v>
      </c>
      <c r="AR86" s="106">
        <v>9740</v>
      </c>
      <c r="AS86" s="106">
        <v>82</v>
      </c>
      <c r="AT86" s="106">
        <v>48</v>
      </c>
      <c r="AU86" s="106">
        <v>91</v>
      </c>
      <c r="AV86" s="106">
        <v>132</v>
      </c>
      <c r="AW86" s="106">
        <v>2338</v>
      </c>
      <c r="AX86" s="107">
        <v>29574</v>
      </c>
      <c r="AY86" s="107">
        <v>28695</v>
      </c>
      <c r="AZ86" s="107">
        <v>30343</v>
      </c>
      <c r="BA86" s="107">
        <v>34344</v>
      </c>
      <c r="BB86" s="107">
        <v>33860</v>
      </c>
      <c r="BC86" s="107">
        <v>39187</v>
      </c>
      <c r="BD86" s="107">
        <v>40401</v>
      </c>
      <c r="BE86" s="107">
        <v>43502</v>
      </c>
      <c r="BF86" s="108">
        <v>43729</v>
      </c>
      <c r="BG86" s="108">
        <v>43714</v>
      </c>
      <c r="BH86" s="100">
        <v>11.3</v>
      </c>
      <c r="BI86" s="100">
        <v>11.5</v>
      </c>
      <c r="BJ86" s="100">
        <v>9.1</v>
      </c>
      <c r="BK86" s="100">
        <v>11.1</v>
      </c>
      <c r="BL86" s="100">
        <v>11.3</v>
      </c>
      <c r="BM86" s="100">
        <v>14.3</v>
      </c>
      <c r="BN86" s="109">
        <v>14.2</v>
      </c>
      <c r="BO86" s="109">
        <v>13.7</v>
      </c>
      <c r="BP86" s="109">
        <v>14.9</v>
      </c>
      <c r="BQ86" s="100">
        <v>16.2</v>
      </c>
      <c r="BR86" s="106">
        <v>1966</v>
      </c>
      <c r="BS86" s="118">
        <v>1951</v>
      </c>
      <c r="BT86" s="118">
        <v>1921</v>
      </c>
      <c r="BU86" s="110">
        <v>1839</v>
      </c>
      <c r="BV86" s="100">
        <v>46.846388606307222</v>
      </c>
      <c r="BW86" s="100">
        <v>48.692977960020499</v>
      </c>
      <c r="BX86" s="100">
        <v>51.639770952628837</v>
      </c>
      <c r="BY86" s="103">
        <v>53.779227841218052</v>
      </c>
      <c r="BZ86" s="100">
        <v>16.327568667344863</v>
      </c>
      <c r="CA86" s="100">
        <v>14.044079958995386</v>
      </c>
      <c r="CB86" s="100">
        <v>12.701717855283706</v>
      </c>
      <c r="CC86" s="103">
        <v>10.549211528004351</v>
      </c>
      <c r="CD86" s="100">
        <v>14.903357070193286</v>
      </c>
      <c r="CE86" s="100">
        <v>15.940543311122502</v>
      </c>
      <c r="CF86" s="100">
        <v>16.710046850598648</v>
      </c>
      <c r="CG86" s="103">
        <v>17.29200652528548</v>
      </c>
      <c r="CH86" s="100">
        <v>83.22147651006712</v>
      </c>
      <c r="CI86" s="105">
        <v>81.760000000000005</v>
      </c>
      <c r="CJ86" s="111">
        <v>81.709999999999994</v>
      </c>
      <c r="CK86" s="111">
        <v>80.606060606060609</v>
      </c>
      <c r="CL86" s="112">
        <v>871</v>
      </c>
      <c r="CM86" s="112">
        <v>855</v>
      </c>
      <c r="CN86" s="112">
        <v>756</v>
      </c>
      <c r="CO86" s="112">
        <v>805</v>
      </c>
      <c r="CP86" s="112"/>
      <c r="CQ86" s="113">
        <v>14.984688435467778</v>
      </c>
      <c r="CR86" s="113">
        <v>14.681640222542757</v>
      </c>
      <c r="CS86" s="113">
        <v>13.112251977244346</v>
      </c>
      <c r="CT86" s="113">
        <v>14.591527850785768</v>
      </c>
      <c r="CU86" s="112"/>
      <c r="CV86" s="114">
        <v>3.2142857142857144</v>
      </c>
      <c r="CW86" s="114">
        <v>3.3613445378151261</v>
      </c>
      <c r="CX86" s="114">
        <v>5.320600272851296</v>
      </c>
      <c r="CY86" s="114">
        <v>4.2416452442159382</v>
      </c>
      <c r="CZ86" s="112"/>
      <c r="DA86" s="113">
        <v>8.4415584415584419</v>
      </c>
      <c r="DB86" s="113">
        <v>6.9319640564826699</v>
      </c>
      <c r="DC86" s="113">
        <v>10.68814055636896</v>
      </c>
      <c r="DD86" s="113">
        <v>8.9779005524861883</v>
      </c>
      <c r="DE86" s="112"/>
      <c r="DF86" s="113">
        <v>70.397111913357406</v>
      </c>
      <c r="DG86" s="113">
        <v>71.955719557195579</v>
      </c>
      <c r="DH86" s="113">
        <v>82.910547396528699</v>
      </c>
      <c r="DI86" s="113">
        <v>83.249370277078086</v>
      </c>
      <c r="DJ86" s="112"/>
      <c r="DK86" s="114">
        <v>12.278481012658228</v>
      </c>
      <c r="DL86" s="114">
        <v>11.41826923076923</v>
      </c>
      <c r="DM86" s="114">
        <v>11.952191235059761</v>
      </c>
      <c r="DN86" s="114">
        <v>9.5771144278606961</v>
      </c>
      <c r="DO86" s="112"/>
      <c r="DP86" s="113">
        <v>28.045977011494251</v>
      </c>
      <c r="DQ86" s="113">
        <v>34.074941451990632</v>
      </c>
      <c r="DR86" s="113">
        <v>35.978835978835981</v>
      </c>
      <c r="DS86" s="113">
        <v>40.869565217391305</v>
      </c>
      <c r="DT86" s="112"/>
      <c r="DU86" s="115">
        <v>6</v>
      </c>
      <c r="DV86" s="115">
        <v>5</v>
      </c>
      <c r="DW86" s="115">
        <v>6</v>
      </c>
      <c r="DX86" s="115">
        <v>8</v>
      </c>
      <c r="DY86" s="112"/>
      <c r="DZ86" s="116">
        <v>7.38</v>
      </c>
      <c r="EA86" s="116">
        <v>5.6603773584905657</v>
      </c>
      <c r="EB86" s="116">
        <v>6.1</v>
      </c>
      <c r="EC86" s="116">
        <v>5.4545454545454541</v>
      </c>
      <c r="ED86" s="112"/>
      <c r="EE86" s="113">
        <v>70.886075949367083</v>
      </c>
      <c r="EF86" s="113">
        <v>0.63291139240506333</v>
      </c>
      <c r="EG86" s="113">
        <v>0.63291139240506333</v>
      </c>
      <c r="EH86" s="113">
        <v>0.63291139240506333</v>
      </c>
      <c r="EI86" s="113">
        <v>33.121019108280258</v>
      </c>
      <c r="EJ86" s="113">
        <v>49.019607843137258</v>
      </c>
      <c r="EK86" s="113"/>
      <c r="EL86" s="115">
        <v>645</v>
      </c>
      <c r="EM86" s="115">
        <v>666</v>
      </c>
      <c r="EN86" s="115">
        <v>584</v>
      </c>
      <c r="EO86" s="115">
        <v>628</v>
      </c>
      <c r="EP86" s="112"/>
      <c r="EQ86" s="114">
        <v>1109.6583284588653</v>
      </c>
      <c r="ER86" s="114">
        <v>1143.6225015454359</v>
      </c>
      <c r="ES86" s="114">
        <v>1012.9041209934786</v>
      </c>
      <c r="ET86" s="114">
        <v>1138.3204335768276</v>
      </c>
      <c r="EU86" s="112"/>
      <c r="EV86" s="113">
        <v>787.74021239000001</v>
      </c>
      <c r="EW86" s="113">
        <v>769.57853523999995</v>
      </c>
      <c r="EX86" s="113">
        <v>648.39248413999997</v>
      </c>
      <c r="EY86" s="113">
        <v>697.03690032999998</v>
      </c>
      <c r="EZ86" s="112"/>
      <c r="FA86" s="115">
        <v>249</v>
      </c>
      <c r="FB86" s="115">
        <v>228</v>
      </c>
      <c r="FC86" s="115">
        <v>165</v>
      </c>
      <c r="FD86" s="115">
        <v>153</v>
      </c>
      <c r="FE86" s="112"/>
      <c r="FF86" s="115">
        <v>149</v>
      </c>
      <c r="FG86" s="115">
        <v>154</v>
      </c>
      <c r="FH86" s="115">
        <v>123</v>
      </c>
      <c r="FI86" s="115">
        <v>147</v>
      </c>
      <c r="FJ86" s="112"/>
      <c r="FK86" s="115">
        <v>62</v>
      </c>
      <c r="FL86" s="115">
        <v>59</v>
      </c>
      <c r="FM86" s="115">
        <v>45</v>
      </c>
      <c r="FN86" s="115">
        <v>46</v>
      </c>
      <c r="FO86" s="112"/>
      <c r="FP86" s="115">
        <v>32</v>
      </c>
      <c r="FQ86" s="115">
        <v>22</v>
      </c>
      <c r="FR86" s="115">
        <v>35</v>
      </c>
      <c r="FS86" s="115">
        <v>29</v>
      </c>
      <c r="FT86" s="112"/>
      <c r="FU86" s="113">
        <v>288.12882158000002</v>
      </c>
      <c r="FV86" s="113">
        <v>252.51665426</v>
      </c>
      <c r="FW86" s="113">
        <v>174.39722143</v>
      </c>
      <c r="FX86" s="113">
        <v>164.54419754</v>
      </c>
      <c r="FY86" s="112"/>
      <c r="FZ86" s="113">
        <v>193.01028768</v>
      </c>
      <c r="GA86" s="113">
        <v>188.05482878999999</v>
      </c>
      <c r="GB86" s="113">
        <v>150.39214281</v>
      </c>
      <c r="GC86" s="113">
        <v>172.11912691000001</v>
      </c>
      <c r="GD86" s="112"/>
      <c r="GE86" s="113">
        <v>68.737833249999994</v>
      </c>
      <c r="GF86" s="113">
        <v>61.62697747</v>
      </c>
      <c r="GG86" s="113">
        <v>44.04658182</v>
      </c>
      <c r="GH86" s="113">
        <v>42.867780709999998</v>
      </c>
      <c r="GI86" s="112"/>
      <c r="GJ86" s="113">
        <v>53.570892020000002</v>
      </c>
      <c r="GK86" s="113">
        <v>36.868626319999997</v>
      </c>
      <c r="GL86" s="113">
        <v>47.935353409999998</v>
      </c>
      <c r="GM86" s="113">
        <v>40.736536219999998</v>
      </c>
      <c r="GN86" s="112"/>
      <c r="GO86" s="113">
        <v>998.16531430999999</v>
      </c>
      <c r="GP86" s="113">
        <v>940.05210204000002</v>
      </c>
      <c r="GQ86" s="113">
        <v>734.90082987999995</v>
      </c>
      <c r="GR86" s="113">
        <v>877.49962496000001</v>
      </c>
      <c r="GS86" s="112"/>
      <c r="GT86" s="113">
        <v>631.14097884</v>
      </c>
      <c r="GU86" s="113">
        <v>641.88655494</v>
      </c>
      <c r="GV86" s="113">
        <v>572.24733409999999</v>
      </c>
      <c r="GW86" s="113">
        <v>553.71014272000002</v>
      </c>
      <c r="GX86" s="112"/>
      <c r="GY86" s="112"/>
      <c r="GZ86" s="112"/>
      <c r="HA86" s="112"/>
      <c r="HB86" s="112"/>
      <c r="HC86" s="112"/>
      <c r="HD86" s="115">
        <v>122</v>
      </c>
      <c r="HE86" s="115">
        <v>0</v>
      </c>
      <c r="HF86" s="115">
        <v>0</v>
      </c>
      <c r="HG86" s="115">
        <v>0</v>
      </c>
      <c r="HH86" s="115">
        <v>6</v>
      </c>
      <c r="HI86" s="114">
        <v>69.027611044417768</v>
      </c>
      <c r="HJ86" s="114">
        <v>66.462167689161561</v>
      </c>
      <c r="HK86" s="113">
        <v>49.476688867745004</v>
      </c>
      <c r="HL86" s="112">
        <v>27</v>
      </c>
      <c r="HM86" s="112">
        <v>28</v>
      </c>
      <c r="HN86" s="112">
        <v>39</v>
      </c>
      <c r="HO86" s="112">
        <v>33</v>
      </c>
      <c r="HP86" s="112"/>
      <c r="HQ86" s="112">
        <v>65</v>
      </c>
      <c r="HR86" s="112">
        <v>54</v>
      </c>
      <c r="HS86" s="112">
        <v>73</v>
      </c>
      <c r="HT86" s="112">
        <v>65</v>
      </c>
      <c r="HU86" s="117"/>
    </row>
    <row r="87" spans="1:229" x14ac:dyDescent="0.2">
      <c r="A87" s="93">
        <v>84</v>
      </c>
      <c r="B87" s="98" t="s">
        <v>151</v>
      </c>
      <c r="C87" s="99">
        <v>6634</v>
      </c>
      <c r="D87" s="99">
        <v>6418</v>
      </c>
      <c r="E87" s="99">
        <v>6286</v>
      </c>
      <c r="F87" s="99">
        <v>6264</v>
      </c>
      <c r="G87" s="99">
        <v>6576</v>
      </c>
      <c r="H87" s="99">
        <v>2721</v>
      </c>
      <c r="I87" s="99">
        <v>2716</v>
      </c>
      <c r="J87" s="99">
        <v>2696</v>
      </c>
      <c r="K87" s="99">
        <v>2673</v>
      </c>
      <c r="L87" s="99">
        <v>2690</v>
      </c>
      <c r="M87" s="100">
        <v>24.691358024691358</v>
      </c>
      <c r="N87" s="100">
        <v>24.856046065259115</v>
      </c>
      <c r="O87" s="101">
        <v>24.896366739819555</v>
      </c>
      <c r="P87" s="101">
        <v>28.246013667425967</v>
      </c>
      <c r="Q87" s="102">
        <v>28.257191201353638</v>
      </c>
      <c r="R87" s="100">
        <v>29.839273235499654</v>
      </c>
      <c r="S87" s="100">
        <v>29.126679462571975</v>
      </c>
      <c r="T87" s="100">
        <v>28.383321141185075</v>
      </c>
      <c r="U87" s="100">
        <v>30.296127562642369</v>
      </c>
      <c r="V87" s="100">
        <v>30.698573845781969</v>
      </c>
      <c r="W87" s="100">
        <v>54.530631260191008</v>
      </c>
      <c r="X87" s="100">
        <v>53.9827255278311</v>
      </c>
      <c r="Y87" s="100">
        <v>53.279687881004634</v>
      </c>
      <c r="Z87" s="100">
        <v>58.542141230068339</v>
      </c>
      <c r="AA87" s="100">
        <v>58.955765047135607</v>
      </c>
      <c r="AB87" s="100" t="s">
        <v>178</v>
      </c>
      <c r="AC87" s="100">
        <v>4.5</v>
      </c>
      <c r="AD87" s="100">
        <v>4.4000000000000004</v>
      </c>
      <c r="AE87" s="100">
        <v>5.7</v>
      </c>
      <c r="AF87" s="100">
        <v>4.9000000000000004</v>
      </c>
      <c r="AG87" s="99">
        <v>139.58333333333334</v>
      </c>
      <c r="AH87" s="99">
        <v>148.41666666666666</v>
      </c>
      <c r="AI87" s="104">
        <v>150</v>
      </c>
      <c r="AJ87" s="104">
        <v>184.58333333333334</v>
      </c>
      <c r="AK87" s="105">
        <v>242.66666666666666</v>
      </c>
      <c r="AL87" s="106">
        <v>6486</v>
      </c>
      <c r="AM87" s="106">
        <v>16</v>
      </c>
      <c r="AN87" s="106">
        <v>56</v>
      </c>
      <c r="AO87" s="106">
        <v>18</v>
      </c>
      <c r="AP87" s="106">
        <v>0</v>
      </c>
      <c r="AQ87" s="106">
        <v>151</v>
      </c>
      <c r="AR87" s="106">
        <v>6381</v>
      </c>
      <c r="AS87" s="106">
        <v>15</v>
      </c>
      <c r="AT87" s="106">
        <v>64</v>
      </c>
      <c r="AU87" s="106">
        <v>18</v>
      </c>
      <c r="AV87" s="106">
        <v>71</v>
      </c>
      <c r="AW87" s="106">
        <v>130</v>
      </c>
      <c r="AX87" s="107">
        <v>27846</v>
      </c>
      <c r="AY87" s="107">
        <v>28738</v>
      </c>
      <c r="AZ87" s="107">
        <v>32226</v>
      </c>
      <c r="BA87" s="107">
        <v>41932</v>
      </c>
      <c r="BB87" s="107">
        <v>36781</v>
      </c>
      <c r="BC87" s="107">
        <v>44460</v>
      </c>
      <c r="BD87" s="107">
        <v>43055</v>
      </c>
      <c r="BE87" s="107">
        <v>45030</v>
      </c>
      <c r="BF87" s="108">
        <v>51743</v>
      </c>
      <c r="BG87" s="108">
        <v>49747</v>
      </c>
      <c r="BH87" s="100">
        <v>8.8000000000000007</v>
      </c>
      <c r="BI87" s="100">
        <v>9.9</v>
      </c>
      <c r="BJ87" s="100">
        <v>8.9</v>
      </c>
      <c r="BK87" s="100">
        <v>7.7</v>
      </c>
      <c r="BL87" s="100">
        <v>9.1</v>
      </c>
      <c r="BM87" s="100">
        <v>10.5</v>
      </c>
      <c r="BN87" s="109">
        <v>11</v>
      </c>
      <c r="BO87" s="109">
        <v>10.6</v>
      </c>
      <c r="BP87" s="109">
        <v>10.6</v>
      </c>
      <c r="BQ87" s="100">
        <v>12.2</v>
      </c>
      <c r="BR87" s="106">
        <v>1086</v>
      </c>
      <c r="BS87" s="118">
        <v>1150</v>
      </c>
      <c r="BT87" s="118">
        <v>1121</v>
      </c>
      <c r="BU87" s="110">
        <v>1119</v>
      </c>
      <c r="BV87" s="100">
        <v>37.200736648250462</v>
      </c>
      <c r="BW87" s="100">
        <v>37.391304347826086</v>
      </c>
      <c r="BX87" s="100">
        <v>40.231935771632472</v>
      </c>
      <c r="BY87" s="103">
        <v>40.125111706881142</v>
      </c>
      <c r="BZ87" s="100">
        <v>1.9337016574585635</v>
      </c>
      <c r="CA87" s="100">
        <v>2.8695652173913042</v>
      </c>
      <c r="CB87" s="100">
        <v>3.0330062444246209</v>
      </c>
      <c r="CC87" s="103">
        <v>1.8766756032171581</v>
      </c>
      <c r="CD87" s="100">
        <v>17.587476979742174</v>
      </c>
      <c r="CE87" s="100">
        <v>17.391304347826086</v>
      </c>
      <c r="CF87" s="100">
        <v>18.554861730597679</v>
      </c>
      <c r="CG87" s="103">
        <v>19.749776586237711</v>
      </c>
      <c r="CH87" s="100">
        <v>86.111111111111114</v>
      </c>
      <c r="CI87" s="105">
        <v>82.35</v>
      </c>
      <c r="CJ87" s="111">
        <v>78.3</v>
      </c>
      <c r="CK87" s="111">
        <v>83.63636363636364</v>
      </c>
      <c r="CL87" s="112">
        <v>440</v>
      </c>
      <c r="CM87" s="112">
        <v>466</v>
      </c>
      <c r="CN87" s="112">
        <v>363</v>
      </c>
      <c r="CO87" s="112">
        <v>369</v>
      </c>
      <c r="CP87" s="112"/>
      <c r="CQ87" s="113">
        <v>11.863675582398619</v>
      </c>
      <c r="CR87" s="113">
        <v>12.772372207756613</v>
      </c>
      <c r="CS87" s="113">
        <v>10.523874409300438</v>
      </c>
      <c r="CT87" s="113">
        <v>11.467462241282863</v>
      </c>
      <c r="CU87" s="112"/>
      <c r="CV87" s="114">
        <v>5.868544600938967</v>
      </c>
      <c r="CW87" s="114">
        <v>4.8275862068965516</v>
      </c>
      <c r="CX87" s="114">
        <v>5.0991501416430598</v>
      </c>
      <c r="CY87" s="114">
        <v>3.8567493112947657</v>
      </c>
      <c r="CZ87" s="112"/>
      <c r="DA87" s="113">
        <v>8.8669950738916263</v>
      </c>
      <c r="DB87" s="113">
        <v>6.8557919621749406</v>
      </c>
      <c r="DC87" s="113">
        <v>10.447761194029852</v>
      </c>
      <c r="DD87" s="113">
        <v>6.666666666666667</v>
      </c>
      <c r="DE87" s="112"/>
      <c r="DF87" s="113">
        <v>83.606557377049185</v>
      </c>
      <c r="DG87" s="113">
        <v>87.061403508771932</v>
      </c>
      <c r="DH87" s="113">
        <v>88.705234159779607</v>
      </c>
      <c r="DI87" s="113">
        <v>89.265536723163848</v>
      </c>
      <c r="DJ87" s="112"/>
      <c r="DK87" s="114">
        <v>21.153846153846153</v>
      </c>
      <c r="DL87" s="114">
        <v>15.334773218142548</v>
      </c>
      <c r="DM87" s="114">
        <v>15.151515151515152</v>
      </c>
      <c r="DN87" s="114">
        <v>11.684782608695652</v>
      </c>
      <c r="DO87" s="112"/>
      <c r="DP87" s="113">
        <v>20.273348519362187</v>
      </c>
      <c r="DQ87" s="113">
        <v>22.317596566523605</v>
      </c>
      <c r="DR87" s="113">
        <v>24.517906336088153</v>
      </c>
      <c r="DS87" s="113">
        <v>25.745257452574524</v>
      </c>
      <c r="DT87" s="112"/>
      <c r="DU87" s="115">
        <v>2</v>
      </c>
      <c r="DV87" s="115">
        <v>3</v>
      </c>
      <c r="DW87" s="115">
        <v>6</v>
      </c>
      <c r="DX87" s="115">
        <v>0</v>
      </c>
      <c r="DY87" s="112"/>
      <c r="DZ87" s="116">
        <v>3.7</v>
      </c>
      <c r="EA87" s="116">
        <v>7.8431372549019605</v>
      </c>
      <c r="EB87" s="116">
        <v>7.55</v>
      </c>
      <c r="EC87" s="116">
        <v>8.1818181818181817</v>
      </c>
      <c r="ED87" s="112"/>
      <c r="EE87" s="113">
        <v>95.522388059701498</v>
      </c>
      <c r="EF87" s="113">
        <v>0</v>
      </c>
      <c r="EG87" s="113">
        <v>2.9850746268656718</v>
      </c>
      <c r="EH87" s="113">
        <v>0</v>
      </c>
      <c r="EI87" s="113">
        <v>1.4925373134328359</v>
      </c>
      <c r="EJ87" s="113" t="s">
        <v>46</v>
      </c>
      <c r="EK87" s="113"/>
      <c r="EL87" s="115">
        <v>401</v>
      </c>
      <c r="EM87" s="115">
        <v>378</v>
      </c>
      <c r="EN87" s="115">
        <v>371</v>
      </c>
      <c r="EO87" s="115">
        <v>388</v>
      </c>
      <c r="EP87" s="112"/>
      <c r="EQ87" s="114">
        <v>1081.2122519413288</v>
      </c>
      <c r="ER87" s="114">
        <v>1036.0422091270384</v>
      </c>
      <c r="ES87" s="114">
        <v>1075.5805525758849</v>
      </c>
      <c r="ET87" s="114">
        <v>1205.7927776741874</v>
      </c>
      <c r="EU87" s="112"/>
      <c r="EV87" s="113">
        <v>809.78608368000005</v>
      </c>
      <c r="EW87" s="113">
        <v>772.15923304</v>
      </c>
      <c r="EX87" s="113">
        <v>773.35021634999998</v>
      </c>
      <c r="EY87" s="113">
        <v>810.92694188999997</v>
      </c>
      <c r="EZ87" s="112"/>
      <c r="FA87" s="115">
        <v>148</v>
      </c>
      <c r="FB87" s="115">
        <v>111</v>
      </c>
      <c r="FC87" s="115">
        <v>105</v>
      </c>
      <c r="FD87" s="115">
        <v>134</v>
      </c>
      <c r="FE87" s="112"/>
      <c r="FF87" s="115">
        <v>83</v>
      </c>
      <c r="FG87" s="115">
        <v>90</v>
      </c>
      <c r="FH87" s="115">
        <v>83</v>
      </c>
      <c r="FI87" s="115">
        <v>78</v>
      </c>
      <c r="FJ87" s="112"/>
      <c r="FK87" s="115">
        <v>29</v>
      </c>
      <c r="FL87" s="115">
        <v>26</v>
      </c>
      <c r="FM87" s="115">
        <v>36</v>
      </c>
      <c r="FN87" s="115">
        <v>30</v>
      </c>
      <c r="FO87" s="112"/>
      <c r="FP87" s="115">
        <v>11</v>
      </c>
      <c r="FQ87" s="115">
        <v>15</v>
      </c>
      <c r="FR87" s="115">
        <v>11</v>
      </c>
      <c r="FS87" s="115">
        <v>14</v>
      </c>
      <c r="FT87" s="112"/>
      <c r="FU87" s="113">
        <v>286.57043914000002</v>
      </c>
      <c r="FV87" s="113">
        <v>211.62272211999999</v>
      </c>
      <c r="FW87" s="113">
        <v>208.71352329000001</v>
      </c>
      <c r="FX87" s="113">
        <v>267.10052780000001</v>
      </c>
      <c r="FY87" s="112"/>
      <c r="FZ87" s="113">
        <v>175.55784130999999</v>
      </c>
      <c r="GA87" s="113">
        <v>195.82361721000001</v>
      </c>
      <c r="GB87" s="113">
        <v>185.49305161999999</v>
      </c>
      <c r="GC87" s="113">
        <v>179.53993561999999</v>
      </c>
      <c r="GD87" s="112"/>
      <c r="GE87" s="113">
        <v>52.705887179999998</v>
      </c>
      <c r="GF87" s="113">
        <v>46.852305010000002</v>
      </c>
      <c r="GG87" s="113">
        <v>62.668629260000003</v>
      </c>
      <c r="GH87" s="113">
        <v>55.8254582</v>
      </c>
      <c r="GI87" s="112"/>
      <c r="GJ87" s="113" t="s">
        <v>46</v>
      </c>
      <c r="GK87" s="113" t="s">
        <v>46</v>
      </c>
      <c r="GL87" s="113" t="s">
        <v>46</v>
      </c>
      <c r="GM87" s="113" t="s">
        <v>46</v>
      </c>
      <c r="GN87" s="112"/>
      <c r="GO87" s="113">
        <v>1022.2547666</v>
      </c>
      <c r="GP87" s="113">
        <v>964.04381939999996</v>
      </c>
      <c r="GQ87" s="113">
        <v>883.65474573999995</v>
      </c>
      <c r="GR87" s="113">
        <v>883.84587135000004</v>
      </c>
      <c r="GS87" s="112"/>
      <c r="GT87" s="113">
        <v>641.62023123999995</v>
      </c>
      <c r="GU87" s="113">
        <v>613.32838712</v>
      </c>
      <c r="GV87" s="113">
        <v>676.40328590000001</v>
      </c>
      <c r="GW87" s="113">
        <v>747.02593385</v>
      </c>
      <c r="GX87" s="112"/>
      <c r="GY87" s="112"/>
      <c r="GZ87" s="112"/>
      <c r="HA87" s="112"/>
      <c r="HB87" s="112"/>
      <c r="HC87" s="112"/>
      <c r="HD87" s="115">
        <v>72</v>
      </c>
      <c r="HE87" s="115">
        <v>0</v>
      </c>
      <c r="HF87" s="115">
        <v>1</v>
      </c>
      <c r="HG87" s="115">
        <v>0</v>
      </c>
      <c r="HH87" s="115">
        <v>1</v>
      </c>
      <c r="HI87" s="114">
        <v>30.414746543778801</v>
      </c>
      <c r="HJ87" s="114">
        <v>26.273885350318473</v>
      </c>
      <c r="HK87" s="113">
        <v>19.647696476964768</v>
      </c>
      <c r="HL87" s="112">
        <v>25</v>
      </c>
      <c r="HM87" s="112">
        <v>21</v>
      </c>
      <c r="HN87" s="112">
        <v>18</v>
      </c>
      <c r="HO87" s="112">
        <v>14</v>
      </c>
      <c r="HP87" s="112"/>
      <c r="HQ87" s="112">
        <v>36</v>
      </c>
      <c r="HR87" s="112">
        <v>29</v>
      </c>
      <c r="HS87" s="112">
        <v>35</v>
      </c>
      <c r="HT87" s="112">
        <v>22</v>
      </c>
      <c r="HU87" s="117"/>
    </row>
    <row r="88" spans="1:229" x14ac:dyDescent="0.2">
      <c r="A88" s="93">
        <v>85</v>
      </c>
      <c r="B88" s="98" t="s">
        <v>152</v>
      </c>
      <c r="C88" s="99">
        <v>49288</v>
      </c>
      <c r="D88" s="99">
        <v>49802</v>
      </c>
      <c r="E88" s="99">
        <v>49879</v>
      </c>
      <c r="F88" s="99">
        <v>49436</v>
      </c>
      <c r="G88" s="99">
        <v>51461</v>
      </c>
      <c r="H88" s="99">
        <v>19270</v>
      </c>
      <c r="I88" s="99">
        <v>19332</v>
      </c>
      <c r="J88" s="99">
        <v>19541</v>
      </c>
      <c r="K88" s="99">
        <v>19731</v>
      </c>
      <c r="L88" s="99">
        <v>19554</v>
      </c>
      <c r="M88" s="100">
        <v>19.526233585931625</v>
      </c>
      <c r="N88" s="100">
        <v>19.542785474032268</v>
      </c>
      <c r="O88" s="101">
        <v>20.002280761774433</v>
      </c>
      <c r="P88" s="101">
        <v>19.294077233561389</v>
      </c>
      <c r="Q88" s="102">
        <v>18.92871858261228</v>
      </c>
      <c r="R88" s="100">
        <v>23.031757968415572</v>
      </c>
      <c r="S88" s="100">
        <v>22.416053816772134</v>
      </c>
      <c r="T88" s="100">
        <v>22.20036492188391</v>
      </c>
      <c r="U88" s="100">
        <v>22.222540291414994</v>
      </c>
      <c r="V88" s="100">
        <v>22.428237879412169</v>
      </c>
      <c r="W88" s="100">
        <v>42.557991554347197</v>
      </c>
      <c r="X88" s="100">
        <v>41.958839290804399</v>
      </c>
      <c r="Y88" s="100">
        <v>42.202645683658339</v>
      </c>
      <c r="Z88" s="100">
        <v>41.516617524976382</v>
      </c>
      <c r="AA88" s="100">
        <v>41.356956462024449</v>
      </c>
      <c r="AB88" s="100" t="s">
        <v>175</v>
      </c>
      <c r="AC88" s="100">
        <v>4.2</v>
      </c>
      <c r="AD88" s="100">
        <v>4.7</v>
      </c>
      <c r="AE88" s="100">
        <v>7.8</v>
      </c>
      <c r="AF88" s="100">
        <v>6.8</v>
      </c>
      <c r="AG88" s="99">
        <v>893.75</v>
      </c>
      <c r="AH88" s="99">
        <v>915.33333333333337</v>
      </c>
      <c r="AI88" s="104">
        <v>946.16666666666663</v>
      </c>
      <c r="AJ88" s="104">
        <v>1214.8333333333333</v>
      </c>
      <c r="AK88" s="105">
        <v>1462.4166666666667</v>
      </c>
      <c r="AL88" s="106">
        <v>47005</v>
      </c>
      <c r="AM88" s="106">
        <v>543</v>
      </c>
      <c r="AN88" s="106">
        <v>124</v>
      </c>
      <c r="AO88" s="106">
        <v>1287</v>
      </c>
      <c r="AP88" s="106">
        <v>0</v>
      </c>
      <c r="AQ88" s="106">
        <v>677</v>
      </c>
      <c r="AR88" s="106">
        <v>48573</v>
      </c>
      <c r="AS88" s="106">
        <v>650</v>
      </c>
      <c r="AT88" s="106">
        <v>133</v>
      </c>
      <c r="AU88" s="106">
        <v>1103</v>
      </c>
      <c r="AV88" s="106">
        <v>601</v>
      </c>
      <c r="AW88" s="106">
        <v>1244</v>
      </c>
      <c r="AX88" s="107">
        <v>28943</v>
      </c>
      <c r="AY88" s="107">
        <v>30376</v>
      </c>
      <c r="AZ88" s="107">
        <v>32964</v>
      </c>
      <c r="BA88" s="107">
        <v>34499</v>
      </c>
      <c r="BB88" s="107">
        <v>34327</v>
      </c>
      <c r="BC88" s="107">
        <v>40686</v>
      </c>
      <c r="BD88" s="107">
        <v>41788</v>
      </c>
      <c r="BE88" s="107">
        <v>44485</v>
      </c>
      <c r="BF88" s="108">
        <v>45155</v>
      </c>
      <c r="BG88" s="108">
        <v>42751</v>
      </c>
      <c r="BH88" s="100">
        <v>14.1</v>
      </c>
      <c r="BI88" s="100">
        <v>13</v>
      </c>
      <c r="BJ88" s="100">
        <v>11.5</v>
      </c>
      <c r="BK88" s="100">
        <v>13.7</v>
      </c>
      <c r="BL88" s="100">
        <v>16.399999999999999</v>
      </c>
      <c r="BM88" s="100">
        <v>12.3</v>
      </c>
      <c r="BN88" s="109">
        <v>12.4</v>
      </c>
      <c r="BO88" s="109">
        <v>11.7</v>
      </c>
      <c r="BP88" s="109">
        <v>11.7</v>
      </c>
      <c r="BQ88" s="100">
        <v>13</v>
      </c>
      <c r="BR88" s="106">
        <v>5974</v>
      </c>
      <c r="BS88" s="118">
        <v>5838</v>
      </c>
      <c r="BT88" s="118">
        <v>5716</v>
      </c>
      <c r="BU88" s="110">
        <v>5632</v>
      </c>
      <c r="BV88" s="100">
        <v>33.093404753933712</v>
      </c>
      <c r="BW88" s="100">
        <v>30.678314491264132</v>
      </c>
      <c r="BX88" s="100">
        <v>34.797060881735483</v>
      </c>
      <c r="BY88" s="103">
        <v>35.3515625</v>
      </c>
      <c r="BZ88" s="100">
        <v>2.4606628724472714</v>
      </c>
      <c r="CA88" s="100">
        <v>2.6207605344295994</v>
      </c>
      <c r="CB88" s="100">
        <v>2.3792862141357594</v>
      </c>
      <c r="CC88" s="103">
        <v>2.5213068181818183</v>
      </c>
      <c r="CD88" s="100">
        <v>15.483762972882491</v>
      </c>
      <c r="CE88" s="100">
        <v>15.758821514217198</v>
      </c>
      <c r="CF88" s="100">
        <v>16.217634709587124</v>
      </c>
      <c r="CG88" s="103">
        <v>16.637073863636363</v>
      </c>
      <c r="CH88" s="100">
        <v>82.051282051282058</v>
      </c>
      <c r="CI88" s="105">
        <v>83.04</v>
      </c>
      <c r="CJ88" s="111">
        <v>83.03</v>
      </c>
      <c r="CK88" s="111">
        <v>81.818181818181813</v>
      </c>
      <c r="CL88" s="112">
        <v>2845</v>
      </c>
      <c r="CM88" s="112">
        <v>2790</v>
      </c>
      <c r="CN88" s="112">
        <v>2637</v>
      </c>
      <c r="CO88" s="112">
        <v>2585</v>
      </c>
      <c r="CP88" s="112"/>
      <c r="CQ88" s="113">
        <v>11.813165139328913</v>
      </c>
      <c r="CR88" s="113">
        <v>11.504063532118604</v>
      </c>
      <c r="CS88" s="113">
        <v>10.678188473873465</v>
      </c>
      <c r="CT88" s="113">
        <v>10.345545212233757</v>
      </c>
      <c r="CU88" s="112"/>
      <c r="CV88" s="114">
        <v>3.8322487346348519</v>
      </c>
      <c r="CW88" s="114">
        <v>3.8748137108792848</v>
      </c>
      <c r="CX88" s="114">
        <v>3.9550213260953857</v>
      </c>
      <c r="CY88" s="114">
        <v>3.8275584206285256</v>
      </c>
      <c r="CZ88" s="112"/>
      <c r="DA88" s="113">
        <v>6.7175572519083966</v>
      </c>
      <c r="DB88" s="113">
        <v>7.7623590633130961</v>
      </c>
      <c r="DC88" s="113">
        <v>7.7898550724637685</v>
      </c>
      <c r="DD88" s="113">
        <v>6.3484708063021316</v>
      </c>
      <c r="DE88" s="112"/>
      <c r="DF88" s="113">
        <v>86.035545883206382</v>
      </c>
      <c r="DG88" s="113">
        <v>88.808250572956453</v>
      </c>
      <c r="DH88" s="113">
        <v>88.654970760233923</v>
      </c>
      <c r="DI88" s="113">
        <v>86.813186813186817</v>
      </c>
      <c r="DJ88" s="112"/>
      <c r="DK88" s="114">
        <v>13.330924855491329</v>
      </c>
      <c r="DL88" s="114">
        <v>11.572373254959588</v>
      </c>
      <c r="DM88" s="114">
        <v>9.0452261306532655</v>
      </c>
      <c r="DN88" s="114">
        <v>11.436377829820453</v>
      </c>
      <c r="DO88" s="112"/>
      <c r="DP88" s="113">
        <v>20.984182776801404</v>
      </c>
      <c r="DQ88" s="113">
        <v>23.655913978494624</v>
      </c>
      <c r="DR88" s="113">
        <v>25.293894577171027</v>
      </c>
      <c r="DS88" s="113">
        <v>31.334622823984525</v>
      </c>
      <c r="DT88" s="112"/>
      <c r="DU88" s="115">
        <v>16</v>
      </c>
      <c r="DV88" s="115">
        <v>16</v>
      </c>
      <c r="DW88" s="115">
        <v>14</v>
      </c>
      <c r="DX88" s="115">
        <v>18</v>
      </c>
      <c r="DY88" s="112"/>
      <c r="DZ88" s="116">
        <v>4.76</v>
      </c>
      <c r="EA88" s="116">
        <v>4.8214285714285712</v>
      </c>
      <c r="EB88" s="116">
        <v>4.5</v>
      </c>
      <c r="EC88" s="116">
        <v>4.338842975206612</v>
      </c>
      <c r="ED88" s="112"/>
      <c r="EE88" s="113">
        <v>91.448931116389545</v>
      </c>
      <c r="EF88" s="113">
        <v>2.3752969121140142</v>
      </c>
      <c r="EG88" s="113">
        <v>0</v>
      </c>
      <c r="EH88" s="113">
        <v>2.6128266033254155</v>
      </c>
      <c r="EI88" s="113">
        <v>4.5673076923076925</v>
      </c>
      <c r="EJ88" s="113">
        <v>10.788091068301226</v>
      </c>
      <c r="EK88" s="113"/>
      <c r="EL88" s="115">
        <v>2150</v>
      </c>
      <c r="EM88" s="115">
        <v>2119</v>
      </c>
      <c r="EN88" s="115">
        <v>1967</v>
      </c>
      <c r="EO88" s="115">
        <v>2025</v>
      </c>
      <c r="EP88" s="112"/>
      <c r="EQ88" s="114">
        <v>892.73479963294062</v>
      </c>
      <c r="ER88" s="114">
        <v>873.73156360427674</v>
      </c>
      <c r="ES88" s="114">
        <v>796.51106287861603</v>
      </c>
      <c r="ET88" s="114">
        <v>810.43439283455928</v>
      </c>
      <c r="EU88" s="112"/>
      <c r="EV88" s="113">
        <v>808.68062312999996</v>
      </c>
      <c r="EW88" s="113">
        <v>778.07704422999996</v>
      </c>
      <c r="EX88" s="113">
        <v>698.12932392000005</v>
      </c>
      <c r="EY88" s="113">
        <v>668.83692140999995</v>
      </c>
      <c r="EZ88" s="112"/>
      <c r="FA88" s="115">
        <v>724</v>
      </c>
      <c r="FB88" s="115">
        <v>651</v>
      </c>
      <c r="FC88" s="115">
        <v>532</v>
      </c>
      <c r="FD88" s="115">
        <v>505</v>
      </c>
      <c r="FE88" s="112"/>
      <c r="FF88" s="115">
        <v>488</v>
      </c>
      <c r="FG88" s="115">
        <v>493</v>
      </c>
      <c r="FH88" s="115">
        <v>502</v>
      </c>
      <c r="FI88" s="115">
        <v>479</v>
      </c>
      <c r="FJ88" s="112"/>
      <c r="FK88" s="115">
        <v>177</v>
      </c>
      <c r="FL88" s="115">
        <v>161</v>
      </c>
      <c r="FM88" s="115">
        <v>128</v>
      </c>
      <c r="FN88" s="115">
        <v>105</v>
      </c>
      <c r="FO88" s="112"/>
      <c r="FP88" s="115">
        <v>84</v>
      </c>
      <c r="FQ88" s="115">
        <v>90</v>
      </c>
      <c r="FR88" s="115">
        <v>80</v>
      </c>
      <c r="FS88" s="115">
        <v>111</v>
      </c>
      <c r="FT88" s="112"/>
      <c r="FU88" s="113">
        <v>267.57353747000002</v>
      </c>
      <c r="FV88" s="113">
        <v>234.72584959</v>
      </c>
      <c r="FW88" s="113">
        <v>180.82642081</v>
      </c>
      <c r="FX88" s="113">
        <v>160.79800610999999</v>
      </c>
      <c r="FY88" s="112"/>
      <c r="FZ88" s="113">
        <v>193.94371505000001</v>
      </c>
      <c r="GA88" s="113">
        <v>191.68539233999999</v>
      </c>
      <c r="GB88" s="113">
        <v>193.04455037</v>
      </c>
      <c r="GC88" s="113">
        <v>169.5388088</v>
      </c>
      <c r="GD88" s="112"/>
      <c r="GE88" s="113">
        <v>63.407003490000001</v>
      </c>
      <c r="GF88" s="113">
        <v>55.86559647</v>
      </c>
      <c r="GG88" s="113">
        <v>42.443570020000003</v>
      </c>
      <c r="GH88" s="113">
        <v>33.015195540000001</v>
      </c>
      <c r="GI88" s="112"/>
      <c r="GJ88" s="113">
        <v>32.252263939999999</v>
      </c>
      <c r="GK88" s="113">
        <v>34.3533349</v>
      </c>
      <c r="GL88" s="113">
        <v>30.703178699999999</v>
      </c>
      <c r="GM88" s="113">
        <v>41.049726100000001</v>
      </c>
      <c r="GN88" s="112"/>
      <c r="GO88" s="113">
        <v>1017.1708405099999</v>
      </c>
      <c r="GP88" s="113">
        <v>976.01869452000005</v>
      </c>
      <c r="GQ88" s="113">
        <v>841.66697485999998</v>
      </c>
      <c r="GR88" s="113">
        <v>818.03826057000003</v>
      </c>
      <c r="GS88" s="112"/>
      <c r="GT88" s="113">
        <v>651.56988178999995</v>
      </c>
      <c r="GU88" s="113">
        <v>627.94533549000005</v>
      </c>
      <c r="GV88" s="113">
        <v>594.29314121000004</v>
      </c>
      <c r="GW88" s="113">
        <v>556.05055270000003</v>
      </c>
      <c r="GX88" s="112"/>
      <c r="GY88" s="112"/>
      <c r="GZ88" s="112"/>
      <c r="HA88" s="112"/>
      <c r="HB88" s="112"/>
      <c r="HC88" s="112"/>
      <c r="HD88" s="115">
        <v>392</v>
      </c>
      <c r="HE88" s="115">
        <v>0</v>
      </c>
      <c r="HF88" s="115">
        <v>0</v>
      </c>
      <c r="HG88" s="115">
        <v>0</v>
      </c>
      <c r="HH88" s="115">
        <v>1</v>
      </c>
      <c r="HI88" s="114">
        <v>19.759721783117293</v>
      </c>
      <c r="HJ88" s="114">
        <v>16.580903373356204</v>
      </c>
      <c r="HK88" s="113">
        <v>13.518560011950107</v>
      </c>
      <c r="HL88" s="112">
        <v>106</v>
      </c>
      <c r="HM88" s="112">
        <v>104</v>
      </c>
      <c r="HN88" s="112">
        <v>102</v>
      </c>
      <c r="HO88" s="112">
        <v>95</v>
      </c>
      <c r="HP88" s="112"/>
      <c r="HQ88" s="112">
        <v>176</v>
      </c>
      <c r="HR88" s="112">
        <v>179</v>
      </c>
      <c r="HS88" s="112">
        <v>172</v>
      </c>
      <c r="HT88" s="112">
        <v>137</v>
      </c>
      <c r="HU88" s="117"/>
    </row>
    <row r="89" spans="1:229" x14ac:dyDescent="0.2">
      <c r="A89" s="93">
        <v>86</v>
      </c>
      <c r="B89" s="98" t="s">
        <v>153</v>
      </c>
      <c r="C89" s="99">
        <v>114787</v>
      </c>
      <c r="D89" s="99">
        <v>117372</v>
      </c>
      <c r="E89" s="99">
        <v>119701</v>
      </c>
      <c r="F89" s="99">
        <v>121907</v>
      </c>
      <c r="G89" s="99">
        <v>124700</v>
      </c>
      <c r="H89" s="99">
        <v>41923</v>
      </c>
      <c r="I89" s="99">
        <v>42836</v>
      </c>
      <c r="J89" s="99">
        <v>43878</v>
      </c>
      <c r="K89" s="99">
        <v>44627</v>
      </c>
      <c r="L89" s="99">
        <v>44473</v>
      </c>
      <c r="M89" s="100">
        <v>12.189627679769167</v>
      </c>
      <c r="N89" s="100">
        <v>12.623903383844137</v>
      </c>
      <c r="O89" s="101">
        <v>12.93262058677275</v>
      </c>
      <c r="P89" s="101">
        <v>13.880688117393525</v>
      </c>
      <c r="Q89" s="102">
        <v>14.697587349286303</v>
      </c>
      <c r="R89" s="100">
        <v>33.077273532612821</v>
      </c>
      <c r="S89" s="100">
        <v>35.961414302533136</v>
      </c>
      <c r="T89" s="100">
        <v>35.875186474390851</v>
      </c>
      <c r="U89" s="100">
        <v>37.977253758859945</v>
      </c>
      <c r="V89" s="100">
        <v>38.87951525302659</v>
      </c>
      <c r="W89" s="100">
        <v>45.266901212381988</v>
      </c>
      <c r="X89" s="100">
        <v>48.585317686377273</v>
      </c>
      <c r="Y89" s="100">
        <v>48.807807061163601</v>
      </c>
      <c r="Z89" s="100">
        <v>51.85794187625347</v>
      </c>
      <c r="AA89" s="100">
        <v>53.577102602312891</v>
      </c>
      <c r="AB89" s="100" t="s">
        <v>181</v>
      </c>
      <c r="AC89" s="100">
        <v>5.0999999999999996</v>
      </c>
      <c r="AD89" s="100">
        <v>6.2</v>
      </c>
      <c r="AE89" s="100">
        <v>9.1999999999999993</v>
      </c>
      <c r="AF89" s="100">
        <v>7.9</v>
      </c>
      <c r="AG89" s="99">
        <v>1153.25</v>
      </c>
      <c r="AH89" s="99">
        <v>1284.5833333333333</v>
      </c>
      <c r="AI89" s="104">
        <v>1393</v>
      </c>
      <c r="AJ89" s="104">
        <v>1832.5833333333333</v>
      </c>
      <c r="AK89" s="105">
        <v>2353.6666666666665</v>
      </c>
      <c r="AL89" s="106">
        <v>110929</v>
      </c>
      <c r="AM89" s="106">
        <v>910</v>
      </c>
      <c r="AN89" s="106">
        <v>417</v>
      </c>
      <c r="AO89" s="106">
        <v>1503</v>
      </c>
      <c r="AP89" s="106">
        <v>0</v>
      </c>
      <c r="AQ89" s="106">
        <v>2216</v>
      </c>
      <c r="AR89" s="106">
        <v>118518</v>
      </c>
      <c r="AS89" s="106">
        <v>1328</v>
      </c>
      <c r="AT89" s="106">
        <v>419</v>
      </c>
      <c r="AU89" s="106">
        <v>1522</v>
      </c>
      <c r="AV89" s="106">
        <v>1906</v>
      </c>
      <c r="AW89" s="106">
        <v>3052</v>
      </c>
      <c r="AX89" s="107">
        <v>30778</v>
      </c>
      <c r="AY89" s="107">
        <v>31488</v>
      </c>
      <c r="AZ89" s="107">
        <v>33122</v>
      </c>
      <c r="BA89" s="107">
        <v>34466</v>
      </c>
      <c r="BB89" s="107">
        <v>33139</v>
      </c>
      <c r="BC89" s="107">
        <v>60018</v>
      </c>
      <c r="BD89" s="107">
        <v>62311</v>
      </c>
      <c r="BE89" s="107">
        <v>67391</v>
      </c>
      <c r="BF89" s="108">
        <v>66825</v>
      </c>
      <c r="BG89" s="108">
        <v>67171</v>
      </c>
      <c r="BH89" s="100">
        <v>5</v>
      </c>
      <c r="BI89" s="100">
        <v>6.1</v>
      </c>
      <c r="BJ89" s="100">
        <v>5</v>
      </c>
      <c r="BK89" s="100">
        <v>5.6</v>
      </c>
      <c r="BL89" s="100">
        <v>6.2</v>
      </c>
      <c r="BM89" s="100">
        <v>6.1</v>
      </c>
      <c r="BN89" s="109">
        <v>6.9</v>
      </c>
      <c r="BO89" s="109">
        <v>5.9</v>
      </c>
      <c r="BP89" s="109">
        <v>6.4</v>
      </c>
      <c r="BQ89" s="100">
        <v>7.4</v>
      </c>
      <c r="BR89" s="106">
        <v>22594</v>
      </c>
      <c r="BS89" s="118">
        <v>22775</v>
      </c>
      <c r="BT89" s="118">
        <v>25458</v>
      </c>
      <c r="BU89" s="110">
        <v>25626</v>
      </c>
      <c r="BV89" s="100">
        <v>17.756926617686112</v>
      </c>
      <c r="BW89" s="100">
        <v>19.525795828759605</v>
      </c>
      <c r="BX89" s="100">
        <v>23.454316914133084</v>
      </c>
      <c r="BY89" s="103">
        <v>25.005853430110044</v>
      </c>
      <c r="BZ89" s="100">
        <v>1.9341418075595289</v>
      </c>
      <c r="CA89" s="100">
        <v>2.0548847420417125</v>
      </c>
      <c r="CB89" s="100">
        <v>1.7676172519443789</v>
      </c>
      <c r="CC89" s="103">
        <v>1.8262701943338797</v>
      </c>
      <c r="CD89" s="100">
        <v>13.410639992918474</v>
      </c>
      <c r="CE89" s="100">
        <v>13.545554335894622</v>
      </c>
      <c r="CF89" s="100">
        <v>13.327834079660617</v>
      </c>
      <c r="CG89" s="103">
        <v>13.369234371341607</v>
      </c>
      <c r="CH89" s="100">
        <v>83.589200635256745</v>
      </c>
      <c r="CI89" s="105">
        <v>86.89</v>
      </c>
      <c r="CJ89" s="111">
        <v>87.35</v>
      </c>
      <c r="CK89" s="111">
        <v>87.671232876712324</v>
      </c>
      <c r="CL89" s="112">
        <v>5950</v>
      </c>
      <c r="CM89" s="112">
        <v>6729</v>
      </c>
      <c r="CN89" s="112">
        <v>9015</v>
      </c>
      <c r="CO89" s="112">
        <v>10273</v>
      </c>
      <c r="CP89" s="112"/>
      <c r="CQ89" s="113">
        <v>15.968181720591708</v>
      </c>
      <c r="CR89" s="113">
        <v>15.762990587651036</v>
      </c>
      <c r="CS89" s="113">
        <v>17.607800167581726</v>
      </c>
      <c r="CT89" s="113">
        <v>17.16552458197361</v>
      </c>
      <c r="CU89" s="112"/>
      <c r="CV89" s="114">
        <v>3.0062197650310987</v>
      </c>
      <c r="CW89" s="114">
        <v>4.1213421173586644</v>
      </c>
      <c r="CX89" s="114">
        <v>3.9249342029980547</v>
      </c>
      <c r="CY89" s="114">
        <v>4.0258952053408859</v>
      </c>
      <c r="CZ89" s="112"/>
      <c r="DA89" s="113">
        <v>6.3093880653743826</v>
      </c>
      <c r="DB89" s="113">
        <v>7.7370763437179049</v>
      </c>
      <c r="DC89" s="113">
        <v>8.0912587876376172</v>
      </c>
      <c r="DD89" s="113">
        <v>7.4805068226120861</v>
      </c>
      <c r="DE89" s="112"/>
      <c r="DF89" s="113">
        <v>86.745291321950361</v>
      </c>
      <c r="DG89" s="113">
        <v>90.69547390001577</v>
      </c>
      <c r="DH89" s="113">
        <v>90.996034522976444</v>
      </c>
      <c r="DI89" s="113">
        <v>90.116516762060513</v>
      </c>
      <c r="DJ89" s="112"/>
      <c r="DK89" s="114">
        <v>14.495284666433811</v>
      </c>
      <c r="DL89" s="114">
        <v>11.549803407601573</v>
      </c>
      <c r="DM89" s="114">
        <v>10.504053577722948</v>
      </c>
      <c r="DN89" s="114">
        <v>8.2345912575923528</v>
      </c>
      <c r="DO89" s="112"/>
      <c r="DP89" s="113">
        <v>16.82635737098672</v>
      </c>
      <c r="DQ89" s="113">
        <v>16.919417187035386</v>
      </c>
      <c r="DR89" s="113">
        <v>16.507654759263367</v>
      </c>
      <c r="DS89" s="113">
        <v>19.410104156526817</v>
      </c>
      <c r="DT89" s="112"/>
      <c r="DU89" s="115">
        <v>33</v>
      </c>
      <c r="DV89" s="115">
        <v>33</v>
      </c>
      <c r="DW89" s="115">
        <v>35</v>
      </c>
      <c r="DX89" s="115">
        <v>42</v>
      </c>
      <c r="DY89" s="112"/>
      <c r="DZ89" s="116">
        <v>3.76</v>
      </c>
      <c r="EA89" s="116">
        <v>3.248898678414097</v>
      </c>
      <c r="EB89" s="116">
        <v>2.69</v>
      </c>
      <c r="EC89" s="116">
        <v>2.8451001053740779</v>
      </c>
      <c r="ED89" s="112"/>
      <c r="EE89" s="113">
        <v>94.923320994182973</v>
      </c>
      <c r="EF89" s="113">
        <v>1.0047593865679534</v>
      </c>
      <c r="EG89" s="113">
        <v>0.26441036488630354</v>
      </c>
      <c r="EH89" s="113">
        <v>2.1681649920676889</v>
      </c>
      <c r="EI89" s="113">
        <v>2.4274406332453826</v>
      </c>
      <c r="EJ89" s="113">
        <v>22.32781524627018</v>
      </c>
      <c r="EK89" s="113"/>
      <c r="EL89" s="115">
        <v>2383</v>
      </c>
      <c r="EM89" s="115">
        <v>2560</v>
      </c>
      <c r="EN89" s="115">
        <v>2872</v>
      </c>
      <c r="EO89" s="115">
        <v>3126</v>
      </c>
      <c r="EP89" s="112"/>
      <c r="EQ89" s="114">
        <v>639.53238722974857</v>
      </c>
      <c r="ER89" s="114">
        <v>599.6917209746864</v>
      </c>
      <c r="ES89" s="114">
        <v>560.94955165052374</v>
      </c>
      <c r="ET89" s="114">
        <v>522.33456481309747</v>
      </c>
      <c r="EU89" s="112"/>
      <c r="EV89" s="113">
        <v>814.40605447999997</v>
      </c>
      <c r="EW89" s="113">
        <v>773.45837776999997</v>
      </c>
      <c r="EX89" s="113">
        <v>749.45584995000002</v>
      </c>
      <c r="EY89" s="113">
        <v>695.12294749</v>
      </c>
      <c r="EZ89" s="112"/>
      <c r="FA89" s="115">
        <v>693</v>
      </c>
      <c r="FB89" s="115">
        <v>603</v>
      </c>
      <c r="FC89" s="115">
        <v>598</v>
      </c>
      <c r="FD89" s="115">
        <v>562</v>
      </c>
      <c r="FE89" s="112"/>
      <c r="FF89" s="115">
        <v>556</v>
      </c>
      <c r="FG89" s="115">
        <v>588</v>
      </c>
      <c r="FH89" s="115">
        <v>666</v>
      </c>
      <c r="FI89" s="115">
        <v>828</v>
      </c>
      <c r="FJ89" s="112"/>
      <c r="FK89" s="115">
        <v>223</v>
      </c>
      <c r="FL89" s="115">
        <v>221</v>
      </c>
      <c r="FM89" s="115">
        <v>199</v>
      </c>
      <c r="FN89" s="115">
        <v>171</v>
      </c>
      <c r="FO89" s="112"/>
      <c r="FP89" s="115">
        <v>133</v>
      </c>
      <c r="FQ89" s="115">
        <v>161</v>
      </c>
      <c r="FR89" s="115">
        <v>195</v>
      </c>
      <c r="FS89" s="115">
        <v>200</v>
      </c>
      <c r="FT89" s="112"/>
      <c r="FU89" s="113">
        <v>241.89632822999999</v>
      </c>
      <c r="FV89" s="113">
        <v>185.77284395000001</v>
      </c>
      <c r="FW89" s="113">
        <v>158.91756805</v>
      </c>
      <c r="FX89" s="113">
        <v>128.35716919000001</v>
      </c>
      <c r="FY89" s="112"/>
      <c r="FZ89" s="113">
        <v>191.39467524</v>
      </c>
      <c r="GA89" s="113">
        <v>177.62727587000001</v>
      </c>
      <c r="GB89" s="113">
        <v>174.68201467</v>
      </c>
      <c r="GC89" s="113">
        <v>182.30189364</v>
      </c>
      <c r="GD89" s="112"/>
      <c r="GE89" s="113">
        <v>77.955312950000007</v>
      </c>
      <c r="GF89" s="113">
        <v>68.219836310000005</v>
      </c>
      <c r="GG89" s="113">
        <v>54.688426919999998</v>
      </c>
      <c r="GH89" s="113">
        <v>39.922782650000002</v>
      </c>
      <c r="GI89" s="112"/>
      <c r="GJ89" s="113">
        <v>37.692404609999997</v>
      </c>
      <c r="GK89" s="113">
        <v>42.623274610000003</v>
      </c>
      <c r="GL89" s="113">
        <v>43.54734217</v>
      </c>
      <c r="GM89" s="113">
        <v>39.465250349999998</v>
      </c>
      <c r="GN89" s="112"/>
      <c r="GO89" s="113">
        <v>1023.88299338</v>
      </c>
      <c r="GP89" s="113">
        <v>899.54142027</v>
      </c>
      <c r="GQ89" s="113">
        <v>899.33998056999997</v>
      </c>
      <c r="GR89" s="113">
        <v>792.60530834999997</v>
      </c>
      <c r="GS89" s="112"/>
      <c r="GT89" s="113">
        <v>641.21560490000002</v>
      </c>
      <c r="GU89" s="113">
        <v>666.25386175000006</v>
      </c>
      <c r="GV89" s="113">
        <v>634.71805984000002</v>
      </c>
      <c r="GW89" s="113">
        <v>617.82384422999996</v>
      </c>
      <c r="GX89" s="112"/>
      <c r="GY89" s="112"/>
      <c r="GZ89" s="112"/>
      <c r="HA89" s="112"/>
      <c r="HB89" s="112"/>
      <c r="HC89" s="112"/>
      <c r="HD89" s="115">
        <v>668</v>
      </c>
      <c r="HE89" s="115">
        <v>2</v>
      </c>
      <c r="HF89" s="115">
        <v>1</v>
      </c>
      <c r="HG89" s="115">
        <v>0</v>
      </c>
      <c r="HH89" s="115">
        <v>2</v>
      </c>
      <c r="HI89" s="114">
        <v>26.421990405847865</v>
      </c>
      <c r="HJ89" s="114">
        <v>24.553703813534192</v>
      </c>
      <c r="HK89" s="113">
        <v>21.163464069491972</v>
      </c>
      <c r="HL89" s="112">
        <v>174</v>
      </c>
      <c r="HM89" s="112">
        <v>269</v>
      </c>
      <c r="HN89" s="112">
        <v>343</v>
      </c>
      <c r="HO89" s="112">
        <v>398</v>
      </c>
      <c r="HP89" s="112"/>
      <c r="HQ89" s="112">
        <v>332</v>
      </c>
      <c r="HR89" s="112">
        <v>452</v>
      </c>
      <c r="HS89" s="112">
        <v>610</v>
      </c>
      <c r="HT89" s="112">
        <v>614</v>
      </c>
      <c r="HU89" s="117"/>
    </row>
    <row r="90" spans="1:229" ht="21" customHeight="1" x14ac:dyDescent="0.2">
      <c r="A90" s="93">
        <v>87</v>
      </c>
      <c r="B90" s="98" t="s">
        <v>154</v>
      </c>
      <c r="C90" s="99">
        <v>10430</v>
      </c>
      <c r="D90" s="99">
        <v>10128</v>
      </c>
      <c r="E90" s="99">
        <v>9958</v>
      </c>
      <c r="F90" s="99">
        <v>9867</v>
      </c>
      <c r="G90" s="99">
        <v>10438</v>
      </c>
      <c r="H90" s="99">
        <v>4327</v>
      </c>
      <c r="I90" s="99">
        <v>4323</v>
      </c>
      <c r="J90" s="99">
        <v>4329</v>
      </c>
      <c r="K90" s="99">
        <v>4286</v>
      </c>
      <c r="L90" s="99">
        <v>4292</v>
      </c>
      <c r="M90" s="100">
        <v>32.867132867132867</v>
      </c>
      <c r="N90" s="100">
        <v>33.873816021833356</v>
      </c>
      <c r="O90" s="101">
        <v>34.870364292746963</v>
      </c>
      <c r="P90" s="101">
        <v>34.869302949061662</v>
      </c>
      <c r="Q90" s="102">
        <v>31.774092615769714</v>
      </c>
      <c r="R90" s="100">
        <v>29.215229215229215</v>
      </c>
      <c r="S90" s="100">
        <v>28.720500882966771</v>
      </c>
      <c r="T90" s="100">
        <v>28.536265178864458</v>
      </c>
      <c r="U90" s="100">
        <v>30.462466487935657</v>
      </c>
      <c r="V90" s="100">
        <v>31.523779724655821</v>
      </c>
      <c r="W90" s="100">
        <v>62.082362082362089</v>
      </c>
      <c r="X90" s="100">
        <v>62.594316904800131</v>
      </c>
      <c r="Y90" s="100">
        <v>63.406629471611417</v>
      </c>
      <c r="Z90" s="100">
        <v>65.33176943699732</v>
      </c>
      <c r="AA90" s="100">
        <v>63.297872340425535</v>
      </c>
      <c r="AB90" s="100" t="s">
        <v>174</v>
      </c>
      <c r="AC90" s="100">
        <v>4.3</v>
      </c>
      <c r="AD90" s="100">
        <v>5.0999999999999996</v>
      </c>
      <c r="AE90" s="100">
        <v>6.7</v>
      </c>
      <c r="AF90" s="100">
        <v>6.1</v>
      </c>
      <c r="AG90" s="99">
        <v>172.41666666666666</v>
      </c>
      <c r="AH90" s="99">
        <v>159.58333333333334</v>
      </c>
      <c r="AI90" s="104">
        <v>157.08333333333334</v>
      </c>
      <c r="AJ90" s="104">
        <v>213.58333333333334</v>
      </c>
      <c r="AK90" s="105">
        <v>242.41666666666666</v>
      </c>
      <c r="AL90" s="106">
        <v>10058</v>
      </c>
      <c r="AM90" s="106">
        <v>19</v>
      </c>
      <c r="AN90" s="106">
        <v>264</v>
      </c>
      <c r="AO90" s="106">
        <v>19</v>
      </c>
      <c r="AP90" s="106">
        <v>0</v>
      </c>
      <c r="AQ90" s="106">
        <v>275</v>
      </c>
      <c r="AR90" s="106">
        <v>9806</v>
      </c>
      <c r="AS90" s="106">
        <v>16</v>
      </c>
      <c r="AT90" s="106">
        <v>314</v>
      </c>
      <c r="AU90" s="106">
        <v>39</v>
      </c>
      <c r="AV90" s="106">
        <v>125</v>
      </c>
      <c r="AW90" s="106">
        <v>397</v>
      </c>
      <c r="AX90" s="107">
        <v>29596</v>
      </c>
      <c r="AY90" s="107">
        <v>30059</v>
      </c>
      <c r="AZ90" s="107">
        <v>33740</v>
      </c>
      <c r="BA90" s="107">
        <v>38281</v>
      </c>
      <c r="BB90" s="107">
        <v>40610</v>
      </c>
      <c r="BC90" s="107">
        <v>38613</v>
      </c>
      <c r="BD90" s="107">
        <v>41287</v>
      </c>
      <c r="BE90" s="107">
        <v>44602</v>
      </c>
      <c r="BF90" s="108">
        <v>46381</v>
      </c>
      <c r="BG90" s="108">
        <v>46226</v>
      </c>
      <c r="BH90" s="100">
        <v>9.8000000000000007</v>
      </c>
      <c r="BI90" s="100">
        <v>12.5</v>
      </c>
      <c r="BJ90" s="100">
        <v>11.1</v>
      </c>
      <c r="BK90" s="100">
        <v>9.9</v>
      </c>
      <c r="BL90" s="100">
        <v>10</v>
      </c>
      <c r="BM90" s="100">
        <v>11.2</v>
      </c>
      <c r="BN90" s="109">
        <v>14.1</v>
      </c>
      <c r="BO90" s="109">
        <v>13.3</v>
      </c>
      <c r="BP90" s="109">
        <v>11.4</v>
      </c>
      <c r="BQ90" s="100">
        <v>13.3</v>
      </c>
      <c r="BR90" s="106">
        <v>1728</v>
      </c>
      <c r="BS90" s="118">
        <v>1673</v>
      </c>
      <c r="BT90" s="118">
        <v>1684</v>
      </c>
      <c r="BU90" s="110">
        <v>1643</v>
      </c>
      <c r="BV90" s="100">
        <v>44.849537037037038</v>
      </c>
      <c r="BW90" s="100">
        <v>43.454871488344295</v>
      </c>
      <c r="BX90" s="100">
        <v>47.684085510688831</v>
      </c>
      <c r="BY90" s="103">
        <v>49.543517954960436</v>
      </c>
      <c r="BZ90" s="100">
        <v>3.3564814814814818</v>
      </c>
      <c r="CA90" s="100">
        <v>3.945008965929468</v>
      </c>
      <c r="CB90" s="100">
        <v>3.7410926365795723</v>
      </c>
      <c r="CC90" s="103">
        <v>2.7997565429093121</v>
      </c>
      <c r="CD90" s="100">
        <v>19.097222222222221</v>
      </c>
      <c r="CE90" s="100">
        <v>18.290496114763897</v>
      </c>
      <c r="CF90" s="100">
        <v>18.64608076009501</v>
      </c>
      <c r="CG90" s="103">
        <v>18.015824710894705</v>
      </c>
      <c r="CH90" s="100">
        <v>97.701149425287355</v>
      </c>
      <c r="CI90" s="105">
        <v>88.97</v>
      </c>
      <c r="CJ90" s="111">
        <v>90.68</v>
      </c>
      <c r="CK90" s="111">
        <v>95.172413793103445</v>
      </c>
      <c r="CL90" s="112">
        <v>652</v>
      </c>
      <c r="CM90" s="112">
        <v>651</v>
      </c>
      <c r="CN90" s="112">
        <v>600</v>
      </c>
      <c r="CO90" s="112">
        <v>618</v>
      </c>
      <c r="CP90" s="112"/>
      <c r="CQ90" s="113">
        <v>11.189867334855064</v>
      </c>
      <c r="CR90" s="113">
        <v>11.433489058273912</v>
      </c>
      <c r="CS90" s="113">
        <v>11.224604332697272</v>
      </c>
      <c r="CT90" s="113">
        <v>12.1603274237028</v>
      </c>
      <c r="CU90" s="112"/>
      <c r="CV90" s="114">
        <v>3.1695721077654517</v>
      </c>
      <c r="CW90" s="114">
        <v>2.8257456828885399</v>
      </c>
      <c r="CX90" s="114">
        <v>4.7781569965870307</v>
      </c>
      <c r="CY90" s="114">
        <v>3.2423208191126278</v>
      </c>
      <c r="CZ90" s="112"/>
      <c r="DA90" s="113">
        <v>6.25</v>
      </c>
      <c r="DB90" s="113">
        <v>7.4829931972789119</v>
      </c>
      <c r="DC90" s="113">
        <v>10</v>
      </c>
      <c r="DD90" s="113">
        <v>7.8350515463917523</v>
      </c>
      <c r="DE90" s="112"/>
      <c r="DF90" s="113">
        <v>81.715210355987054</v>
      </c>
      <c r="DG90" s="113">
        <v>86.061588330632091</v>
      </c>
      <c r="DH90" s="113">
        <v>86.971235194585446</v>
      </c>
      <c r="DI90" s="113">
        <v>86.633663366336634</v>
      </c>
      <c r="DJ90" s="112"/>
      <c r="DK90" s="114">
        <v>11.783439490445859</v>
      </c>
      <c r="DL90" s="114">
        <v>14.152410575427682</v>
      </c>
      <c r="DM90" s="114">
        <v>14.621848739495798</v>
      </c>
      <c r="DN90" s="114">
        <v>17.752442996742673</v>
      </c>
      <c r="DO90" s="112"/>
      <c r="DP90" s="113">
        <v>15.950920245398773</v>
      </c>
      <c r="DQ90" s="113">
        <v>22.580645161290324</v>
      </c>
      <c r="DR90" s="113">
        <v>27</v>
      </c>
      <c r="DS90" s="113">
        <v>33.171521035598708</v>
      </c>
      <c r="DT90" s="112"/>
      <c r="DU90" s="115">
        <v>7</v>
      </c>
      <c r="DV90" s="115">
        <v>5</v>
      </c>
      <c r="DW90" s="115">
        <v>3</v>
      </c>
      <c r="DX90" s="115">
        <v>2</v>
      </c>
      <c r="DY90" s="112"/>
      <c r="DZ90" s="116">
        <v>1.1499999999999999</v>
      </c>
      <c r="EA90" s="116">
        <v>2.0689655172413794</v>
      </c>
      <c r="EB90" s="116">
        <v>1.86</v>
      </c>
      <c r="EC90" s="116">
        <v>0</v>
      </c>
      <c r="ED90" s="112"/>
      <c r="EE90" s="113">
        <v>92.079207920792072</v>
      </c>
      <c r="EF90" s="113">
        <v>0</v>
      </c>
      <c r="EG90" s="113">
        <v>2.9702970297029703</v>
      </c>
      <c r="EH90" s="113">
        <v>0.99009900990099009</v>
      </c>
      <c r="EI90" s="113">
        <v>4.9504950495049505</v>
      </c>
      <c r="EJ90" s="113">
        <v>25.612472160356347</v>
      </c>
      <c r="EK90" s="113"/>
      <c r="EL90" s="115">
        <v>695</v>
      </c>
      <c r="EM90" s="115">
        <v>702</v>
      </c>
      <c r="EN90" s="115">
        <v>661</v>
      </c>
      <c r="EO90" s="115">
        <v>591</v>
      </c>
      <c r="EP90" s="112"/>
      <c r="EQ90" s="114">
        <v>1192.7849383012683</v>
      </c>
      <c r="ER90" s="114">
        <v>1232.9200182654818</v>
      </c>
      <c r="ES90" s="114">
        <v>1236.5772439854829</v>
      </c>
      <c r="ET90" s="114">
        <v>1162.9050982861415</v>
      </c>
      <c r="EU90" s="112"/>
      <c r="EV90" s="113">
        <v>713.74468726999999</v>
      </c>
      <c r="EW90" s="113">
        <v>724.66392284999995</v>
      </c>
      <c r="EX90" s="113">
        <v>716.74938723000002</v>
      </c>
      <c r="EY90" s="113">
        <v>626.65159083000003</v>
      </c>
      <c r="EZ90" s="112"/>
      <c r="FA90" s="115">
        <v>258</v>
      </c>
      <c r="FB90" s="115">
        <v>227</v>
      </c>
      <c r="FC90" s="115">
        <v>166</v>
      </c>
      <c r="FD90" s="115">
        <v>111</v>
      </c>
      <c r="FE90" s="112"/>
      <c r="FF90" s="115">
        <v>186</v>
      </c>
      <c r="FG90" s="115">
        <v>153</v>
      </c>
      <c r="FH90" s="115">
        <v>147</v>
      </c>
      <c r="FI90" s="115">
        <v>153</v>
      </c>
      <c r="FJ90" s="112"/>
      <c r="FK90" s="115">
        <v>81</v>
      </c>
      <c r="FL90" s="115">
        <v>69</v>
      </c>
      <c r="FM90" s="115">
        <v>60</v>
      </c>
      <c r="FN90" s="115">
        <v>57</v>
      </c>
      <c r="FO90" s="112"/>
      <c r="FP90" s="115">
        <v>20</v>
      </c>
      <c r="FQ90" s="115">
        <v>29</v>
      </c>
      <c r="FR90" s="115">
        <v>39</v>
      </c>
      <c r="FS90" s="115">
        <v>29</v>
      </c>
      <c r="FT90" s="112"/>
      <c r="FU90" s="113">
        <v>255.45160311999999</v>
      </c>
      <c r="FV90" s="113">
        <v>222.42525884</v>
      </c>
      <c r="FW90" s="113">
        <v>170.08927080999999</v>
      </c>
      <c r="FX90" s="113">
        <v>106.98186884</v>
      </c>
      <c r="FY90" s="112"/>
      <c r="FZ90" s="113">
        <v>195.86008817999999</v>
      </c>
      <c r="GA90" s="113">
        <v>173.35426928999999</v>
      </c>
      <c r="GB90" s="113">
        <v>184.4172921</v>
      </c>
      <c r="GC90" s="113">
        <v>181.93686396999999</v>
      </c>
      <c r="GD90" s="112"/>
      <c r="GE90" s="113">
        <v>76.50789675</v>
      </c>
      <c r="GF90" s="113">
        <v>60.554358809999997</v>
      </c>
      <c r="GG90" s="113">
        <v>52.854447989999997</v>
      </c>
      <c r="GH90" s="113">
        <v>54.585534789999997</v>
      </c>
      <c r="GI90" s="112"/>
      <c r="GJ90" s="113" t="s">
        <v>46</v>
      </c>
      <c r="GK90" s="113">
        <v>40.783406290000002</v>
      </c>
      <c r="GL90" s="113">
        <v>56.254727529999997</v>
      </c>
      <c r="GM90" s="113">
        <v>37.960928019999997</v>
      </c>
      <c r="GN90" s="112"/>
      <c r="GO90" s="113">
        <v>881.40985905000002</v>
      </c>
      <c r="GP90" s="113">
        <v>849.6944039</v>
      </c>
      <c r="GQ90" s="113">
        <v>907.33968645000004</v>
      </c>
      <c r="GR90" s="113">
        <v>776.77812992999998</v>
      </c>
      <c r="GS90" s="112"/>
      <c r="GT90" s="113">
        <v>589.26325019000001</v>
      </c>
      <c r="GU90" s="113">
        <v>618.73758714999997</v>
      </c>
      <c r="GV90" s="113">
        <v>588.28867088000004</v>
      </c>
      <c r="GW90" s="113">
        <v>507.26437141000002</v>
      </c>
      <c r="GX90" s="112"/>
      <c r="GY90" s="112"/>
      <c r="GZ90" s="112"/>
      <c r="HA90" s="112"/>
      <c r="HB90" s="112"/>
      <c r="HC90" s="112"/>
      <c r="HD90" s="115">
        <v>110</v>
      </c>
      <c r="HE90" s="115">
        <v>0</v>
      </c>
      <c r="HF90" s="115">
        <v>2</v>
      </c>
      <c r="HG90" s="115">
        <v>0</v>
      </c>
      <c r="HH90" s="115">
        <v>0</v>
      </c>
      <c r="HI90" s="114">
        <v>44.566544566544565</v>
      </c>
      <c r="HJ90" s="114">
        <v>39.853172522286314</v>
      </c>
      <c r="HK90" s="113">
        <v>28.855721393034827</v>
      </c>
      <c r="HL90" s="112">
        <v>20</v>
      </c>
      <c r="HM90" s="112">
        <v>18</v>
      </c>
      <c r="HN90" s="112">
        <v>28</v>
      </c>
      <c r="HO90" s="112">
        <v>19</v>
      </c>
      <c r="HP90" s="112"/>
      <c r="HQ90" s="112">
        <v>34</v>
      </c>
      <c r="HR90" s="112">
        <v>44</v>
      </c>
      <c r="HS90" s="112">
        <v>52</v>
      </c>
      <c r="HT90" s="112">
        <v>38</v>
      </c>
      <c r="HU90" s="117"/>
    </row>
    <row r="91" spans="1:229" s="15" customFormat="1" x14ac:dyDescent="0.2">
      <c r="A91" s="72" t="s">
        <v>203</v>
      </c>
      <c r="B91" s="72" t="s">
        <v>203</v>
      </c>
      <c r="C91" s="14">
        <v>74536</v>
      </c>
      <c r="D91" s="14">
        <v>73911</v>
      </c>
      <c r="E91" s="14">
        <v>73499</v>
      </c>
      <c r="F91" s="14">
        <v>73501</v>
      </c>
      <c r="G91" s="17">
        <v>74571</v>
      </c>
      <c r="H91" s="14">
        <v>31839</v>
      </c>
      <c r="I91" s="14">
        <v>32003</v>
      </c>
      <c r="J91" s="14">
        <v>32249</v>
      </c>
      <c r="K91" s="14">
        <v>32260</v>
      </c>
      <c r="L91" s="17">
        <v>31946</v>
      </c>
      <c r="M91" s="16">
        <v>29.762946298379369</v>
      </c>
      <c r="N91" s="16">
        <v>30.568975338073038</v>
      </c>
      <c r="O91" s="16">
        <v>31.666880314489596</v>
      </c>
      <c r="P91" s="16">
        <v>32.736234149730763</v>
      </c>
      <c r="Q91" s="18">
        <v>33.628833958845604</v>
      </c>
      <c r="R91" s="19">
        <v>25.500979044286129</v>
      </c>
      <c r="S91" s="19">
        <v>25.358114807704478</v>
      </c>
      <c r="T91" s="19">
        <v>25.362133059864121</v>
      </c>
      <c r="U91" s="19">
        <v>26.854264373805801</v>
      </c>
      <c r="V91" s="13">
        <v>27.216254691342048</v>
      </c>
      <c r="W91" s="19">
        <v>55.263925342665502</v>
      </c>
      <c r="X91" s="19">
        <v>55.927090145777512</v>
      </c>
      <c r="Y91" s="19">
        <v>57.029013374353717</v>
      </c>
      <c r="Z91" s="19">
        <v>59.590498523536567</v>
      </c>
      <c r="AA91" s="13">
        <v>60.845088650187655</v>
      </c>
      <c r="AB91" s="19">
        <v>6.1460534156779891</v>
      </c>
      <c r="AC91" s="19">
        <v>7.1594226624103028</v>
      </c>
      <c r="AD91" s="19">
        <v>7.814294307431509</v>
      </c>
      <c r="AE91" s="19">
        <v>10.828569902238367</v>
      </c>
      <c r="AF91" s="13">
        <v>9.5106136834458823</v>
      </c>
      <c r="AG91" s="14">
        <v>2227.666666666667</v>
      </c>
      <c r="AH91" s="14">
        <v>2421.25</v>
      </c>
      <c r="AI91" s="14">
        <v>2659.5</v>
      </c>
      <c r="AJ91" s="14">
        <v>3256.166666666667</v>
      </c>
      <c r="AK91" s="20">
        <v>3789.8333333333335</v>
      </c>
      <c r="AL91" s="21">
        <v>70878</v>
      </c>
      <c r="AM91" s="21">
        <v>206</v>
      </c>
      <c r="AN91" s="21">
        <v>2265</v>
      </c>
      <c r="AO91" s="21">
        <v>226</v>
      </c>
      <c r="AP91" s="21">
        <v>0</v>
      </c>
      <c r="AQ91" s="21">
        <v>567</v>
      </c>
      <c r="AR91" s="21">
        <v>70282</v>
      </c>
      <c r="AS91" s="21">
        <v>279</v>
      </c>
      <c r="AT91" s="21">
        <v>2269</v>
      </c>
      <c r="AU91" s="21">
        <v>232</v>
      </c>
      <c r="AV91" s="21">
        <v>1389</v>
      </c>
      <c r="AW91" s="21">
        <v>715</v>
      </c>
      <c r="AX91" s="22">
        <v>26794.977317795343</v>
      </c>
      <c r="AY91" s="22">
        <v>28196.101618888391</v>
      </c>
      <c r="AZ91" s="22">
        <v>29680.057952175914</v>
      </c>
      <c r="BA91" s="22">
        <v>31178.040132052658</v>
      </c>
      <c r="BB91" s="22">
        <v>31669.405858423695</v>
      </c>
      <c r="BC91" s="23" t="s">
        <v>217</v>
      </c>
      <c r="BD91" s="23" t="s">
        <v>217</v>
      </c>
      <c r="BE91" s="23" t="s">
        <v>217</v>
      </c>
      <c r="BF91" s="23" t="s">
        <v>217</v>
      </c>
      <c r="BG91" s="24" t="s">
        <v>217</v>
      </c>
      <c r="BH91" s="16">
        <v>12.483492790729013</v>
      </c>
      <c r="BI91" s="16">
        <v>13.209724160137384</v>
      </c>
      <c r="BJ91" s="16">
        <v>10.991598003003613</v>
      </c>
      <c r="BK91" s="16">
        <v>12.914461421243827</v>
      </c>
      <c r="BL91" s="13">
        <v>13.535870260268569</v>
      </c>
      <c r="BM91" s="16">
        <v>18.30799735624587</v>
      </c>
      <c r="BN91" s="16">
        <v>18.108442361517934</v>
      </c>
      <c r="BO91" s="16">
        <v>16.241637411406241</v>
      </c>
      <c r="BP91" s="16">
        <v>18.205715826368294</v>
      </c>
      <c r="BQ91" s="13">
        <v>20.031380753138077</v>
      </c>
      <c r="BR91" s="14">
        <v>10842</v>
      </c>
      <c r="BS91" s="14">
        <v>10700</v>
      </c>
      <c r="BT91" s="14">
        <v>10590</v>
      </c>
      <c r="BU91" s="25">
        <v>10571</v>
      </c>
      <c r="BV91" s="16">
        <v>42.630510975834717</v>
      </c>
      <c r="BW91" s="16">
        <v>43.112149532710283</v>
      </c>
      <c r="BX91" s="16">
        <v>45.949008498583567</v>
      </c>
      <c r="BY91" s="26">
        <v>45.776180115410085</v>
      </c>
      <c r="BZ91" s="16">
        <v>0.16602102933038185</v>
      </c>
      <c r="CA91" s="16">
        <v>5.6074766355140186E-2</v>
      </c>
      <c r="CB91" s="16">
        <v>7.5542965061378656E-2</v>
      </c>
      <c r="CC91" s="26">
        <v>9.4598429666067546E-2</v>
      </c>
      <c r="CD91" s="16">
        <v>15.569083194982476</v>
      </c>
      <c r="CE91" s="16">
        <v>15.588785046728972</v>
      </c>
      <c r="CF91" s="16">
        <v>15.901794145420208</v>
      </c>
      <c r="CG91" s="26">
        <v>16.015514142465236</v>
      </c>
      <c r="CH91" s="16">
        <v>77.254901960784309</v>
      </c>
      <c r="CI91" s="20">
        <v>78.17497648165569</v>
      </c>
      <c r="CJ91" s="16">
        <v>78.915046059365409</v>
      </c>
      <c r="CK91" s="85">
        <v>82.067510548523202</v>
      </c>
      <c r="CL91" s="86">
        <v>3871</v>
      </c>
      <c r="CM91" s="86">
        <v>3640</v>
      </c>
      <c r="CN91" s="86">
        <v>3734</v>
      </c>
      <c r="CO91" s="86">
        <v>3701</v>
      </c>
      <c r="CP91" s="86"/>
      <c r="CQ91" s="87">
        <v>10.86572091012693</v>
      </c>
      <c r="CR91" s="87">
        <v>9.9288884282078627</v>
      </c>
      <c r="CS91" s="87">
        <v>10.096967664826101</v>
      </c>
      <c r="CT91" s="87">
        <v>10.002216108405538</v>
      </c>
      <c r="CU91" s="86"/>
      <c r="CV91" s="88">
        <v>4.0042149631190727</v>
      </c>
      <c r="CW91" s="88">
        <v>4.2066629023150766</v>
      </c>
      <c r="CX91" s="88">
        <v>4.1099694529297421</v>
      </c>
      <c r="CY91" s="88">
        <v>4.7711511789181689</v>
      </c>
      <c r="CZ91" s="86"/>
      <c r="DA91" s="87">
        <v>6.6890756302521011</v>
      </c>
      <c r="DB91" s="87">
        <v>6.4805239572561186</v>
      </c>
      <c r="DC91" s="87">
        <v>7.389162561576355</v>
      </c>
      <c r="DD91" s="87">
        <v>8.4689471936233804</v>
      </c>
      <c r="DE91" s="86"/>
      <c r="DF91" s="87">
        <v>81.410256410256409</v>
      </c>
      <c r="DG91" s="87">
        <v>89.040670599192794</v>
      </c>
      <c r="DH91" s="87">
        <v>86.843591191417275</v>
      </c>
      <c r="DI91" s="87">
        <v>84.902552841065059</v>
      </c>
      <c r="DJ91" s="86"/>
      <c r="DK91" s="88">
        <v>22.328644118527386</v>
      </c>
      <c r="DL91" s="88">
        <v>20.367751060820368</v>
      </c>
      <c r="DM91" s="88">
        <v>20.628301362246315</v>
      </c>
      <c r="DN91" s="88">
        <v>24.562841530054644</v>
      </c>
      <c r="DO91" s="86"/>
      <c r="DP91" s="87">
        <v>30.731455156371155</v>
      </c>
      <c r="DQ91" s="87">
        <v>32.060439560439562</v>
      </c>
      <c r="DR91" s="87">
        <v>37.841456882699518</v>
      </c>
      <c r="DS91" s="87">
        <v>43.648648648648646</v>
      </c>
      <c r="DT91" s="86"/>
      <c r="DU91" s="14">
        <v>28</v>
      </c>
      <c r="DV91" s="14">
        <v>30</v>
      </c>
      <c r="DW91" s="14">
        <v>26</v>
      </c>
      <c r="DX91" s="14">
        <v>13</v>
      </c>
      <c r="DY91" s="86"/>
      <c r="DZ91" s="89">
        <v>5.1960784313725492</v>
      </c>
      <c r="EA91" s="89">
        <v>5.174035747883349</v>
      </c>
      <c r="EB91" s="89">
        <v>6.1412487205731834</v>
      </c>
      <c r="EC91" s="89">
        <v>4.9578059071729959</v>
      </c>
      <c r="ED91" s="86"/>
      <c r="EE91" s="87">
        <v>90.811638591117912</v>
      </c>
      <c r="EF91" s="87">
        <v>0</v>
      </c>
      <c r="EG91" s="87">
        <v>8.7289433384379791</v>
      </c>
      <c r="EH91" s="87">
        <v>0.30627871362940273</v>
      </c>
      <c r="EI91" s="87">
        <v>1.3008130081300813</v>
      </c>
      <c r="EJ91" s="87">
        <v>31.484920845493942</v>
      </c>
      <c r="EK91" s="87"/>
      <c r="EL91" s="14">
        <v>3927</v>
      </c>
      <c r="EM91" s="14">
        <v>3931</v>
      </c>
      <c r="EN91" s="14">
        <v>4028</v>
      </c>
      <c r="EO91" s="14">
        <v>4080</v>
      </c>
      <c r="EP91" s="86"/>
      <c r="EQ91" s="88">
        <v>1102.2910362714663</v>
      </c>
      <c r="ER91" s="88">
        <v>1072.2653959144261</v>
      </c>
      <c r="ES91" s="88">
        <v>1089.1961905173953</v>
      </c>
      <c r="ET91" s="88">
        <v>1102.6490603159846</v>
      </c>
      <c r="EU91" s="86"/>
      <c r="EV91" s="19">
        <v>926.67200000000003</v>
      </c>
      <c r="EW91" s="19">
        <v>856.90300000000002</v>
      </c>
      <c r="EX91" s="19">
        <v>770.28</v>
      </c>
      <c r="EY91" s="19">
        <v>712.84100000000001</v>
      </c>
      <c r="EZ91" s="86"/>
      <c r="FA91" s="14">
        <v>1279</v>
      </c>
      <c r="FB91" s="14">
        <v>1110</v>
      </c>
      <c r="FC91" s="14">
        <v>1005</v>
      </c>
      <c r="FD91" s="14">
        <v>949</v>
      </c>
      <c r="FE91" s="86"/>
      <c r="FF91" s="14">
        <v>982</v>
      </c>
      <c r="FG91" s="14">
        <v>959</v>
      </c>
      <c r="FH91" s="14">
        <v>1027</v>
      </c>
      <c r="FI91" s="14">
        <v>1023</v>
      </c>
      <c r="FJ91" s="86"/>
      <c r="FK91" s="14">
        <v>320</v>
      </c>
      <c r="FL91" s="14">
        <v>287</v>
      </c>
      <c r="FM91" s="14">
        <v>283</v>
      </c>
      <c r="FN91" s="14">
        <v>227</v>
      </c>
      <c r="FO91" s="86"/>
      <c r="FP91" s="14">
        <v>177</v>
      </c>
      <c r="FQ91" s="14">
        <v>188</v>
      </c>
      <c r="FR91" s="14">
        <v>204</v>
      </c>
      <c r="FS91" s="14">
        <v>209</v>
      </c>
      <c r="FT91" s="86"/>
      <c r="FU91" s="19">
        <v>296.45699999999999</v>
      </c>
      <c r="FV91" s="19">
        <v>236.86599999999999</v>
      </c>
      <c r="FW91" s="19">
        <v>184.83199999999999</v>
      </c>
      <c r="FX91" s="19">
        <v>159.20000000000002</v>
      </c>
      <c r="FY91" s="86"/>
      <c r="FZ91" s="19">
        <v>224.32000000000002</v>
      </c>
      <c r="GA91" s="19">
        <v>203.39400000000001</v>
      </c>
      <c r="GB91" s="19">
        <v>195.25599999999997</v>
      </c>
      <c r="GC91" s="19">
        <v>178.97800000000001</v>
      </c>
      <c r="GD91" s="86"/>
      <c r="GE91" s="19">
        <v>76.210999999999999</v>
      </c>
      <c r="GF91" s="19">
        <v>60.84</v>
      </c>
      <c r="GG91" s="19">
        <v>50.662000000000006</v>
      </c>
      <c r="GH91" s="19">
        <v>37.371000000000002</v>
      </c>
      <c r="GI91" s="86"/>
      <c r="GJ91" s="19">
        <v>47.810920612053749</v>
      </c>
      <c r="GK91" s="19">
        <v>47.754592541362655</v>
      </c>
      <c r="GL91" s="19">
        <v>50.112052747109189</v>
      </c>
      <c r="GM91" s="19">
        <v>46.347493130858055</v>
      </c>
      <c r="GN91" s="86"/>
      <c r="GO91" s="19">
        <v>1167.9160000000002</v>
      </c>
      <c r="GP91" s="19">
        <v>1012.066</v>
      </c>
      <c r="GQ91" s="19">
        <v>932.46600000000001</v>
      </c>
      <c r="GR91" s="19">
        <v>845.49900000000002</v>
      </c>
      <c r="GS91" s="86"/>
      <c r="GT91" s="19">
        <v>733.28600000000006</v>
      </c>
      <c r="GU91" s="19">
        <v>727.76400000000001</v>
      </c>
      <c r="GV91" s="19">
        <v>636.06399999999996</v>
      </c>
      <c r="GW91" s="19">
        <v>591.47699999999998</v>
      </c>
      <c r="GX91" s="86"/>
      <c r="GY91" s="86"/>
      <c r="GZ91" s="86"/>
      <c r="HA91" s="86"/>
      <c r="HB91" s="86"/>
      <c r="HC91" s="86"/>
      <c r="HD91" s="14">
        <v>828</v>
      </c>
      <c r="HE91" s="14">
        <v>3</v>
      </c>
      <c r="HF91" s="14">
        <v>16</v>
      </c>
      <c r="HG91" s="14">
        <v>1</v>
      </c>
      <c r="HH91" s="14">
        <v>1</v>
      </c>
      <c r="HI91" s="88">
        <v>38.912406382285901</v>
      </c>
      <c r="HJ91" s="88">
        <v>30.065453499244768</v>
      </c>
      <c r="HK91" s="87">
        <v>29.992044550517104</v>
      </c>
      <c r="HL91" s="86">
        <v>152</v>
      </c>
      <c r="HM91" s="86">
        <v>149</v>
      </c>
      <c r="HN91" s="86">
        <v>148</v>
      </c>
      <c r="HO91" s="86">
        <v>172</v>
      </c>
      <c r="HP91" s="86"/>
      <c r="HQ91" s="86">
        <v>199</v>
      </c>
      <c r="HR91" s="86">
        <v>188</v>
      </c>
      <c r="HS91" s="86">
        <v>225</v>
      </c>
      <c r="HT91" s="86">
        <v>255</v>
      </c>
      <c r="HU91" s="27"/>
    </row>
    <row r="92" spans="1:229" x14ac:dyDescent="0.2">
      <c r="A92" s="121" t="s">
        <v>265</v>
      </c>
      <c r="B92" s="121" t="s">
        <v>240</v>
      </c>
      <c r="C92" s="115">
        <v>74826</v>
      </c>
      <c r="D92" s="115">
        <v>74730</v>
      </c>
      <c r="E92" s="115">
        <v>74879</v>
      </c>
      <c r="F92" s="115">
        <v>75116</v>
      </c>
      <c r="G92" s="99">
        <v>77610</v>
      </c>
      <c r="H92" s="115">
        <v>29231</v>
      </c>
      <c r="I92" s="115">
        <v>29428</v>
      </c>
      <c r="J92" s="115">
        <v>29677</v>
      </c>
      <c r="K92" s="115">
        <v>29733</v>
      </c>
      <c r="L92" s="99">
        <v>30818</v>
      </c>
      <c r="M92" s="122">
        <v>23.170109925968227</v>
      </c>
      <c r="N92" s="122">
        <v>23.877630473536463</v>
      </c>
      <c r="O92" s="122">
        <v>24.978234733220017</v>
      </c>
      <c r="P92" s="122">
        <v>25.191821160466176</v>
      </c>
      <c r="Q92" s="102">
        <v>25.010051463493085</v>
      </c>
      <c r="R92" s="123">
        <v>29.433238839149144</v>
      </c>
      <c r="S92" s="123">
        <v>29.24820195479786</v>
      </c>
      <c r="T92" s="123">
        <v>30.237137763774303</v>
      </c>
      <c r="U92" s="123">
        <v>30.579403591721622</v>
      </c>
      <c r="V92" s="100">
        <v>31.008764876165969</v>
      </c>
      <c r="W92" s="123">
        <v>52.603348765117367</v>
      </c>
      <c r="X92" s="123">
        <v>53.125832428334327</v>
      </c>
      <c r="Y92" s="123">
        <v>55.21537249699432</v>
      </c>
      <c r="Z92" s="123">
        <v>55.771224752187798</v>
      </c>
      <c r="AA92" s="100">
        <v>56.018816339659054</v>
      </c>
      <c r="AB92" s="123">
        <v>5.744153464813019</v>
      </c>
      <c r="AC92" s="123">
        <v>6.5782624181484426</v>
      </c>
      <c r="AD92" s="123">
        <v>7.4490097546556315</v>
      </c>
      <c r="AE92" s="123">
        <v>9.9551569506726452</v>
      </c>
      <c r="AF92" s="100">
        <v>9.1088317570267758</v>
      </c>
      <c r="AG92" s="115">
        <v>3792.75</v>
      </c>
      <c r="AH92" s="115">
        <v>3960.166666666667</v>
      </c>
      <c r="AI92" s="115">
        <v>4297.583333333333</v>
      </c>
      <c r="AJ92" s="115">
        <v>4930.166666666667</v>
      </c>
      <c r="AK92" s="105">
        <v>5540.25</v>
      </c>
      <c r="AL92" s="106">
        <v>63061</v>
      </c>
      <c r="AM92" s="106">
        <v>334</v>
      </c>
      <c r="AN92" s="106">
        <v>9561</v>
      </c>
      <c r="AO92" s="106">
        <v>597</v>
      </c>
      <c r="AP92" s="106">
        <v>0</v>
      </c>
      <c r="AQ92" s="106">
        <v>891</v>
      </c>
      <c r="AR92" s="106">
        <v>64126</v>
      </c>
      <c r="AS92" s="106">
        <v>354</v>
      </c>
      <c r="AT92" s="106">
        <v>10371</v>
      </c>
      <c r="AU92" s="106">
        <v>434</v>
      </c>
      <c r="AV92" s="106">
        <v>2090</v>
      </c>
      <c r="AW92" s="106">
        <v>1158</v>
      </c>
      <c r="AX92" s="107">
        <v>25849.636895729462</v>
      </c>
      <c r="AY92" s="107">
        <v>27431.957940830642</v>
      </c>
      <c r="AZ92" s="107">
        <v>28667.40292798556</v>
      </c>
      <c r="BA92" s="107">
        <v>30584.851890503331</v>
      </c>
      <c r="BB92" s="107">
        <v>31086.506203738219</v>
      </c>
      <c r="BC92" s="124" t="s">
        <v>217</v>
      </c>
      <c r="BD92" s="124" t="s">
        <v>217</v>
      </c>
      <c r="BE92" s="124" t="s">
        <v>217</v>
      </c>
      <c r="BF92" s="124" t="s">
        <v>217</v>
      </c>
      <c r="BG92" s="108" t="s">
        <v>217</v>
      </c>
      <c r="BH92" s="122">
        <v>15.619379876407988</v>
      </c>
      <c r="BI92" s="122">
        <v>15.93563734530778</v>
      </c>
      <c r="BJ92" s="122">
        <v>14.655426200990231</v>
      </c>
      <c r="BK92" s="122">
        <v>14.407243686480856</v>
      </c>
      <c r="BL92" s="100">
        <v>17.325203684967249</v>
      </c>
      <c r="BM92" s="122">
        <v>21.75125170687301</v>
      </c>
      <c r="BN92" s="122">
        <v>23.648837079591722</v>
      </c>
      <c r="BO92" s="122">
        <v>21.839534752413755</v>
      </c>
      <c r="BP92" s="122">
        <v>22.413696007208426</v>
      </c>
      <c r="BQ92" s="100">
        <v>26.02393392887241</v>
      </c>
      <c r="BR92" s="115">
        <v>12057</v>
      </c>
      <c r="BS92" s="115">
        <v>11938</v>
      </c>
      <c r="BT92" s="115">
        <v>12040</v>
      </c>
      <c r="BU92" s="110">
        <v>12137</v>
      </c>
      <c r="BV92" s="122">
        <v>51.82881313759642</v>
      </c>
      <c r="BW92" s="122">
        <v>53.68570949907857</v>
      </c>
      <c r="BX92" s="122">
        <v>56.569767441860463</v>
      </c>
      <c r="BY92" s="103">
        <v>57.485375298673475</v>
      </c>
      <c r="BZ92" s="122">
        <v>1.3767935639047857</v>
      </c>
      <c r="CA92" s="122">
        <v>1.0219467247445133</v>
      </c>
      <c r="CB92" s="122">
        <v>0.51495016611295685</v>
      </c>
      <c r="CC92" s="103">
        <v>0.74153415176732307</v>
      </c>
      <c r="CD92" s="122">
        <v>17.848552707970473</v>
      </c>
      <c r="CE92" s="122">
        <v>18.579326520355167</v>
      </c>
      <c r="CF92" s="122">
        <v>18.845514950166113</v>
      </c>
      <c r="CG92" s="103">
        <v>18.711378429595452</v>
      </c>
      <c r="CH92" s="122">
        <v>68.402777777777771</v>
      </c>
      <c r="CI92" s="123">
        <v>66.064981949458485</v>
      </c>
      <c r="CJ92" s="122">
        <v>66.2109375</v>
      </c>
      <c r="CK92" s="111">
        <v>65.435897435897431</v>
      </c>
      <c r="CL92" s="112">
        <v>4480</v>
      </c>
      <c r="CM92" s="112">
        <v>4370</v>
      </c>
      <c r="CN92" s="112">
        <v>4898</v>
      </c>
      <c r="CO92" s="112">
        <v>5560</v>
      </c>
      <c r="CP92" s="112"/>
      <c r="CQ92" s="113">
        <v>13.821572142127719</v>
      </c>
      <c r="CR92" s="113">
        <v>12.695000435755164</v>
      </c>
      <c r="CS92" s="113">
        <v>13.391404675782008</v>
      </c>
      <c r="CT92" s="113">
        <v>14.741715076585331</v>
      </c>
      <c r="CU92" s="112"/>
      <c r="CV92" s="114">
        <v>4.3705895743227865</v>
      </c>
      <c r="CW92" s="114">
        <v>4.6315789473684212</v>
      </c>
      <c r="CX92" s="114">
        <v>4.5703454085930915</v>
      </c>
      <c r="CY92" s="114">
        <v>4.7883157700129413</v>
      </c>
      <c r="CZ92" s="112"/>
      <c r="DA92" s="113">
        <v>7.7110785749145929</v>
      </c>
      <c r="DB92" s="113">
        <v>8.2804385458742065</v>
      </c>
      <c r="DC92" s="113">
        <v>8.6730911786508518</v>
      </c>
      <c r="DD92" s="113">
        <v>9.1496232508073199</v>
      </c>
      <c r="DE92" s="112"/>
      <c r="DF92" s="113">
        <v>70.502283105022826</v>
      </c>
      <c r="DG92" s="113">
        <v>74.680246328754151</v>
      </c>
      <c r="DH92" s="113">
        <v>73.770152955766847</v>
      </c>
      <c r="DI92" s="113">
        <v>72.900763358778633</v>
      </c>
      <c r="DJ92" s="112"/>
      <c r="DK92" s="114">
        <v>21.046538550590416</v>
      </c>
      <c r="DL92" s="114">
        <v>17.509727626459146</v>
      </c>
      <c r="DM92" s="114">
        <v>24.214417744916819</v>
      </c>
      <c r="DN92" s="114">
        <v>25.211902614968441</v>
      </c>
      <c r="DO92" s="112"/>
      <c r="DP92" s="113">
        <v>38.571428571428569</v>
      </c>
      <c r="DQ92" s="113">
        <v>42.948717948717949</v>
      </c>
      <c r="DR92" s="113">
        <v>45.179738562091501</v>
      </c>
      <c r="DS92" s="113">
        <v>49.928057553956833</v>
      </c>
      <c r="DT92" s="112"/>
      <c r="DU92" s="115">
        <v>52</v>
      </c>
      <c r="DV92" s="115">
        <v>32</v>
      </c>
      <c r="DW92" s="115">
        <v>36</v>
      </c>
      <c r="DX92" s="115">
        <v>38</v>
      </c>
      <c r="DY92" s="112"/>
      <c r="DZ92" s="116">
        <v>10.243055555555555</v>
      </c>
      <c r="EA92" s="116">
        <v>12.454873646209386</v>
      </c>
      <c r="EB92" s="116">
        <v>9.86328125</v>
      </c>
      <c r="EC92" s="116">
        <v>9.9487179487179489</v>
      </c>
      <c r="ED92" s="112"/>
      <c r="EE92" s="113">
        <v>69.351851851851848</v>
      </c>
      <c r="EF92" s="113">
        <v>0.7407407407407407</v>
      </c>
      <c r="EG92" s="113">
        <v>28.24074074074074</v>
      </c>
      <c r="EH92" s="113">
        <v>1.2037037037037037</v>
      </c>
      <c r="EI92" s="113">
        <v>1.0223048327137547</v>
      </c>
      <c r="EJ92" s="113">
        <v>50.968618200014298</v>
      </c>
      <c r="EK92" s="113"/>
      <c r="EL92" s="115">
        <v>3058</v>
      </c>
      <c r="EM92" s="115">
        <v>3274</v>
      </c>
      <c r="EN92" s="115">
        <v>3268</v>
      </c>
      <c r="EO92" s="115">
        <v>3283</v>
      </c>
      <c r="EP92" s="112"/>
      <c r="EQ92" s="114">
        <v>943.44570559434305</v>
      </c>
      <c r="ER92" s="114">
        <v>951.10827063300701</v>
      </c>
      <c r="ES92" s="114">
        <v>893.48939323102502</v>
      </c>
      <c r="ET92" s="114">
        <v>870.45055029549712</v>
      </c>
      <c r="EU92" s="112"/>
      <c r="EV92" s="123">
        <v>867.05199999999991</v>
      </c>
      <c r="EW92" s="123">
        <v>873.52300000000002</v>
      </c>
      <c r="EX92" s="123">
        <v>767.08300000000008</v>
      </c>
      <c r="EY92" s="123">
        <v>694.37800000000004</v>
      </c>
      <c r="EZ92" s="112"/>
      <c r="FA92" s="115">
        <v>893</v>
      </c>
      <c r="FB92" s="115">
        <v>873</v>
      </c>
      <c r="FC92" s="115">
        <v>789</v>
      </c>
      <c r="FD92" s="115">
        <v>684</v>
      </c>
      <c r="FE92" s="112"/>
      <c r="FF92" s="115">
        <v>700</v>
      </c>
      <c r="FG92" s="115">
        <v>717</v>
      </c>
      <c r="FH92" s="115">
        <v>741</v>
      </c>
      <c r="FI92" s="115">
        <v>793</v>
      </c>
      <c r="FJ92" s="112"/>
      <c r="FK92" s="115">
        <v>245</v>
      </c>
      <c r="FL92" s="115">
        <v>263</v>
      </c>
      <c r="FM92" s="115">
        <v>189</v>
      </c>
      <c r="FN92" s="115">
        <v>201</v>
      </c>
      <c r="FO92" s="112"/>
      <c r="FP92" s="115">
        <v>179</v>
      </c>
      <c r="FQ92" s="115">
        <v>183</v>
      </c>
      <c r="FR92" s="115">
        <v>207</v>
      </c>
      <c r="FS92" s="115">
        <v>193</v>
      </c>
      <c r="FT92" s="112"/>
      <c r="FU92" s="123">
        <v>250.36399999999998</v>
      </c>
      <c r="FV92" s="123">
        <v>227.99600000000001</v>
      </c>
      <c r="FW92" s="123">
        <v>180.38</v>
      </c>
      <c r="FX92" s="123">
        <v>139.26299999999998</v>
      </c>
      <c r="FY92" s="112"/>
      <c r="FZ92" s="123">
        <v>201.28399999999999</v>
      </c>
      <c r="GA92" s="123">
        <v>194.97400000000002</v>
      </c>
      <c r="GB92" s="123">
        <v>176.48899999999998</v>
      </c>
      <c r="GC92" s="123">
        <v>171.10600000000002</v>
      </c>
      <c r="GD92" s="112"/>
      <c r="GE92" s="123">
        <v>66.950999999999993</v>
      </c>
      <c r="GF92" s="123">
        <v>67.742000000000004</v>
      </c>
      <c r="GG92" s="123">
        <v>42.567999999999998</v>
      </c>
      <c r="GH92" s="123">
        <v>39.722999999999999</v>
      </c>
      <c r="GI92" s="112"/>
      <c r="GJ92" s="123">
        <v>54.995161615954459</v>
      </c>
      <c r="GK92" s="123">
        <v>53.049822529223064</v>
      </c>
      <c r="GL92" s="123">
        <v>55.283808354418895</v>
      </c>
      <c r="GM92" s="123">
        <v>49.151431088543696</v>
      </c>
      <c r="GN92" s="112"/>
      <c r="GO92" s="123">
        <v>1070.5540000000001</v>
      </c>
      <c r="GP92" s="123">
        <v>1041.8989999999999</v>
      </c>
      <c r="GQ92" s="123">
        <v>934.31599999999992</v>
      </c>
      <c r="GR92" s="123">
        <v>836.43900000000008</v>
      </c>
      <c r="GS92" s="112"/>
      <c r="GT92" s="123">
        <v>696.10300000000007</v>
      </c>
      <c r="GU92" s="123">
        <v>719.19099999999992</v>
      </c>
      <c r="GV92" s="123">
        <v>622.87800000000004</v>
      </c>
      <c r="GW92" s="123">
        <v>571.68299999999999</v>
      </c>
      <c r="GX92" s="112"/>
      <c r="GY92" s="112"/>
      <c r="GZ92" s="112"/>
      <c r="HA92" s="112"/>
      <c r="HB92" s="112"/>
      <c r="HC92" s="112"/>
      <c r="HD92" s="115">
        <v>597</v>
      </c>
      <c r="HE92" s="115">
        <v>0</v>
      </c>
      <c r="HF92" s="115">
        <v>93</v>
      </c>
      <c r="HG92" s="115">
        <v>0</v>
      </c>
      <c r="HH92" s="115">
        <v>0</v>
      </c>
      <c r="HI92" s="114">
        <v>48.221343873517789</v>
      </c>
      <c r="HJ92" s="114">
        <v>42.963260389480027</v>
      </c>
      <c r="HK92" s="113">
        <v>43.034663178548072</v>
      </c>
      <c r="HL92" s="112">
        <v>192</v>
      </c>
      <c r="HM92" s="112">
        <v>198</v>
      </c>
      <c r="HN92" s="112">
        <v>217</v>
      </c>
      <c r="HO92" s="112">
        <v>259</v>
      </c>
      <c r="HP92" s="112"/>
      <c r="HQ92" s="112">
        <v>316</v>
      </c>
      <c r="HR92" s="112">
        <v>287</v>
      </c>
      <c r="HS92" s="112">
        <v>351</v>
      </c>
      <c r="HT92" s="112">
        <v>425</v>
      </c>
      <c r="HU92" s="117"/>
    </row>
    <row r="93" spans="1:229" x14ac:dyDescent="0.2">
      <c r="A93" s="121" t="s">
        <v>266</v>
      </c>
      <c r="B93" s="121" t="s">
        <v>241</v>
      </c>
      <c r="C93" s="115">
        <v>46432</v>
      </c>
      <c r="D93" s="115">
        <v>46428</v>
      </c>
      <c r="E93" s="115">
        <v>45937</v>
      </c>
      <c r="F93" s="115">
        <v>45372</v>
      </c>
      <c r="G93" s="99">
        <v>45190</v>
      </c>
      <c r="H93" s="115">
        <v>19507</v>
      </c>
      <c r="I93" s="115">
        <v>19455</v>
      </c>
      <c r="J93" s="115">
        <v>19441</v>
      </c>
      <c r="K93" s="115">
        <v>19303</v>
      </c>
      <c r="L93" s="99">
        <v>19217</v>
      </c>
      <c r="M93" s="122">
        <v>33.466787355521518</v>
      </c>
      <c r="N93" s="122">
        <v>32.78784136132839</v>
      </c>
      <c r="O93" s="122">
        <v>33.304368982656143</v>
      </c>
      <c r="P93" s="122">
        <v>33.104062722736991</v>
      </c>
      <c r="Q93" s="102">
        <v>34.381482694617318</v>
      </c>
      <c r="R93" s="123">
        <v>28.182008076869518</v>
      </c>
      <c r="S93" s="123">
        <v>26.495814464114176</v>
      </c>
      <c r="T93" s="123">
        <v>26.359876264293906</v>
      </c>
      <c r="U93" s="123">
        <v>28.592302209550962</v>
      </c>
      <c r="V93" s="100">
        <v>30.083342431852095</v>
      </c>
      <c r="W93" s="123">
        <v>61.648795432391033</v>
      </c>
      <c r="X93" s="123">
        <v>59.283655825442573</v>
      </c>
      <c r="Y93" s="123">
        <v>59.664245246950053</v>
      </c>
      <c r="Z93" s="123">
        <v>61.696364932287956</v>
      </c>
      <c r="AA93" s="100">
        <v>64.464825126469407</v>
      </c>
      <c r="AB93" s="123">
        <v>4.0680532313331739</v>
      </c>
      <c r="AC93" s="123">
        <v>4.5447271563450151</v>
      </c>
      <c r="AD93" s="123">
        <v>5.2815226011102299</v>
      </c>
      <c r="AE93" s="123">
        <v>7.0939973868265316</v>
      </c>
      <c r="AF93" s="100">
        <v>6.5631319876368908</v>
      </c>
      <c r="AG93" s="115">
        <v>790.08333333333326</v>
      </c>
      <c r="AH93" s="115">
        <v>780.16666666666674</v>
      </c>
      <c r="AI93" s="115">
        <v>833.5</v>
      </c>
      <c r="AJ93" s="115">
        <v>1069.5833333333333</v>
      </c>
      <c r="AK93" s="105">
        <v>1280</v>
      </c>
      <c r="AL93" s="106">
        <v>44976</v>
      </c>
      <c r="AM93" s="106">
        <v>259</v>
      </c>
      <c r="AN93" s="106">
        <v>516</v>
      </c>
      <c r="AO93" s="106">
        <v>308</v>
      </c>
      <c r="AP93" s="106">
        <v>0</v>
      </c>
      <c r="AQ93" s="106">
        <v>1165</v>
      </c>
      <c r="AR93" s="106">
        <v>43153</v>
      </c>
      <c r="AS93" s="106">
        <v>158</v>
      </c>
      <c r="AT93" s="106">
        <v>508</v>
      </c>
      <c r="AU93" s="106">
        <v>253</v>
      </c>
      <c r="AV93" s="106">
        <v>474</v>
      </c>
      <c r="AW93" s="106">
        <v>1507</v>
      </c>
      <c r="AX93" s="107">
        <v>31713.025956580146</v>
      </c>
      <c r="AY93" s="107">
        <v>31811.074848627988</v>
      </c>
      <c r="AZ93" s="107">
        <v>33817.614829893668</v>
      </c>
      <c r="BA93" s="107">
        <v>38164.509641030127</v>
      </c>
      <c r="BB93" s="107">
        <v>38294.741250110201</v>
      </c>
      <c r="BC93" s="124" t="s">
        <v>217</v>
      </c>
      <c r="BD93" s="124" t="s">
        <v>217</v>
      </c>
      <c r="BE93" s="124" t="s">
        <v>217</v>
      </c>
      <c r="BF93" s="124" t="s">
        <v>217</v>
      </c>
      <c r="BG93" s="108" t="s">
        <v>217</v>
      </c>
      <c r="BH93" s="122">
        <v>8.9360374414976604</v>
      </c>
      <c r="BI93" s="122">
        <v>10.419538249483114</v>
      </c>
      <c r="BJ93" s="122">
        <v>10.366589127250798</v>
      </c>
      <c r="BK93" s="122">
        <v>9.7350719463613213</v>
      </c>
      <c r="BL93" s="100">
        <v>9.6821828440447852</v>
      </c>
      <c r="BM93" s="122">
        <v>11.531724406383807</v>
      </c>
      <c r="BN93" s="122">
        <v>13.097570532915361</v>
      </c>
      <c r="BO93" s="122">
        <v>12.998765939942411</v>
      </c>
      <c r="BP93" s="122">
        <v>12.24447007023797</v>
      </c>
      <c r="BQ93" s="100">
        <v>13.26530612244898</v>
      </c>
      <c r="BR93" s="115">
        <v>7949</v>
      </c>
      <c r="BS93" s="115">
        <v>7795</v>
      </c>
      <c r="BT93" s="115">
        <v>7714</v>
      </c>
      <c r="BU93" s="110">
        <v>7533</v>
      </c>
      <c r="BV93" s="122">
        <v>37.577053717448734</v>
      </c>
      <c r="BW93" s="122">
        <v>38.127004490057729</v>
      </c>
      <c r="BX93" s="122">
        <v>39.655172413793103</v>
      </c>
      <c r="BY93" s="103">
        <v>42.453205894066109</v>
      </c>
      <c r="BZ93" s="122">
        <v>2.2015347842495911</v>
      </c>
      <c r="CA93" s="122">
        <v>2.2963438101347018</v>
      </c>
      <c r="CB93" s="122">
        <v>2.3463831993777546</v>
      </c>
      <c r="CC93" s="103">
        <v>2.2832868711004912</v>
      </c>
      <c r="CD93" s="122">
        <v>16.882626745502581</v>
      </c>
      <c r="CE93" s="122">
        <v>16.523412443874278</v>
      </c>
      <c r="CF93" s="122">
        <v>16.528389940368161</v>
      </c>
      <c r="CG93" s="103">
        <v>17.04500199123855</v>
      </c>
      <c r="CH93" s="122">
        <v>84.928229665071768</v>
      </c>
      <c r="CI93" s="123">
        <v>81.603153745072277</v>
      </c>
      <c r="CJ93" s="122">
        <v>85.536159600997507</v>
      </c>
      <c r="CK93" s="111">
        <v>87.5</v>
      </c>
      <c r="CL93" s="112">
        <v>2787</v>
      </c>
      <c r="CM93" s="112">
        <v>2686</v>
      </c>
      <c r="CN93" s="112">
        <v>2492</v>
      </c>
      <c r="CO93" s="112">
        <v>2643</v>
      </c>
      <c r="CP93" s="112"/>
      <c r="CQ93" s="113">
        <v>11.135083303368093</v>
      </c>
      <c r="CR93" s="113">
        <v>10.881145963726812</v>
      </c>
      <c r="CS93" s="113">
        <v>10.273492575216641</v>
      </c>
      <c r="CT93" s="113">
        <v>11.523419617281206</v>
      </c>
      <c r="CU93" s="112"/>
      <c r="CV93" s="114">
        <v>3.0124908155767818</v>
      </c>
      <c r="CW93" s="114">
        <v>2.9657794676806084</v>
      </c>
      <c r="CX93" s="114">
        <v>4.4160132067684685</v>
      </c>
      <c r="CY93" s="114">
        <v>3.4752049980476376</v>
      </c>
      <c r="CZ93" s="112"/>
      <c r="DA93" s="113">
        <v>5.8167330677290838</v>
      </c>
      <c r="DB93" s="113">
        <v>6.0931899641577063</v>
      </c>
      <c r="DC93" s="113">
        <v>8.2179544439481909</v>
      </c>
      <c r="DD93" s="113">
        <v>7.2562358276643995</v>
      </c>
      <c r="DE93" s="112"/>
      <c r="DF93" s="113">
        <v>83.41319572429046</v>
      </c>
      <c r="DG93" s="113">
        <v>84.670977558006854</v>
      </c>
      <c r="DH93" s="113">
        <v>86.028513238289207</v>
      </c>
      <c r="DI93" s="113">
        <v>87.568627450980387</v>
      </c>
      <c r="DJ93" s="112"/>
      <c r="DK93" s="114">
        <v>14.226726726726726</v>
      </c>
      <c r="DL93" s="114">
        <v>15.358618099887344</v>
      </c>
      <c r="DM93" s="114">
        <v>15.983772819472616</v>
      </c>
      <c r="DN93" s="114">
        <v>17.061068702290076</v>
      </c>
      <c r="DO93" s="112"/>
      <c r="DP93" s="113">
        <v>16.469321851453177</v>
      </c>
      <c r="DQ93" s="113">
        <v>24.059590316573559</v>
      </c>
      <c r="DR93" s="113">
        <v>27.550200803212853</v>
      </c>
      <c r="DS93" s="113">
        <v>34.354899735149452</v>
      </c>
      <c r="DT93" s="112"/>
      <c r="DU93" s="115">
        <v>21</v>
      </c>
      <c r="DV93" s="115">
        <v>13</v>
      </c>
      <c r="DW93" s="115">
        <v>12</v>
      </c>
      <c r="DX93" s="115">
        <v>12</v>
      </c>
      <c r="DY93" s="112"/>
      <c r="DZ93" s="116">
        <v>1.5550239234449761</v>
      </c>
      <c r="EA93" s="116">
        <v>1.971090670170828</v>
      </c>
      <c r="EB93" s="116">
        <v>6.7331670822942646</v>
      </c>
      <c r="EC93" s="116">
        <v>1.3157894736842106</v>
      </c>
      <c r="ED93" s="112"/>
      <c r="EE93" s="113">
        <v>92.629482071713142</v>
      </c>
      <c r="EF93" s="113">
        <v>0</v>
      </c>
      <c r="EG93" s="113">
        <v>1.3944223107569722</v>
      </c>
      <c r="EH93" s="113">
        <v>2.191235059760956</v>
      </c>
      <c r="EI93" s="113">
        <v>9.1451292246520879</v>
      </c>
      <c r="EJ93" s="113">
        <v>29.011168618904932</v>
      </c>
      <c r="EK93" s="113"/>
      <c r="EL93" s="115">
        <v>3317</v>
      </c>
      <c r="EM93" s="115">
        <v>3269</v>
      </c>
      <c r="EN93" s="115">
        <v>3014</v>
      </c>
      <c r="EO93" s="115">
        <v>2721</v>
      </c>
      <c r="EP93" s="112"/>
      <c r="EQ93" s="114">
        <v>1325.2626952734827</v>
      </c>
      <c r="ER93" s="114">
        <v>1324.2913684074069</v>
      </c>
      <c r="ES93" s="114">
        <v>1242.5484198115153</v>
      </c>
      <c r="ET93" s="114">
        <v>1186.3497835271344</v>
      </c>
      <c r="EU93" s="112"/>
      <c r="EV93" s="123">
        <v>795.02099999999996</v>
      </c>
      <c r="EW93" s="123">
        <v>773.01699999999994</v>
      </c>
      <c r="EX93" s="123">
        <v>686.56399999999996</v>
      </c>
      <c r="EY93" s="123">
        <v>624.72900000000004</v>
      </c>
      <c r="EZ93" s="112"/>
      <c r="FA93" s="115">
        <v>1174</v>
      </c>
      <c r="FB93" s="115">
        <v>990</v>
      </c>
      <c r="FC93" s="115">
        <v>777</v>
      </c>
      <c r="FD93" s="115">
        <v>676</v>
      </c>
      <c r="FE93" s="112"/>
      <c r="FF93" s="115">
        <v>779</v>
      </c>
      <c r="FG93" s="115">
        <v>760</v>
      </c>
      <c r="FH93" s="115">
        <v>706</v>
      </c>
      <c r="FI93" s="115">
        <v>628</v>
      </c>
      <c r="FJ93" s="112"/>
      <c r="FK93" s="115">
        <v>298</v>
      </c>
      <c r="FL93" s="115">
        <v>303</v>
      </c>
      <c r="FM93" s="115">
        <v>233</v>
      </c>
      <c r="FN93" s="115">
        <v>183</v>
      </c>
      <c r="FO93" s="112"/>
      <c r="FP93" s="115">
        <v>123</v>
      </c>
      <c r="FQ93" s="115">
        <v>135</v>
      </c>
      <c r="FR93" s="115">
        <v>145</v>
      </c>
      <c r="FS93" s="115">
        <v>136</v>
      </c>
      <c r="FT93" s="112"/>
      <c r="FU93" s="123">
        <v>264.541</v>
      </c>
      <c r="FV93" s="123">
        <v>219.19900000000001</v>
      </c>
      <c r="FW93" s="123">
        <v>164.72800000000001</v>
      </c>
      <c r="FX93" s="123">
        <v>140.14400000000001</v>
      </c>
      <c r="FY93" s="112"/>
      <c r="FZ93" s="123">
        <v>198.93100000000001</v>
      </c>
      <c r="GA93" s="123">
        <v>197.50700000000001</v>
      </c>
      <c r="GB93" s="123">
        <v>181.04400000000001</v>
      </c>
      <c r="GC93" s="123">
        <v>163.79600000000002</v>
      </c>
      <c r="GD93" s="112"/>
      <c r="GE93" s="123">
        <v>64.391999999999996</v>
      </c>
      <c r="GF93" s="123">
        <v>63.462999999999994</v>
      </c>
      <c r="GG93" s="123">
        <v>45.010000000000005</v>
      </c>
      <c r="GH93" s="123">
        <v>36.857999999999997</v>
      </c>
      <c r="GI93" s="112"/>
      <c r="GJ93" s="123">
        <v>43.000116299450916</v>
      </c>
      <c r="GK93" s="123">
        <v>43.709813618331431</v>
      </c>
      <c r="GL93" s="123">
        <v>44.771089276703492</v>
      </c>
      <c r="GM93" s="123">
        <v>43.36225059895289</v>
      </c>
      <c r="GN93" s="112"/>
      <c r="GO93" s="123">
        <v>1027.3800000000001</v>
      </c>
      <c r="GP93" s="123">
        <v>946.803</v>
      </c>
      <c r="GQ93" s="123">
        <v>865.14800000000002</v>
      </c>
      <c r="GR93" s="123">
        <v>751.26700000000005</v>
      </c>
      <c r="GS93" s="112"/>
      <c r="GT93" s="123">
        <v>610.82099999999991</v>
      </c>
      <c r="GU93" s="123">
        <v>626.79099999999994</v>
      </c>
      <c r="GV93" s="123">
        <v>551.81399999999996</v>
      </c>
      <c r="GW93" s="123">
        <v>525.07899999999995</v>
      </c>
      <c r="GX93" s="112"/>
      <c r="GY93" s="112"/>
      <c r="GZ93" s="112"/>
      <c r="HA93" s="112"/>
      <c r="HB93" s="112"/>
      <c r="HC93" s="112"/>
      <c r="HD93" s="115">
        <v>544</v>
      </c>
      <c r="HE93" s="115">
        <v>0</v>
      </c>
      <c r="HF93" s="115">
        <v>3</v>
      </c>
      <c r="HG93" s="115">
        <v>1</v>
      </c>
      <c r="HH93" s="115">
        <v>1</v>
      </c>
      <c r="HI93" s="114">
        <v>30.788177339901477</v>
      </c>
      <c r="HJ93" s="114">
        <v>32.214928276197426</v>
      </c>
      <c r="HK93" s="113">
        <v>25.724976613657624</v>
      </c>
      <c r="HL93" s="112">
        <v>82</v>
      </c>
      <c r="HM93" s="112">
        <v>78</v>
      </c>
      <c r="HN93" s="112">
        <v>107</v>
      </c>
      <c r="HO93" s="112">
        <v>89</v>
      </c>
      <c r="HP93" s="112"/>
      <c r="HQ93" s="112">
        <v>146</v>
      </c>
      <c r="HR93" s="112">
        <v>153</v>
      </c>
      <c r="HS93" s="112">
        <v>184</v>
      </c>
      <c r="HT93" s="112">
        <v>160</v>
      </c>
      <c r="HU93" s="117"/>
    </row>
    <row r="94" spans="1:229" x14ac:dyDescent="0.2">
      <c r="A94" s="121" t="s">
        <v>204</v>
      </c>
      <c r="B94" s="121" t="s">
        <v>204</v>
      </c>
      <c r="C94" s="115">
        <v>57674</v>
      </c>
      <c r="D94" s="115">
        <v>57693</v>
      </c>
      <c r="E94" s="115">
        <v>57889</v>
      </c>
      <c r="F94" s="115">
        <v>57827</v>
      </c>
      <c r="G94" s="99">
        <v>58620</v>
      </c>
      <c r="H94" s="115">
        <v>22674</v>
      </c>
      <c r="I94" s="115">
        <v>22811</v>
      </c>
      <c r="J94" s="115">
        <v>22921</v>
      </c>
      <c r="K94" s="115">
        <v>22992</v>
      </c>
      <c r="L94" s="99">
        <v>22983</v>
      </c>
      <c r="M94" s="122">
        <v>21.48081841432225</v>
      </c>
      <c r="N94" s="122">
        <v>22.003994673768307</v>
      </c>
      <c r="O94" s="122">
        <v>22.760514228528905</v>
      </c>
      <c r="P94" s="122">
        <v>22.791875549123986</v>
      </c>
      <c r="Q94" s="102">
        <v>22.613245780536602</v>
      </c>
      <c r="R94" s="123">
        <v>26.023017902813301</v>
      </c>
      <c r="S94" s="123">
        <v>25.729796169210285</v>
      </c>
      <c r="T94" s="123">
        <v>25.783274742757435</v>
      </c>
      <c r="U94" s="123">
        <v>26.639619618584941</v>
      </c>
      <c r="V94" s="100">
        <v>27.748422510644847</v>
      </c>
      <c r="W94" s="123">
        <v>47.503836317135551</v>
      </c>
      <c r="X94" s="123">
        <v>47.733790842978593</v>
      </c>
      <c r="Y94" s="123">
        <v>48.54378897128634</v>
      </c>
      <c r="Z94" s="123">
        <v>49.431495167708924</v>
      </c>
      <c r="AA94" s="100">
        <v>50.361668291181452</v>
      </c>
      <c r="AB94" s="123">
        <v>3.7020918559781819</v>
      </c>
      <c r="AC94" s="123">
        <v>4.1488464112187602</v>
      </c>
      <c r="AD94" s="123">
        <v>5.0086009174311927</v>
      </c>
      <c r="AE94" s="123">
        <v>6.9713113586507509</v>
      </c>
      <c r="AF94" s="100">
        <v>6.182336182336182</v>
      </c>
      <c r="AG94" s="115">
        <v>953.66666666666674</v>
      </c>
      <c r="AH94" s="115">
        <v>954.16666666666663</v>
      </c>
      <c r="AI94" s="115">
        <v>1001.6666666666666</v>
      </c>
      <c r="AJ94" s="115">
        <v>1321.3333333333335</v>
      </c>
      <c r="AK94" s="105">
        <v>1631.4166666666665</v>
      </c>
      <c r="AL94" s="106">
        <v>56059</v>
      </c>
      <c r="AM94" s="106">
        <v>552</v>
      </c>
      <c r="AN94" s="106">
        <v>124</v>
      </c>
      <c r="AO94" s="106">
        <v>568</v>
      </c>
      <c r="AP94" s="106">
        <v>0</v>
      </c>
      <c r="AQ94" s="106">
        <v>1539</v>
      </c>
      <c r="AR94" s="106">
        <v>55911</v>
      </c>
      <c r="AS94" s="106">
        <v>728</v>
      </c>
      <c r="AT94" s="106">
        <v>120</v>
      </c>
      <c r="AU94" s="106">
        <v>587</v>
      </c>
      <c r="AV94" s="106">
        <v>649</v>
      </c>
      <c r="AW94" s="106">
        <v>2086</v>
      </c>
      <c r="AX94" s="107">
        <v>32026.418666619917</v>
      </c>
      <c r="AY94" s="107">
        <v>33883.647416413376</v>
      </c>
      <c r="AZ94" s="107">
        <v>34772.342932390755</v>
      </c>
      <c r="BA94" s="107">
        <v>37534.82569824659</v>
      </c>
      <c r="BB94" s="107">
        <v>36464.004703685132</v>
      </c>
      <c r="BC94" s="124" t="s">
        <v>217</v>
      </c>
      <c r="BD94" s="124" t="s">
        <v>217</v>
      </c>
      <c r="BE94" s="124" t="s">
        <v>217</v>
      </c>
      <c r="BF94" s="124" t="s">
        <v>217</v>
      </c>
      <c r="BG94" s="108" t="s">
        <v>217</v>
      </c>
      <c r="BH94" s="122">
        <v>7.7649673565773023</v>
      </c>
      <c r="BI94" s="122">
        <v>7.7435239449318587</v>
      </c>
      <c r="BJ94" s="122">
        <v>8.4394987260152874</v>
      </c>
      <c r="BK94" s="122">
        <v>9.2090034376133634</v>
      </c>
      <c r="BL94" s="100">
        <v>9.5491725318622791</v>
      </c>
      <c r="BM94" s="122">
        <v>9.6624266144814097</v>
      </c>
      <c r="BN94" s="122">
        <v>8.9671547289275821</v>
      </c>
      <c r="BO94" s="122">
        <v>10.128</v>
      </c>
      <c r="BP94" s="122">
        <v>9.7661623108665747</v>
      </c>
      <c r="BQ94" s="100">
        <v>10.899311872182235</v>
      </c>
      <c r="BR94" s="115">
        <v>5798</v>
      </c>
      <c r="BS94" s="115">
        <v>5733</v>
      </c>
      <c r="BT94" s="115">
        <v>5897</v>
      </c>
      <c r="BU94" s="110">
        <v>5917</v>
      </c>
      <c r="BV94" s="122">
        <v>29.285960676095204</v>
      </c>
      <c r="BW94" s="122">
        <v>31.1704168847026</v>
      </c>
      <c r="BX94" s="122">
        <v>34.23774800746142</v>
      </c>
      <c r="BY94" s="103">
        <v>36.471184721987491</v>
      </c>
      <c r="BZ94" s="122">
        <v>4.1393583994480858</v>
      </c>
      <c r="CA94" s="122">
        <v>3.1397174254317113</v>
      </c>
      <c r="CB94" s="122">
        <v>2.5097507207054432</v>
      </c>
      <c r="CC94" s="103">
        <v>2.9237789420314351</v>
      </c>
      <c r="CD94" s="122">
        <v>15.833045877888928</v>
      </c>
      <c r="CE94" s="122">
        <v>16.082330368044655</v>
      </c>
      <c r="CF94" s="122">
        <v>17.534339494658301</v>
      </c>
      <c r="CG94" s="103">
        <v>18.489099205678553</v>
      </c>
      <c r="CH94" s="122">
        <v>82.57839721254355</v>
      </c>
      <c r="CI94" s="123">
        <v>85.231316725978644</v>
      </c>
      <c r="CJ94" s="122">
        <v>83.77896613190731</v>
      </c>
      <c r="CK94" s="111">
        <v>80.582524271844662</v>
      </c>
      <c r="CL94" s="112">
        <v>3437</v>
      </c>
      <c r="CM94" s="112">
        <v>3143</v>
      </c>
      <c r="CN94" s="112">
        <v>3311</v>
      </c>
      <c r="CO94" s="112">
        <v>3529</v>
      </c>
      <c r="CP94" s="112"/>
      <c r="CQ94" s="113">
        <v>12.229619376670142</v>
      </c>
      <c r="CR94" s="113">
        <v>11.07239862044184</v>
      </c>
      <c r="CS94" s="113">
        <v>11.571622788163463</v>
      </c>
      <c r="CT94" s="113">
        <v>12.181440993016986</v>
      </c>
      <c r="CU94" s="112"/>
      <c r="CV94" s="114">
        <v>3.9987973541791941</v>
      </c>
      <c r="CW94" s="114">
        <v>3.6661211129296234</v>
      </c>
      <c r="CX94" s="114">
        <v>4.31924882629108</v>
      </c>
      <c r="CY94" s="114">
        <v>4.0762463343108504</v>
      </c>
      <c r="CZ94" s="112"/>
      <c r="DA94" s="113">
        <v>6.1881977671451356</v>
      </c>
      <c r="DB94" s="113">
        <v>6.4723822433073535</v>
      </c>
      <c r="DC94" s="113">
        <v>8.1011017498379783</v>
      </c>
      <c r="DD94" s="113">
        <v>8.5339835416031704</v>
      </c>
      <c r="DE94" s="112"/>
      <c r="DF94" s="113">
        <v>87.245672638931069</v>
      </c>
      <c r="DG94" s="113">
        <v>87.101108498488415</v>
      </c>
      <c r="DH94" s="113">
        <v>89.010321797207041</v>
      </c>
      <c r="DI94" s="113">
        <v>89.776632302405503</v>
      </c>
      <c r="DJ94" s="112"/>
      <c r="DK94" s="114">
        <v>11.826981246218995</v>
      </c>
      <c r="DL94" s="114">
        <v>12.110504336652747</v>
      </c>
      <c r="DM94" s="114">
        <v>12.04965183166818</v>
      </c>
      <c r="DN94" s="114">
        <v>9.1735302470888946</v>
      </c>
      <c r="DO94" s="112"/>
      <c r="DP94" s="113">
        <v>19.493744544661041</v>
      </c>
      <c r="DQ94" s="113">
        <v>21.101209420751115</v>
      </c>
      <c r="DR94" s="113">
        <v>25.581395348837209</v>
      </c>
      <c r="DS94" s="113">
        <v>31.255313119863985</v>
      </c>
      <c r="DT94" s="112"/>
      <c r="DU94" s="115">
        <v>28</v>
      </c>
      <c r="DV94" s="115">
        <v>16</v>
      </c>
      <c r="DW94" s="115">
        <v>11</v>
      </c>
      <c r="DX94" s="115">
        <v>20</v>
      </c>
      <c r="DY94" s="112"/>
      <c r="DZ94" s="116">
        <v>4.3554006968641117</v>
      </c>
      <c r="EA94" s="116">
        <v>2.8469750889679717</v>
      </c>
      <c r="EB94" s="116">
        <v>4.6345811051693406</v>
      </c>
      <c r="EC94" s="116">
        <v>4.8543689320388346</v>
      </c>
      <c r="ED94" s="112"/>
      <c r="EE94" s="113">
        <v>90.4</v>
      </c>
      <c r="EF94" s="113">
        <v>3.84</v>
      </c>
      <c r="EG94" s="113">
        <v>0</v>
      </c>
      <c r="EH94" s="113">
        <v>1.1200000000000001</v>
      </c>
      <c r="EI94" s="113">
        <v>6.56</v>
      </c>
      <c r="EJ94" s="113">
        <v>17.111680581962471</v>
      </c>
      <c r="EK94" s="113"/>
      <c r="EL94" s="115">
        <v>2239</v>
      </c>
      <c r="EM94" s="115">
        <v>2268</v>
      </c>
      <c r="EN94" s="115">
        <v>2320</v>
      </c>
      <c r="EO94" s="115">
        <v>2444</v>
      </c>
      <c r="EP94" s="112"/>
      <c r="EQ94" s="114">
        <v>796.68658086600078</v>
      </c>
      <c r="ER94" s="114">
        <v>798.98823007197234</v>
      </c>
      <c r="ES94" s="114">
        <v>810.81742278886247</v>
      </c>
      <c r="ET94" s="114">
        <v>843.62260660055301</v>
      </c>
      <c r="EU94" s="112"/>
      <c r="EV94" s="123">
        <v>696.52</v>
      </c>
      <c r="EW94" s="123">
        <v>706.48</v>
      </c>
      <c r="EX94" s="123">
        <v>669.65200000000004</v>
      </c>
      <c r="EY94" s="123">
        <v>631.34799999999996</v>
      </c>
      <c r="EZ94" s="112"/>
      <c r="FA94" s="115">
        <v>762</v>
      </c>
      <c r="FB94" s="115">
        <v>675</v>
      </c>
      <c r="FC94" s="115">
        <v>560</v>
      </c>
      <c r="FD94" s="115">
        <v>529</v>
      </c>
      <c r="FE94" s="112"/>
      <c r="FF94" s="115">
        <v>527</v>
      </c>
      <c r="FG94" s="115">
        <v>548</v>
      </c>
      <c r="FH94" s="115">
        <v>605</v>
      </c>
      <c r="FI94" s="115">
        <v>588</v>
      </c>
      <c r="FJ94" s="112"/>
      <c r="FK94" s="115">
        <v>203</v>
      </c>
      <c r="FL94" s="115">
        <v>167</v>
      </c>
      <c r="FM94" s="115">
        <v>151</v>
      </c>
      <c r="FN94" s="115">
        <v>171</v>
      </c>
      <c r="FO94" s="112"/>
      <c r="FP94" s="115">
        <v>74</v>
      </c>
      <c r="FQ94" s="115">
        <v>68</v>
      </c>
      <c r="FR94" s="115">
        <v>91</v>
      </c>
      <c r="FS94" s="115">
        <v>103</v>
      </c>
      <c r="FT94" s="112"/>
      <c r="FU94" s="123">
        <v>234.01900000000001</v>
      </c>
      <c r="FV94" s="123">
        <v>204.577</v>
      </c>
      <c r="FW94" s="123">
        <v>153.96299999999999</v>
      </c>
      <c r="FX94" s="123">
        <v>132.19099999999997</v>
      </c>
      <c r="FY94" s="112"/>
      <c r="FZ94" s="123">
        <v>170.11499999999998</v>
      </c>
      <c r="GA94" s="123">
        <v>180.714</v>
      </c>
      <c r="GB94" s="123">
        <v>183.995</v>
      </c>
      <c r="GC94" s="123">
        <v>159.51900000000001</v>
      </c>
      <c r="GD94" s="112"/>
      <c r="GE94" s="123">
        <v>60.45</v>
      </c>
      <c r="GF94" s="123">
        <v>49.75</v>
      </c>
      <c r="GG94" s="123">
        <v>41.516000000000005</v>
      </c>
      <c r="GH94" s="123">
        <v>40.879999999999995</v>
      </c>
      <c r="GI94" s="112"/>
      <c r="GJ94" s="123">
        <v>24.189215494177482</v>
      </c>
      <c r="GK94" s="123">
        <v>22.01500291194511</v>
      </c>
      <c r="GL94" s="123">
        <v>27.089817393922704</v>
      </c>
      <c r="GM94" s="123">
        <v>30.121886973879235</v>
      </c>
      <c r="GN94" s="112"/>
      <c r="GO94" s="123">
        <v>907.0100000000001</v>
      </c>
      <c r="GP94" s="123">
        <v>865.24</v>
      </c>
      <c r="GQ94" s="123">
        <v>796.83500000000004</v>
      </c>
      <c r="GR94" s="123">
        <v>765.79899999999998</v>
      </c>
      <c r="GS94" s="112"/>
      <c r="GT94" s="123">
        <v>553.62100000000009</v>
      </c>
      <c r="GU94" s="123">
        <v>588.13900000000001</v>
      </c>
      <c r="GV94" s="123">
        <v>577.39300000000003</v>
      </c>
      <c r="GW94" s="123">
        <v>519.81200000000001</v>
      </c>
      <c r="GX94" s="112"/>
      <c r="GY94" s="112"/>
      <c r="GZ94" s="112"/>
      <c r="HA94" s="112"/>
      <c r="HB94" s="112"/>
      <c r="HC94" s="112"/>
      <c r="HD94" s="115">
        <v>448</v>
      </c>
      <c r="HE94" s="115">
        <v>2</v>
      </c>
      <c r="HF94" s="115">
        <v>1</v>
      </c>
      <c r="HG94" s="115">
        <v>1</v>
      </c>
      <c r="HH94" s="115">
        <v>3</v>
      </c>
      <c r="HI94" s="114">
        <v>23.477157360406093</v>
      </c>
      <c r="HJ94" s="114">
        <v>18.14811954591088</v>
      </c>
      <c r="HK94" s="113">
        <v>17.797228300510575</v>
      </c>
      <c r="HL94" s="112">
        <v>133</v>
      </c>
      <c r="HM94" s="112">
        <v>112</v>
      </c>
      <c r="HN94" s="112">
        <v>138</v>
      </c>
      <c r="HO94" s="112">
        <v>139</v>
      </c>
      <c r="HP94" s="112"/>
      <c r="HQ94" s="112">
        <v>194</v>
      </c>
      <c r="HR94" s="112">
        <v>191</v>
      </c>
      <c r="HS94" s="112">
        <v>250</v>
      </c>
      <c r="HT94" s="112">
        <v>280</v>
      </c>
      <c r="HU94" s="117"/>
    </row>
    <row r="95" spans="1:229" x14ac:dyDescent="0.2">
      <c r="A95" s="121" t="s">
        <v>205</v>
      </c>
      <c r="B95" s="121" t="s">
        <v>205</v>
      </c>
      <c r="C95" s="115">
        <v>246478</v>
      </c>
      <c r="D95" s="115">
        <v>246726</v>
      </c>
      <c r="E95" s="115">
        <v>246843</v>
      </c>
      <c r="F95" s="115">
        <v>248176</v>
      </c>
      <c r="G95" s="99">
        <v>251654</v>
      </c>
      <c r="H95" s="115">
        <v>104575</v>
      </c>
      <c r="I95" s="115">
        <v>105090</v>
      </c>
      <c r="J95" s="115">
        <v>105442</v>
      </c>
      <c r="K95" s="115">
        <v>105632</v>
      </c>
      <c r="L95" s="99">
        <v>105640</v>
      </c>
      <c r="M95" s="122">
        <v>23.18320751681691</v>
      </c>
      <c r="N95" s="122">
        <v>23.108035873374117</v>
      </c>
      <c r="O95" s="122">
        <v>23.358651297173324</v>
      </c>
      <c r="P95" s="122">
        <v>24.17403053964534</v>
      </c>
      <c r="Q95" s="102">
        <v>23.973176865046103</v>
      </c>
      <c r="R95" s="123">
        <v>23.67237259960557</v>
      </c>
      <c r="S95" s="123">
        <v>23.429945952366811</v>
      </c>
      <c r="T95" s="123">
        <v>23.689869835880021</v>
      </c>
      <c r="U95" s="123">
        <v>24.205120233411854</v>
      </c>
      <c r="V95" s="100">
        <v>24.577641878091686</v>
      </c>
      <c r="W95" s="123">
        <v>46.85558011642248</v>
      </c>
      <c r="X95" s="123">
        <v>46.537981825740928</v>
      </c>
      <c r="Y95" s="123">
        <v>47.048521133053349</v>
      </c>
      <c r="Z95" s="123">
        <v>48.379150773057191</v>
      </c>
      <c r="AA95" s="100">
        <v>48.550818743137789</v>
      </c>
      <c r="AB95" s="123">
        <v>5.0283954629156797</v>
      </c>
      <c r="AC95" s="123">
        <v>5.5176367180035921</v>
      </c>
      <c r="AD95" s="123">
        <v>6.2529430528762173</v>
      </c>
      <c r="AE95" s="123">
        <v>9.3505321349328714</v>
      </c>
      <c r="AF95" s="100">
        <v>7.7275083970153968</v>
      </c>
      <c r="AG95" s="115">
        <v>8050.75</v>
      </c>
      <c r="AH95" s="115">
        <v>8244.4166666666661</v>
      </c>
      <c r="AI95" s="115">
        <v>8735.5833333333339</v>
      </c>
      <c r="AJ95" s="115">
        <v>10909.75</v>
      </c>
      <c r="AK95" s="105">
        <v>12597.916666666666</v>
      </c>
      <c r="AL95" s="106">
        <v>232284</v>
      </c>
      <c r="AM95" s="106">
        <v>2447</v>
      </c>
      <c r="AN95" s="106">
        <v>6427</v>
      </c>
      <c r="AO95" s="106">
        <v>1719</v>
      </c>
      <c r="AP95" s="106">
        <v>0</v>
      </c>
      <c r="AQ95" s="106">
        <v>2184</v>
      </c>
      <c r="AR95" s="106">
        <v>233114</v>
      </c>
      <c r="AS95" s="106">
        <v>3270</v>
      </c>
      <c r="AT95" s="106">
        <v>7060</v>
      </c>
      <c r="AU95" s="106">
        <v>2063</v>
      </c>
      <c r="AV95" s="106">
        <v>5618</v>
      </c>
      <c r="AW95" s="106">
        <v>3031</v>
      </c>
      <c r="AX95" s="107">
        <v>31147.655964606081</v>
      </c>
      <c r="AY95" s="107">
        <v>32924.491031836675</v>
      </c>
      <c r="AZ95" s="107">
        <v>34762.874752330528</v>
      </c>
      <c r="BA95" s="107">
        <v>36300.632962555777</v>
      </c>
      <c r="BB95" s="107">
        <v>35822.476790664688</v>
      </c>
      <c r="BC95" s="124" t="s">
        <v>217</v>
      </c>
      <c r="BD95" s="124" t="s">
        <v>217</v>
      </c>
      <c r="BE95" s="124" t="s">
        <v>217</v>
      </c>
      <c r="BF95" s="124" t="s">
        <v>217</v>
      </c>
      <c r="BG95" s="108" t="s">
        <v>217</v>
      </c>
      <c r="BH95" s="122">
        <v>11.420804639362087</v>
      </c>
      <c r="BI95" s="122">
        <v>11.897207864393577</v>
      </c>
      <c r="BJ95" s="122">
        <v>13.063884633155809</v>
      </c>
      <c r="BK95" s="122">
        <v>12.923194095032065</v>
      </c>
      <c r="BL95" s="100">
        <v>14.479240538972343</v>
      </c>
      <c r="BM95" s="122">
        <v>14.023460529793246</v>
      </c>
      <c r="BN95" s="122">
        <v>14.531502423263328</v>
      </c>
      <c r="BO95" s="122">
        <v>16.99899993877176</v>
      </c>
      <c r="BP95" s="122">
        <v>13.851709785358688</v>
      </c>
      <c r="BQ95" s="100">
        <v>16.733276815631182</v>
      </c>
      <c r="BR95" s="115">
        <v>34581</v>
      </c>
      <c r="BS95" s="115">
        <v>34095</v>
      </c>
      <c r="BT95" s="115">
        <v>33809</v>
      </c>
      <c r="BU95" s="110">
        <v>33423</v>
      </c>
      <c r="BV95" s="122">
        <v>35.282380497961306</v>
      </c>
      <c r="BW95" s="122">
        <v>35.929021850711251</v>
      </c>
      <c r="BX95" s="122">
        <v>38.20876098080393</v>
      </c>
      <c r="BY95" s="103">
        <v>39.284325165305326</v>
      </c>
      <c r="BZ95" s="122">
        <v>0.19953153465776005</v>
      </c>
      <c r="CA95" s="122">
        <v>0.19064378941193724</v>
      </c>
      <c r="CB95" s="122">
        <v>8.5775976810908344E-2</v>
      </c>
      <c r="CC95" s="103">
        <v>0.11668611435239207</v>
      </c>
      <c r="CD95" s="122">
        <v>15.132587258899395</v>
      </c>
      <c r="CE95" s="122">
        <v>15.685584396539081</v>
      </c>
      <c r="CF95" s="122">
        <v>16.11996805584312</v>
      </c>
      <c r="CG95" s="103">
        <v>16.300152589534154</v>
      </c>
      <c r="CH95" s="122">
        <v>78.004324992276793</v>
      </c>
      <c r="CI95" s="123">
        <v>79.181669394435346</v>
      </c>
      <c r="CJ95" s="122">
        <v>78.940526486837825</v>
      </c>
      <c r="CK95" s="111">
        <v>77.577577577577571</v>
      </c>
      <c r="CL95" s="112">
        <v>13286</v>
      </c>
      <c r="CM95" s="112">
        <v>12604</v>
      </c>
      <c r="CN95" s="112">
        <v>12939</v>
      </c>
      <c r="CO95" s="112">
        <v>13492</v>
      </c>
      <c r="CP95" s="112"/>
      <c r="CQ95" s="113">
        <v>10.935168426779393</v>
      </c>
      <c r="CR95" s="113">
        <v>10.400524152089924</v>
      </c>
      <c r="CS95" s="113">
        <v>10.413832956936197</v>
      </c>
      <c r="CT95" s="113">
        <v>10.881724558161817</v>
      </c>
      <c r="CU95" s="112"/>
      <c r="CV95" s="114">
        <v>4.2911167708574514</v>
      </c>
      <c r="CW95" s="114">
        <v>4.3694870957203529</v>
      </c>
      <c r="CX95" s="114">
        <v>4.4198455044994827</v>
      </c>
      <c r="CY95" s="114">
        <v>4.7414454503605956</v>
      </c>
      <c r="CZ95" s="112"/>
      <c r="DA95" s="113">
        <v>7.0882328755858897</v>
      </c>
      <c r="DB95" s="113">
        <v>7.8590078328981727</v>
      </c>
      <c r="DC95" s="113">
        <v>8.8017688578960804</v>
      </c>
      <c r="DD95" s="113">
        <v>9.0954151177199503</v>
      </c>
      <c r="DE95" s="112"/>
      <c r="DF95" s="113">
        <v>86.610038610038615</v>
      </c>
      <c r="DG95" s="113">
        <v>86.958292603453899</v>
      </c>
      <c r="DH95" s="113">
        <v>88.503507404520661</v>
      </c>
      <c r="DI95" s="113">
        <v>88.458029197080293</v>
      </c>
      <c r="DJ95" s="112"/>
      <c r="DK95" s="114">
        <v>23.363107432598543</v>
      </c>
      <c r="DL95" s="114">
        <v>21.926478941816118</v>
      </c>
      <c r="DM95" s="114">
        <v>22.098803790585677</v>
      </c>
      <c r="DN95" s="114">
        <v>20.081688223281144</v>
      </c>
      <c r="DO95" s="112"/>
      <c r="DP95" s="113">
        <v>29.292168674698797</v>
      </c>
      <c r="DQ95" s="113">
        <v>32.195857471629239</v>
      </c>
      <c r="DR95" s="113">
        <v>35.856204097410128</v>
      </c>
      <c r="DS95" s="113">
        <v>39.961447212336893</v>
      </c>
      <c r="DT95" s="112"/>
      <c r="DU95" s="115">
        <v>91</v>
      </c>
      <c r="DV95" s="115">
        <v>85</v>
      </c>
      <c r="DW95" s="115">
        <v>75</v>
      </c>
      <c r="DX95" s="115">
        <v>63</v>
      </c>
      <c r="DY95" s="112"/>
      <c r="DZ95" s="116" t="s">
        <v>217</v>
      </c>
      <c r="EA95" s="116">
        <v>7.0376432078559734</v>
      </c>
      <c r="EB95" s="116">
        <v>6.7923301917452061</v>
      </c>
      <c r="EC95" s="116">
        <v>6.2062062062062058</v>
      </c>
      <c r="ED95" s="112"/>
      <c r="EE95" s="113">
        <v>90.302316450726352</v>
      </c>
      <c r="EF95" s="113">
        <v>2.4342363564978404</v>
      </c>
      <c r="EG95" s="113">
        <v>5.4574008637612881</v>
      </c>
      <c r="EH95" s="113">
        <v>1.1778563015312131</v>
      </c>
      <c r="EI95" s="113">
        <v>1.5330188679245282</v>
      </c>
      <c r="EJ95" s="113">
        <v>23.220411663807891</v>
      </c>
      <c r="EK95" s="113"/>
      <c r="EL95" s="115">
        <v>13306</v>
      </c>
      <c r="EM95" s="115">
        <v>13336</v>
      </c>
      <c r="EN95" s="115">
        <v>13246</v>
      </c>
      <c r="EO95" s="115">
        <v>13049</v>
      </c>
      <c r="EP95" s="112"/>
      <c r="EQ95" s="114">
        <v>1095.1629616643579</v>
      </c>
      <c r="ER95" s="114">
        <v>1100.455332372828</v>
      </c>
      <c r="ES95" s="114">
        <v>1066.0919031422588</v>
      </c>
      <c r="ET95" s="114">
        <v>1052.4431052435041</v>
      </c>
      <c r="EU95" s="112"/>
      <c r="EV95" s="123">
        <v>902.89799999999991</v>
      </c>
      <c r="EW95" s="123">
        <v>891.30799999999988</v>
      </c>
      <c r="EX95" s="123">
        <v>802.45400000000006</v>
      </c>
      <c r="EY95" s="123">
        <v>775.21300000000008</v>
      </c>
      <c r="EZ95" s="112"/>
      <c r="FA95" s="115">
        <v>4266</v>
      </c>
      <c r="FB95" s="115">
        <v>3681</v>
      </c>
      <c r="FC95" s="115">
        <v>3206</v>
      </c>
      <c r="FD95" s="115">
        <v>2958</v>
      </c>
      <c r="FE95" s="112"/>
      <c r="FF95" s="115">
        <v>3072</v>
      </c>
      <c r="FG95" s="115">
        <v>2978</v>
      </c>
      <c r="FH95" s="115">
        <v>3095</v>
      </c>
      <c r="FI95" s="115">
        <v>3128</v>
      </c>
      <c r="FJ95" s="112"/>
      <c r="FK95" s="115">
        <v>1036</v>
      </c>
      <c r="FL95" s="115">
        <v>972</v>
      </c>
      <c r="FM95" s="115">
        <v>889</v>
      </c>
      <c r="FN95" s="115">
        <v>668</v>
      </c>
      <c r="FO95" s="112"/>
      <c r="FP95" s="115">
        <v>474</v>
      </c>
      <c r="FQ95" s="115">
        <v>561</v>
      </c>
      <c r="FR95" s="115">
        <v>585</v>
      </c>
      <c r="FS95" s="115">
        <v>638</v>
      </c>
      <c r="FT95" s="112"/>
      <c r="FU95" s="123">
        <v>283.83600000000001</v>
      </c>
      <c r="FV95" s="123">
        <v>240.95100000000002</v>
      </c>
      <c r="FW95" s="123">
        <v>187.22899999999998</v>
      </c>
      <c r="FX95" s="123">
        <v>167.83800000000002</v>
      </c>
      <c r="FY95" s="112"/>
      <c r="FZ95" s="123">
        <v>207.464</v>
      </c>
      <c r="GA95" s="123">
        <v>199.202</v>
      </c>
      <c r="GB95" s="123">
        <v>195.708</v>
      </c>
      <c r="GC95" s="123">
        <v>194.126</v>
      </c>
      <c r="GD95" s="112"/>
      <c r="GE95" s="123">
        <v>68.458999999999989</v>
      </c>
      <c r="GF95" s="123">
        <v>62.766999999999996</v>
      </c>
      <c r="GG95" s="123">
        <v>49.965000000000003</v>
      </c>
      <c r="GH95" s="123">
        <v>37.179000000000002</v>
      </c>
      <c r="GI95" s="112"/>
      <c r="GJ95" s="123">
        <v>36.713551411867783</v>
      </c>
      <c r="GK95" s="123">
        <v>42.512046359297571</v>
      </c>
      <c r="GL95" s="123">
        <v>41.120474374152039</v>
      </c>
      <c r="GM95" s="123">
        <v>43.893014289214015</v>
      </c>
      <c r="GN95" s="112"/>
      <c r="GO95" s="123">
        <v>1138.4649999999999</v>
      </c>
      <c r="GP95" s="123">
        <v>1095.057</v>
      </c>
      <c r="GQ95" s="123">
        <v>976.86400000000003</v>
      </c>
      <c r="GR95" s="123">
        <v>946.76899999999989</v>
      </c>
      <c r="GS95" s="112"/>
      <c r="GT95" s="123">
        <v>737.0329999999999</v>
      </c>
      <c r="GU95" s="123">
        <v>742.28600000000006</v>
      </c>
      <c r="GV95" s="123">
        <v>666.89400000000001</v>
      </c>
      <c r="GW95" s="123">
        <v>641.673</v>
      </c>
      <c r="GX95" s="112"/>
      <c r="GY95" s="112"/>
      <c r="GZ95" s="112"/>
      <c r="HA95" s="112"/>
      <c r="HB95" s="112"/>
      <c r="HC95" s="112"/>
      <c r="HD95" s="115">
        <v>2564</v>
      </c>
      <c r="HE95" s="115">
        <v>16</v>
      </c>
      <c r="HF95" s="115">
        <v>53</v>
      </c>
      <c r="HG95" s="115">
        <v>7</v>
      </c>
      <c r="HH95" s="115">
        <v>8</v>
      </c>
      <c r="HI95" s="114">
        <v>31.646161762642091</v>
      </c>
      <c r="HJ95" s="114">
        <v>28.667974711140179</v>
      </c>
      <c r="HK95" s="113">
        <v>24.266622532996813</v>
      </c>
      <c r="HL95" s="112">
        <v>556</v>
      </c>
      <c r="HM95" s="112">
        <v>535</v>
      </c>
      <c r="HN95" s="112">
        <v>555</v>
      </c>
      <c r="HO95" s="112">
        <v>618</v>
      </c>
      <c r="HP95" s="112"/>
      <c r="HQ95" s="112">
        <v>862</v>
      </c>
      <c r="HR95" s="112">
        <v>903</v>
      </c>
      <c r="HS95" s="112">
        <v>1035</v>
      </c>
      <c r="HT95" s="112">
        <v>1101</v>
      </c>
      <c r="HU95" s="117"/>
    </row>
    <row r="96" spans="1:229" x14ac:dyDescent="0.2">
      <c r="A96" s="121" t="s">
        <v>207</v>
      </c>
      <c r="B96" s="121" t="s">
        <v>207</v>
      </c>
      <c r="C96" s="115">
        <v>22809</v>
      </c>
      <c r="D96" s="115">
        <v>22232</v>
      </c>
      <c r="E96" s="115">
        <v>22017</v>
      </c>
      <c r="F96" s="115">
        <v>21902</v>
      </c>
      <c r="G96" s="99">
        <v>21953</v>
      </c>
      <c r="H96" s="115">
        <v>9522</v>
      </c>
      <c r="I96" s="115">
        <v>9496</v>
      </c>
      <c r="J96" s="115">
        <v>9380</v>
      </c>
      <c r="K96" s="115">
        <v>9344</v>
      </c>
      <c r="L96" s="99">
        <v>9286</v>
      </c>
      <c r="M96" s="122">
        <v>32.433768986223946</v>
      </c>
      <c r="N96" s="122">
        <v>32.782369146005507</v>
      </c>
      <c r="O96" s="122">
        <v>32.821973847614871</v>
      </c>
      <c r="P96" s="122">
        <v>33.24617108703773</v>
      </c>
      <c r="Q96" s="102">
        <v>34.132730015082956</v>
      </c>
      <c r="R96" s="123">
        <v>28.703638290356764</v>
      </c>
      <c r="S96" s="123">
        <v>28.389154704944179</v>
      </c>
      <c r="T96" s="123">
        <v>28.015194681861349</v>
      </c>
      <c r="U96" s="123">
        <v>30.384759058647742</v>
      </c>
      <c r="V96" s="100">
        <v>31.425339366515836</v>
      </c>
      <c r="W96" s="123">
        <v>61.137407276580717</v>
      </c>
      <c r="X96" s="123">
        <v>61.17152385094969</v>
      </c>
      <c r="Y96" s="123">
        <v>60.837168529476223</v>
      </c>
      <c r="Z96" s="123">
        <v>63.630930145685468</v>
      </c>
      <c r="AA96" s="100">
        <v>65.558069381598798</v>
      </c>
      <c r="AB96" s="123">
        <v>4.1847041847041844</v>
      </c>
      <c r="AC96" s="123">
        <v>3.979371921182266</v>
      </c>
      <c r="AD96" s="123">
        <v>4.6752044437586795</v>
      </c>
      <c r="AE96" s="123">
        <v>6.0817325521026477</v>
      </c>
      <c r="AF96" s="100">
        <v>5.3322634765482526</v>
      </c>
      <c r="AG96" s="115">
        <v>419.08333333333331</v>
      </c>
      <c r="AH96" s="115">
        <v>419.08333333333337</v>
      </c>
      <c r="AI96" s="115">
        <v>438.75</v>
      </c>
      <c r="AJ96" s="115">
        <v>530.33333333333326</v>
      </c>
      <c r="AK96" s="105">
        <v>657.41666666666674</v>
      </c>
      <c r="AL96" s="106">
        <v>22010</v>
      </c>
      <c r="AM96" s="106">
        <v>129</v>
      </c>
      <c r="AN96" s="106">
        <v>56</v>
      </c>
      <c r="AO96" s="106">
        <v>480</v>
      </c>
      <c r="AP96" s="106">
        <v>0</v>
      </c>
      <c r="AQ96" s="106">
        <v>740</v>
      </c>
      <c r="AR96" s="106">
        <v>20603</v>
      </c>
      <c r="AS96" s="106">
        <v>134</v>
      </c>
      <c r="AT96" s="106">
        <v>51</v>
      </c>
      <c r="AU96" s="106">
        <v>475</v>
      </c>
      <c r="AV96" s="106">
        <v>252</v>
      </c>
      <c r="AW96" s="106">
        <v>997</v>
      </c>
      <c r="AX96" s="107">
        <v>32518.904303887241</v>
      </c>
      <c r="AY96" s="107">
        <v>32533.780460541024</v>
      </c>
      <c r="AZ96" s="107">
        <v>34465.758352443903</v>
      </c>
      <c r="BA96" s="107">
        <v>38687.769262164984</v>
      </c>
      <c r="BB96" s="107">
        <v>38783.581408090584</v>
      </c>
      <c r="BC96" s="124" t="s">
        <v>217</v>
      </c>
      <c r="BD96" s="124" t="s">
        <v>217</v>
      </c>
      <c r="BE96" s="124" t="s">
        <v>217</v>
      </c>
      <c r="BF96" s="124" t="s">
        <v>217</v>
      </c>
      <c r="BG96" s="108" t="s">
        <v>217</v>
      </c>
      <c r="BH96" s="122">
        <v>9.7089890062513469</v>
      </c>
      <c r="BI96" s="122">
        <v>10.364329869788241</v>
      </c>
      <c r="BJ96" s="122">
        <v>9.9676142497301186</v>
      </c>
      <c r="BK96" s="122">
        <v>10.11945314983876</v>
      </c>
      <c r="BL96" s="100">
        <v>10.204547529905945</v>
      </c>
      <c r="BM96" s="122">
        <v>13.687760365006943</v>
      </c>
      <c r="BN96" s="122">
        <v>13.793781975600158</v>
      </c>
      <c r="BO96" s="122">
        <v>13.82741116751269</v>
      </c>
      <c r="BP96" s="122">
        <v>13.873798579189302</v>
      </c>
      <c r="BQ96" s="100">
        <v>14.553055942663747</v>
      </c>
      <c r="BR96" s="115">
        <v>4052</v>
      </c>
      <c r="BS96" s="115">
        <v>3907</v>
      </c>
      <c r="BT96" s="115">
        <v>3856</v>
      </c>
      <c r="BU96" s="110">
        <v>3852</v>
      </c>
      <c r="BV96" s="122">
        <v>39.017769002961501</v>
      </c>
      <c r="BW96" s="122">
        <v>38.597389301254161</v>
      </c>
      <c r="BX96" s="122">
        <v>41.519709543568467</v>
      </c>
      <c r="BY96" s="103">
        <v>42.834890965732086</v>
      </c>
      <c r="BZ96" s="122">
        <v>6.6140177690029613</v>
      </c>
      <c r="CA96" s="122">
        <v>7.0898387509598155</v>
      </c>
      <c r="CB96" s="122">
        <v>7.313278008298755</v>
      </c>
      <c r="CC96" s="103">
        <v>7.5545171339563861</v>
      </c>
      <c r="CD96" s="122">
        <v>16.041461006910168</v>
      </c>
      <c r="CE96" s="122">
        <v>16.585615561812133</v>
      </c>
      <c r="CF96" s="122">
        <v>16.986514522821576</v>
      </c>
      <c r="CG96" s="103">
        <v>17.86085150571132</v>
      </c>
      <c r="CH96" s="122">
        <v>85.154061624649856</v>
      </c>
      <c r="CI96" s="123">
        <v>83.540372670807457</v>
      </c>
      <c r="CJ96" s="122">
        <v>84.98498498498499</v>
      </c>
      <c r="CK96" s="111">
        <v>87.654320987654316</v>
      </c>
      <c r="CL96" s="112">
        <v>1326</v>
      </c>
      <c r="CM96" s="112">
        <v>1280</v>
      </c>
      <c r="CN96" s="112">
        <v>1240</v>
      </c>
      <c r="CO96" s="112">
        <v>1225</v>
      </c>
      <c r="CP96" s="112"/>
      <c r="CQ96" s="113">
        <v>10.976003443452061</v>
      </c>
      <c r="CR96" s="113">
        <v>10.820772501711881</v>
      </c>
      <c r="CS96" s="113">
        <v>10.692973681487357</v>
      </c>
      <c r="CT96" s="113">
        <v>11.04469268706103</v>
      </c>
      <c r="CU96" s="112"/>
      <c r="CV96" s="114">
        <v>3.3204633204633205</v>
      </c>
      <c r="CW96" s="114">
        <v>4.274193548387097</v>
      </c>
      <c r="CX96" s="114">
        <v>5.5463576158940393</v>
      </c>
      <c r="CY96" s="114">
        <v>5.6951423785594644</v>
      </c>
      <c r="CZ96" s="112"/>
      <c r="DA96" s="113">
        <v>7.9638752052545154</v>
      </c>
      <c r="DB96" s="113">
        <v>8.0231596360628625</v>
      </c>
      <c r="DC96" s="113">
        <v>11.033274956217163</v>
      </c>
      <c r="DD96" s="113">
        <v>9.5495495495495497</v>
      </c>
      <c r="DE96" s="112"/>
      <c r="DF96" s="113">
        <v>80.031080031080037</v>
      </c>
      <c r="DG96" s="113">
        <v>84.855769230769226</v>
      </c>
      <c r="DH96" s="113">
        <v>89.142857142857139</v>
      </c>
      <c r="DI96" s="113">
        <v>86.155129274395335</v>
      </c>
      <c r="DJ96" s="112"/>
      <c r="DK96" s="114">
        <v>12.412723041117145</v>
      </c>
      <c r="DL96" s="114">
        <v>11.462450592885375</v>
      </c>
      <c r="DM96" s="114">
        <v>12.652068126520682</v>
      </c>
      <c r="DN96" s="114">
        <v>13.551020408163266</v>
      </c>
      <c r="DO96" s="112"/>
      <c r="DP96" s="113">
        <v>22.661614965664221</v>
      </c>
      <c r="DQ96" s="113">
        <v>23.690383111806099</v>
      </c>
      <c r="DR96" s="113">
        <v>24.677419354838708</v>
      </c>
      <c r="DS96" s="113">
        <v>34.693877551020407</v>
      </c>
      <c r="DT96" s="112"/>
      <c r="DU96" s="115">
        <v>12</v>
      </c>
      <c r="DV96" s="115">
        <v>5</v>
      </c>
      <c r="DW96" s="115">
        <v>4</v>
      </c>
      <c r="DX96" s="115">
        <v>8</v>
      </c>
      <c r="DY96" s="112"/>
      <c r="DZ96" s="116">
        <v>2.2408963585434174</v>
      </c>
      <c r="EA96" s="116">
        <v>0.93167701863354035</v>
      </c>
      <c r="EB96" s="116">
        <v>3.3033033033033035</v>
      </c>
      <c r="EC96" s="116">
        <v>3.7037037037037037</v>
      </c>
      <c r="ED96" s="112"/>
      <c r="EE96" s="113">
        <v>83.966244725738392</v>
      </c>
      <c r="EF96" s="113">
        <v>1.6877637130801688</v>
      </c>
      <c r="EG96" s="113">
        <v>0.4219409282700422</v>
      </c>
      <c r="EH96" s="113">
        <v>4.2194092827004219</v>
      </c>
      <c r="EI96" s="113">
        <v>11.814345991561181</v>
      </c>
      <c r="EJ96" s="113">
        <v>27.411986025262028</v>
      </c>
      <c r="EK96" s="113"/>
      <c r="EL96" s="115">
        <v>1431</v>
      </c>
      <c r="EM96" s="115">
        <v>1462</v>
      </c>
      <c r="EN96" s="115">
        <v>1402</v>
      </c>
      <c r="EO96" s="115">
        <v>1323</v>
      </c>
      <c r="EP96" s="112"/>
      <c r="EQ96" s="114">
        <v>1184.5143987616816</v>
      </c>
      <c r="ER96" s="114">
        <v>1235.9351091799037</v>
      </c>
      <c r="ES96" s="114">
        <v>1208.9958952778447</v>
      </c>
      <c r="ET96" s="114">
        <v>1192.8268102025913</v>
      </c>
      <c r="EU96" s="112"/>
      <c r="EV96" s="123">
        <v>710.54200000000003</v>
      </c>
      <c r="EW96" s="123">
        <v>718.68299999999999</v>
      </c>
      <c r="EX96" s="123">
        <v>654.40200000000004</v>
      </c>
      <c r="EY96" s="123">
        <v>631.93900000000008</v>
      </c>
      <c r="EZ96" s="112"/>
      <c r="FA96" s="115">
        <v>499</v>
      </c>
      <c r="FB96" s="115">
        <v>458</v>
      </c>
      <c r="FC96" s="115">
        <v>393</v>
      </c>
      <c r="FD96" s="115">
        <v>370</v>
      </c>
      <c r="FE96" s="112"/>
      <c r="FF96" s="115">
        <v>310</v>
      </c>
      <c r="FG96" s="115">
        <v>313</v>
      </c>
      <c r="FH96" s="115">
        <v>301</v>
      </c>
      <c r="FI96" s="115">
        <v>284</v>
      </c>
      <c r="FJ96" s="112"/>
      <c r="FK96" s="115">
        <v>138</v>
      </c>
      <c r="FL96" s="115">
        <v>134</v>
      </c>
      <c r="FM96" s="115">
        <v>100</v>
      </c>
      <c r="FN96" s="115">
        <v>75</v>
      </c>
      <c r="FO96" s="112"/>
      <c r="FP96" s="115">
        <v>46</v>
      </c>
      <c r="FQ96" s="115">
        <v>62</v>
      </c>
      <c r="FR96" s="115">
        <v>58</v>
      </c>
      <c r="FS96" s="115">
        <v>45</v>
      </c>
      <c r="FT96" s="112"/>
      <c r="FU96" s="123">
        <v>228.26400000000001</v>
      </c>
      <c r="FV96" s="123">
        <v>207.173</v>
      </c>
      <c r="FW96" s="123">
        <v>169.27699999999999</v>
      </c>
      <c r="FX96" s="123">
        <v>156.006</v>
      </c>
      <c r="FY96" s="112"/>
      <c r="FZ96" s="123">
        <v>169.75700000000001</v>
      </c>
      <c r="GA96" s="123">
        <v>170.137</v>
      </c>
      <c r="GB96" s="123">
        <v>165.602</v>
      </c>
      <c r="GC96" s="123">
        <v>161.33799999999999</v>
      </c>
      <c r="GD96" s="112"/>
      <c r="GE96" s="123">
        <v>60.316000000000003</v>
      </c>
      <c r="GF96" s="123">
        <v>58.744</v>
      </c>
      <c r="GG96" s="123">
        <v>42.969000000000001</v>
      </c>
      <c r="GH96" s="123">
        <v>30.382999999999999</v>
      </c>
      <c r="GI96" s="112"/>
      <c r="GJ96" s="123">
        <v>35.735105245053688</v>
      </c>
      <c r="GK96" s="123">
        <v>41.619384893842103</v>
      </c>
      <c r="GL96" s="123">
        <v>37.369882077420186</v>
      </c>
      <c r="GM96" s="123">
        <v>28.682563077380937</v>
      </c>
      <c r="GN96" s="112"/>
      <c r="GO96" s="123">
        <v>908.45900000000006</v>
      </c>
      <c r="GP96" s="123">
        <v>873.54899999999998</v>
      </c>
      <c r="GQ96" s="123">
        <v>774.94200000000001</v>
      </c>
      <c r="GR96" s="123">
        <v>767.62299999999993</v>
      </c>
      <c r="GS96" s="112"/>
      <c r="GT96" s="123">
        <v>562.85199999999998</v>
      </c>
      <c r="GU96" s="123">
        <v>599.59400000000005</v>
      </c>
      <c r="GV96" s="123">
        <v>554.327</v>
      </c>
      <c r="GW96" s="123">
        <v>515.99400000000003</v>
      </c>
      <c r="GX96" s="112"/>
      <c r="GY96" s="112"/>
      <c r="GZ96" s="112"/>
      <c r="HA96" s="112"/>
      <c r="HB96" s="112"/>
      <c r="HC96" s="112"/>
      <c r="HD96" s="115">
        <v>275</v>
      </c>
      <c r="HE96" s="115">
        <v>1</v>
      </c>
      <c r="HF96" s="115">
        <v>0</v>
      </c>
      <c r="HG96" s="115">
        <v>0</v>
      </c>
      <c r="HH96" s="115">
        <v>3</v>
      </c>
      <c r="HI96" s="114">
        <v>32.107716209218019</v>
      </c>
      <c r="HJ96" s="114">
        <v>29.425612052730695</v>
      </c>
      <c r="HK96" s="113">
        <v>20.584011488750598</v>
      </c>
      <c r="HL96" s="112">
        <v>43</v>
      </c>
      <c r="HM96" s="112">
        <v>53</v>
      </c>
      <c r="HN96" s="112">
        <v>67</v>
      </c>
      <c r="HO96" s="112">
        <v>68</v>
      </c>
      <c r="HP96" s="112"/>
      <c r="HQ96" s="112">
        <v>97</v>
      </c>
      <c r="HR96" s="112">
        <v>97</v>
      </c>
      <c r="HS96" s="112">
        <v>126</v>
      </c>
      <c r="HT96" s="112">
        <v>106</v>
      </c>
      <c r="HU96" s="117"/>
    </row>
    <row r="97" spans="1:229" x14ac:dyDescent="0.2">
      <c r="A97" s="121" t="s">
        <v>206</v>
      </c>
      <c r="B97" s="121" t="s">
        <v>206</v>
      </c>
      <c r="C97" s="115">
        <v>61110</v>
      </c>
      <c r="D97" s="115">
        <v>61253</v>
      </c>
      <c r="E97" s="115">
        <v>62053</v>
      </c>
      <c r="F97" s="115">
        <v>63027</v>
      </c>
      <c r="G97" s="99">
        <v>65575</v>
      </c>
      <c r="H97" s="115">
        <v>23541</v>
      </c>
      <c r="I97" s="115">
        <v>23950</v>
      </c>
      <c r="J97" s="115">
        <v>24295</v>
      </c>
      <c r="K97" s="115">
        <v>24711</v>
      </c>
      <c r="L97" s="99">
        <v>24969</v>
      </c>
      <c r="M97" s="122">
        <v>18.478415055085346</v>
      </c>
      <c r="N97" s="122">
        <v>18.672386008152433</v>
      </c>
      <c r="O97" s="122">
        <v>18.769173126009882</v>
      </c>
      <c r="P97" s="122">
        <v>18.988402962134973</v>
      </c>
      <c r="Q97" s="102">
        <v>18.514278017241381</v>
      </c>
      <c r="R97" s="123">
        <v>25.996501016596529</v>
      </c>
      <c r="S97" s="123">
        <v>26.490662622049484</v>
      </c>
      <c r="T97" s="123">
        <v>26.543802543146853</v>
      </c>
      <c r="U97" s="123">
        <v>27.783987704345396</v>
      </c>
      <c r="V97" s="100">
        <v>28.699712643678161</v>
      </c>
      <c r="W97" s="123">
        <v>44.474916071681875</v>
      </c>
      <c r="X97" s="123">
        <v>45.163048630201914</v>
      </c>
      <c r="Y97" s="123">
        <v>45.312975669156735</v>
      </c>
      <c r="Z97" s="123">
        <v>46.772390666480369</v>
      </c>
      <c r="AA97" s="100">
        <v>47.213990660919542</v>
      </c>
      <c r="AB97" s="123">
        <v>3.2821447904498702</v>
      </c>
      <c r="AC97" s="123">
        <v>3.5076730347635454</v>
      </c>
      <c r="AD97" s="123">
        <v>3.7265176431239198</v>
      </c>
      <c r="AE97" s="123">
        <v>5.0526431536410366</v>
      </c>
      <c r="AF97" s="100">
        <v>4.5852639472908914</v>
      </c>
      <c r="AG97" s="115">
        <v>1629.25</v>
      </c>
      <c r="AH97" s="115">
        <v>1642.4166666666667</v>
      </c>
      <c r="AI97" s="115">
        <v>1758.5</v>
      </c>
      <c r="AJ97" s="115">
        <v>2207.9166666666665</v>
      </c>
      <c r="AK97" s="105">
        <v>2582.25</v>
      </c>
      <c r="AL97" s="106">
        <v>58273</v>
      </c>
      <c r="AM97" s="106">
        <v>398</v>
      </c>
      <c r="AN97" s="106">
        <v>911</v>
      </c>
      <c r="AO97" s="106">
        <v>696</v>
      </c>
      <c r="AP97" s="106">
        <v>0</v>
      </c>
      <c r="AQ97" s="106">
        <v>1907</v>
      </c>
      <c r="AR97" s="106">
        <v>61065</v>
      </c>
      <c r="AS97" s="106">
        <v>857</v>
      </c>
      <c r="AT97" s="106">
        <v>867</v>
      </c>
      <c r="AU97" s="106">
        <v>885</v>
      </c>
      <c r="AV97" s="106">
        <v>1346</v>
      </c>
      <c r="AW97" s="106">
        <v>2186</v>
      </c>
      <c r="AX97" s="107">
        <v>28769.32445734688</v>
      </c>
      <c r="AY97" s="107">
        <v>30774.603017397905</v>
      </c>
      <c r="AZ97" s="107">
        <v>32986.716181065647</v>
      </c>
      <c r="BA97" s="107">
        <v>35993.494992432294</v>
      </c>
      <c r="BB97" s="107">
        <v>34550.04997858061</v>
      </c>
      <c r="BC97" s="124" t="s">
        <v>217</v>
      </c>
      <c r="BD97" s="124" t="s">
        <v>217</v>
      </c>
      <c r="BE97" s="124" t="s">
        <v>217</v>
      </c>
      <c r="BF97" s="124" t="s">
        <v>217</v>
      </c>
      <c r="BG97" s="108" t="s">
        <v>217</v>
      </c>
      <c r="BH97" s="122">
        <v>11.703999061803682</v>
      </c>
      <c r="BI97" s="122">
        <v>10.805105547373589</v>
      </c>
      <c r="BJ97" s="122">
        <v>11.75126116271856</v>
      </c>
      <c r="BK97" s="122">
        <v>11.636826583726814</v>
      </c>
      <c r="BL97" s="100">
        <v>11.758452726609232</v>
      </c>
      <c r="BM97" s="122">
        <v>12.854456562617525</v>
      </c>
      <c r="BN97" s="122">
        <v>12.628036289142523</v>
      </c>
      <c r="BO97" s="122">
        <v>13.313458881698539</v>
      </c>
      <c r="BP97" s="122">
        <v>12.802368402050689</v>
      </c>
      <c r="BQ97" s="100">
        <v>13.788785306803952</v>
      </c>
      <c r="BR97" s="115">
        <v>9824</v>
      </c>
      <c r="BS97" s="115">
        <v>9970</v>
      </c>
      <c r="BT97" s="115">
        <v>10032</v>
      </c>
      <c r="BU97" s="110">
        <v>10061</v>
      </c>
      <c r="BV97" s="122">
        <v>28.827361563517915</v>
      </c>
      <c r="BW97" s="122">
        <v>29.207622868605817</v>
      </c>
      <c r="BX97" s="122">
        <v>30.921052631578949</v>
      </c>
      <c r="BY97" s="103">
        <v>33.157737799423515</v>
      </c>
      <c r="BZ97" s="122">
        <v>4.6620521172638441</v>
      </c>
      <c r="CA97" s="122">
        <v>4.7743229689067199</v>
      </c>
      <c r="CB97" s="122">
        <v>4.8644338118022326</v>
      </c>
      <c r="CC97" s="103">
        <v>4.7808368949408608</v>
      </c>
      <c r="CD97" s="122">
        <v>15.187296416938111</v>
      </c>
      <c r="CE97" s="122">
        <v>15.035105315947844</v>
      </c>
      <c r="CF97" s="122">
        <v>15.11164274322169</v>
      </c>
      <c r="CG97" s="103">
        <v>15.783719312195608</v>
      </c>
      <c r="CH97" s="122">
        <v>75.82184517497349</v>
      </c>
      <c r="CI97" s="123">
        <v>74.334140435835351</v>
      </c>
      <c r="CJ97" s="122">
        <v>78.051643192488257</v>
      </c>
      <c r="CK97" s="111">
        <v>76.077097505668931</v>
      </c>
      <c r="CL97" s="112">
        <v>3784</v>
      </c>
      <c r="CM97" s="112">
        <v>3534</v>
      </c>
      <c r="CN97" s="112">
        <v>3443</v>
      </c>
      <c r="CO97" s="112">
        <v>4276</v>
      </c>
      <c r="CP97" s="112"/>
      <c r="CQ97" s="113">
        <v>12.878808506003757</v>
      </c>
      <c r="CR97" s="113">
        <v>11.992100280290742</v>
      </c>
      <c r="CS97" s="113">
        <v>11.598567612271642</v>
      </c>
      <c r="CT97" s="113">
        <v>13.660556261940208</v>
      </c>
      <c r="CU97" s="112"/>
      <c r="CV97" s="114">
        <v>4.1903217085698836</v>
      </c>
      <c r="CW97" s="114">
        <v>4.3888070692194407</v>
      </c>
      <c r="CX97" s="114">
        <v>5.3834586466165417</v>
      </c>
      <c r="CY97" s="114">
        <v>5.025491624180626</v>
      </c>
      <c r="CZ97" s="112"/>
      <c r="DA97" s="113">
        <v>8.1712062256809332</v>
      </c>
      <c r="DB97" s="113">
        <v>8.6666666666666661</v>
      </c>
      <c r="DC97" s="113">
        <v>9.5779220779220786</v>
      </c>
      <c r="DD97" s="113">
        <v>8.1948746831878339</v>
      </c>
      <c r="DE97" s="112"/>
      <c r="DF97" s="113">
        <v>76.13333333333334</v>
      </c>
      <c r="DG97" s="113">
        <v>82.081911262798641</v>
      </c>
      <c r="DH97" s="113">
        <v>87.616550116550115</v>
      </c>
      <c r="DI97" s="113">
        <v>84.029613960867266</v>
      </c>
      <c r="DJ97" s="112"/>
      <c r="DK97" s="114">
        <v>19.444444444444443</v>
      </c>
      <c r="DL97" s="114">
        <v>17.186613726602381</v>
      </c>
      <c r="DM97" s="114">
        <v>14.69732246798603</v>
      </c>
      <c r="DN97" s="114">
        <v>12.143536121673003</v>
      </c>
      <c r="DO97" s="112"/>
      <c r="DP97" s="113">
        <v>26.123744050766788</v>
      </c>
      <c r="DQ97" s="113">
        <v>27.023203169213357</v>
      </c>
      <c r="DR97" s="113">
        <v>26.242371403661725</v>
      </c>
      <c r="DS97" s="113">
        <v>27.357828223730401</v>
      </c>
      <c r="DT97" s="112"/>
      <c r="DU97" s="115">
        <v>25</v>
      </c>
      <c r="DV97" s="115">
        <v>24</v>
      </c>
      <c r="DW97" s="115">
        <v>23</v>
      </c>
      <c r="DX97" s="115">
        <v>35</v>
      </c>
      <c r="DY97" s="112"/>
      <c r="DZ97" s="116">
        <v>6.5747613997879109</v>
      </c>
      <c r="EA97" s="116">
        <v>6.5375302663438255</v>
      </c>
      <c r="EB97" s="116">
        <v>4.929577464788732</v>
      </c>
      <c r="EC97" s="116">
        <v>5.7823129251700678</v>
      </c>
      <c r="ED97" s="112"/>
      <c r="EE97" s="113">
        <v>87.857961053837343</v>
      </c>
      <c r="EF97" s="113">
        <v>2.0618556701030926</v>
      </c>
      <c r="EG97" s="113">
        <v>4.6964490263459338</v>
      </c>
      <c r="EH97" s="113">
        <v>1.0309278350515463</v>
      </c>
      <c r="EI97" s="113">
        <v>5.9496567505720828</v>
      </c>
      <c r="EJ97" s="113">
        <v>15.489778000752541</v>
      </c>
      <c r="EK97" s="113"/>
      <c r="EL97" s="115">
        <v>2273</v>
      </c>
      <c r="EM97" s="115">
        <v>2271</v>
      </c>
      <c r="EN97" s="115">
        <v>2304</v>
      </c>
      <c r="EO97" s="115">
        <v>2358</v>
      </c>
      <c r="EP97" s="112"/>
      <c r="EQ97" s="114">
        <v>773.61341792142025</v>
      </c>
      <c r="ER97" s="114">
        <v>770.62987369949849</v>
      </c>
      <c r="ES97" s="114">
        <v>776.15741442561318</v>
      </c>
      <c r="ET97" s="114">
        <v>753.31131117060363</v>
      </c>
      <c r="EU97" s="112"/>
      <c r="EV97" s="123">
        <v>760.67399999999998</v>
      </c>
      <c r="EW97" s="123">
        <v>723.98299999999995</v>
      </c>
      <c r="EX97" s="123">
        <v>695.41899999999998</v>
      </c>
      <c r="EY97" s="123">
        <v>651.33299999999997</v>
      </c>
      <c r="EZ97" s="112"/>
      <c r="FA97" s="115">
        <v>724</v>
      </c>
      <c r="FB97" s="115">
        <v>630</v>
      </c>
      <c r="FC97" s="115">
        <v>600</v>
      </c>
      <c r="FD97" s="115">
        <v>570</v>
      </c>
      <c r="FE97" s="112"/>
      <c r="FF97" s="115">
        <v>485</v>
      </c>
      <c r="FG97" s="115">
        <v>542</v>
      </c>
      <c r="FH97" s="115">
        <v>542</v>
      </c>
      <c r="FI97" s="115">
        <v>495</v>
      </c>
      <c r="FJ97" s="112"/>
      <c r="FK97" s="115">
        <v>163</v>
      </c>
      <c r="FL97" s="115">
        <v>203</v>
      </c>
      <c r="FM97" s="115">
        <v>162</v>
      </c>
      <c r="FN97" s="115">
        <v>140</v>
      </c>
      <c r="FO97" s="112"/>
      <c r="FP97" s="115">
        <v>102</v>
      </c>
      <c r="FQ97" s="115">
        <v>95</v>
      </c>
      <c r="FR97" s="115">
        <v>101</v>
      </c>
      <c r="FS97" s="115">
        <v>122</v>
      </c>
      <c r="FT97" s="112"/>
      <c r="FU97" s="123">
        <v>239.80100000000002</v>
      </c>
      <c r="FV97" s="123">
        <v>196.327</v>
      </c>
      <c r="FW97" s="123">
        <v>174.32300000000001</v>
      </c>
      <c r="FX97" s="123">
        <v>149.559</v>
      </c>
      <c r="FY97" s="112"/>
      <c r="FZ97" s="123">
        <v>169.584</v>
      </c>
      <c r="GA97" s="123">
        <v>181.35399999999998</v>
      </c>
      <c r="GB97" s="123">
        <v>174.57000000000002</v>
      </c>
      <c r="GC97" s="123">
        <v>150.11799999999999</v>
      </c>
      <c r="GD97" s="112"/>
      <c r="GE97" s="123">
        <v>51.930999999999997</v>
      </c>
      <c r="GF97" s="123">
        <v>60.792000000000002</v>
      </c>
      <c r="GG97" s="123">
        <v>44.768999999999998</v>
      </c>
      <c r="GH97" s="123">
        <v>36.275999999999996</v>
      </c>
      <c r="GI97" s="112"/>
      <c r="GJ97" s="123">
        <v>33.217887380805877</v>
      </c>
      <c r="GK97" s="123">
        <v>30.616121957813789</v>
      </c>
      <c r="GL97" s="123">
        <v>32.114296441039514</v>
      </c>
      <c r="GM97" s="123">
        <v>37.484939075929397</v>
      </c>
      <c r="GN97" s="112"/>
      <c r="GO97" s="123">
        <v>963.62900000000002</v>
      </c>
      <c r="GP97" s="123">
        <v>905.178</v>
      </c>
      <c r="GQ97" s="123">
        <v>848.61699999999996</v>
      </c>
      <c r="GR97" s="123">
        <v>762.94799999999998</v>
      </c>
      <c r="GS97" s="112"/>
      <c r="GT97" s="123">
        <v>608.92900000000009</v>
      </c>
      <c r="GU97" s="123">
        <v>588.05500000000006</v>
      </c>
      <c r="GV97" s="123">
        <v>581.98</v>
      </c>
      <c r="GW97" s="123">
        <v>563.70699999999999</v>
      </c>
      <c r="GX97" s="112"/>
      <c r="GY97" s="112"/>
      <c r="GZ97" s="112"/>
      <c r="HA97" s="112"/>
      <c r="HB97" s="112"/>
      <c r="HC97" s="112"/>
      <c r="HD97" s="115">
        <v>444</v>
      </c>
      <c r="HE97" s="115">
        <v>3</v>
      </c>
      <c r="HF97" s="115">
        <v>6</v>
      </c>
      <c r="HG97" s="115">
        <v>0</v>
      </c>
      <c r="HH97" s="115">
        <v>4</v>
      </c>
      <c r="HI97" s="114">
        <v>24.134312696747113</v>
      </c>
      <c r="HJ97" s="114">
        <v>21.211189671072855</v>
      </c>
      <c r="HK97" s="113">
        <v>14.318909753187214</v>
      </c>
      <c r="HL97" s="112">
        <v>155</v>
      </c>
      <c r="HM97" s="112">
        <v>149</v>
      </c>
      <c r="HN97" s="112">
        <v>179</v>
      </c>
      <c r="HO97" s="112">
        <v>207</v>
      </c>
      <c r="HP97" s="112"/>
      <c r="HQ97" s="112">
        <v>294</v>
      </c>
      <c r="HR97" s="112">
        <v>286</v>
      </c>
      <c r="HS97" s="112">
        <v>295</v>
      </c>
      <c r="HT97" s="112">
        <v>291</v>
      </c>
      <c r="HU97" s="117"/>
    </row>
    <row r="98" spans="1:229" x14ac:dyDescent="0.2">
      <c r="A98" s="121" t="s">
        <v>267</v>
      </c>
      <c r="B98" s="121" t="s">
        <v>242</v>
      </c>
      <c r="C98" s="115">
        <v>66383</v>
      </c>
      <c r="D98" s="115">
        <v>66497</v>
      </c>
      <c r="E98" s="115">
        <v>66614</v>
      </c>
      <c r="F98" s="115">
        <v>66296</v>
      </c>
      <c r="G98" s="99">
        <v>66306</v>
      </c>
      <c r="H98" s="115">
        <v>27698</v>
      </c>
      <c r="I98" s="115">
        <v>27996</v>
      </c>
      <c r="J98" s="115">
        <v>28254</v>
      </c>
      <c r="K98" s="115">
        <v>28300</v>
      </c>
      <c r="L98" s="99">
        <v>27876</v>
      </c>
      <c r="M98" s="123">
        <v>30.340499274038688</v>
      </c>
      <c r="N98" s="123">
        <v>30.987776676577468</v>
      </c>
      <c r="O98" s="123">
        <v>31.776342254087695</v>
      </c>
      <c r="P98" s="123">
        <v>32.080876158382473</v>
      </c>
      <c r="Q98" s="102">
        <v>32.20524017467249</v>
      </c>
      <c r="R98" s="123">
        <v>25.115919629057188</v>
      </c>
      <c r="S98" s="123">
        <v>25.926188116475529</v>
      </c>
      <c r="T98" s="123">
        <v>25.848891412886587</v>
      </c>
      <c r="U98" s="123">
        <v>27.495486821518835</v>
      </c>
      <c r="V98" s="100">
        <v>28.653566229985444</v>
      </c>
      <c r="W98" s="123">
        <v>55.456418903095873</v>
      </c>
      <c r="X98" s="123">
        <v>56.913964793052997</v>
      </c>
      <c r="Y98" s="123">
        <v>57.625233666974282</v>
      </c>
      <c r="Z98" s="123">
        <v>59.576362979901312</v>
      </c>
      <c r="AA98" s="100">
        <v>60.858806404657933</v>
      </c>
      <c r="AB98" s="123">
        <v>3.9409797151488992</v>
      </c>
      <c r="AC98" s="123">
        <v>4.5432193202928639</v>
      </c>
      <c r="AD98" s="123">
        <v>5.1271666936659646</v>
      </c>
      <c r="AE98" s="123">
        <v>6.9407240419042564</v>
      </c>
      <c r="AF98" s="100">
        <v>6.4</v>
      </c>
      <c r="AG98" s="115">
        <v>1193.6666666666667</v>
      </c>
      <c r="AH98" s="115">
        <v>1241.1666666666665</v>
      </c>
      <c r="AI98" s="115">
        <v>1315</v>
      </c>
      <c r="AJ98" s="115">
        <v>1650.3333333333333</v>
      </c>
      <c r="AK98" s="105">
        <v>2083</v>
      </c>
      <c r="AL98" s="106">
        <v>64785</v>
      </c>
      <c r="AM98" s="106">
        <v>295</v>
      </c>
      <c r="AN98" s="106">
        <v>439</v>
      </c>
      <c r="AO98" s="106">
        <v>391</v>
      </c>
      <c r="AP98" s="106">
        <v>0</v>
      </c>
      <c r="AQ98" s="106">
        <v>610</v>
      </c>
      <c r="AR98" s="106">
        <v>64278</v>
      </c>
      <c r="AS98" s="106">
        <v>296</v>
      </c>
      <c r="AT98" s="106">
        <v>366</v>
      </c>
      <c r="AU98" s="106">
        <v>380</v>
      </c>
      <c r="AV98" s="106">
        <v>704</v>
      </c>
      <c r="AW98" s="106">
        <v>917</v>
      </c>
      <c r="AX98" s="107">
        <v>30668.56074993543</v>
      </c>
      <c r="AY98" s="107">
        <v>32249.920407513531</v>
      </c>
      <c r="AZ98" s="107">
        <v>34438.684520750838</v>
      </c>
      <c r="BA98" s="107">
        <v>38447.817894022766</v>
      </c>
      <c r="BB98" s="107">
        <v>36438</v>
      </c>
      <c r="BC98" s="124" t="s">
        <v>217</v>
      </c>
      <c r="BD98" s="124" t="s">
        <v>217</v>
      </c>
      <c r="BE98" s="124" t="s">
        <v>217</v>
      </c>
      <c r="BF98" s="124" t="s">
        <v>217</v>
      </c>
      <c r="BG98" s="108" t="s">
        <v>217</v>
      </c>
      <c r="BH98" s="122">
        <v>10.032077106675382</v>
      </c>
      <c r="BI98" s="122">
        <v>10.09897112212464</v>
      </c>
      <c r="BJ98" s="122">
        <v>10.564386363294584</v>
      </c>
      <c r="BK98" s="122">
        <v>9.5115140961359472</v>
      </c>
      <c r="BL98" s="100">
        <v>10.7</v>
      </c>
      <c r="BM98" s="122">
        <v>12.118947997609085</v>
      </c>
      <c r="BN98" s="122">
        <v>11.634142708178162</v>
      </c>
      <c r="BO98" s="122">
        <v>13.04958250203207</v>
      </c>
      <c r="BP98" s="122">
        <v>11.438422906828574</v>
      </c>
      <c r="BQ98" s="100">
        <v>12.756428777809882</v>
      </c>
      <c r="BR98" s="115">
        <v>9801</v>
      </c>
      <c r="BS98" s="115">
        <v>9703</v>
      </c>
      <c r="BT98" s="115">
        <v>9708</v>
      </c>
      <c r="BU98" s="110">
        <v>9576</v>
      </c>
      <c r="BV98" s="122">
        <v>30.537700234669931</v>
      </c>
      <c r="BW98" s="122">
        <v>30.980109244563536</v>
      </c>
      <c r="BX98" s="122">
        <v>34.301606922126084</v>
      </c>
      <c r="BY98" s="103">
        <v>35.662071846282373</v>
      </c>
      <c r="BZ98" s="122">
        <v>0.43873074176104482</v>
      </c>
      <c r="CA98" s="122">
        <v>0.3710192723899825</v>
      </c>
      <c r="CB98" s="122">
        <v>0.37082818294190356</v>
      </c>
      <c r="CC98" s="103">
        <v>0.45948203842940682</v>
      </c>
      <c r="CD98" s="122">
        <v>18.04917865523926</v>
      </c>
      <c r="CE98" s="122">
        <v>18.00474080181387</v>
      </c>
      <c r="CF98" s="122">
        <v>17.562834775442933</v>
      </c>
      <c r="CG98" s="103">
        <v>17.7109440267335</v>
      </c>
      <c r="CH98" s="122">
        <v>85.863874345549732</v>
      </c>
      <c r="CI98" s="125" t="s">
        <v>217</v>
      </c>
      <c r="CJ98" s="126" t="s">
        <v>217</v>
      </c>
      <c r="CK98" s="111" t="s">
        <v>217</v>
      </c>
      <c r="CL98" s="112">
        <v>3308</v>
      </c>
      <c r="CM98" s="112">
        <v>3349</v>
      </c>
      <c r="CN98" s="112">
        <v>3519</v>
      </c>
      <c r="CO98" s="112">
        <v>3837</v>
      </c>
      <c r="CP98" s="112"/>
      <c r="CQ98" s="113">
        <v>10.766441769107342</v>
      </c>
      <c r="CR98" s="113">
        <v>10.67410358565737</v>
      </c>
      <c r="CS98" s="113">
        <v>10.768943578569832</v>
      </c>
      <c r="CT98" s="113">
        <v>11.553888032376181</v>
      </c>
      <c r="CU98" s="112"/>
      <c r="CV98" s="114">
        <v>3.4761018001241464</v>
      </c>
      <c r="CW98" s="114">
        <v>3.1849103277674704</v>
      </c>
      <c r="CX98" s="114">
        <v>4.8924255820807545</v>
      </c>
      <c r="CY98" s="114">
        <v>4.0866035182679292</v>
      </c>
      <c r="CZ98" s="112"/>
      <c r="DA98" s="113">
        <v>5.970625798212005</v>
      </c>
      <c r="DB98" s="113">
        <v>6.0738885410144023</v>
      </c>
      <c r="DC98" s="113">
        <v>7.7014925373134329</v>
      </c>
      <c r="DD98" s="113">
        <v>7.9769736842105265</v>
      </c>
      <c r="DE98" s="112"/>
      <c r="DF98" s="113">
        <v>81.446153846153848</v>
      </c>
      <c r="DG98" s="113">
        <v>86.52396744045825</v>
      </c>
      <c r="DH98" s="113">
        <v>89.715099715099711</v>
      </c>
      <c r="DI98" s="113">
        <v>90.351337178814887</v>
      </c>
      <c r="DJ98" s="112"/>
      <c r="DK98" s="114">
        <v>13.631969062197873</v>
      </c>
      <c r="DL98" s="114">
        <v>16.03972314173939</v>
      </c>
      <c r="DM98" s="114">
        <v>13.671318712617488</v>
      </c>
      <c r="DN98" s="114">
        <v>12.865344467640918</v>
      </c>
      <c r="DO98" s="112"/>
      <c r="DP98" s="113">
        <v>19.245283018867923</v>
      </c>
      <c r="DQ98" s="113">
        <v>21.140638996715438</v>
      </c>
      <c r="DR98" s="113">
        <v>23.6999147485081</v>
      </c>
      <c r="DS98" s="113">
        <v>26.374771957258275</v>
      </c>
      <c r="DT98" s="112"/>
      <c r="DU98" s="115">
        <v>19</v>
      </c>
      <c r="DV98" s="115">
        <v>14</v>
      </c>
      <c r="DW98" s="115">
        <v>19</v>
      </c>
      <c r="DX98" s="115">
        <v>16</v>
      </c>
      <c r="DY98" s="112"/>
      <c r="DZ98" s="116" t="s">
        <v>217</v>
      </c>
      <c r="EA98" s="116" t="s">
        <v>217</v>
      </c>
      <c r="EB98" s="116" t="s">
        <v>217</v>
      </c>
      <c r="EC98" s="116" t="s">
        <v>217</v>
      </c>
      <c r="ED98" s="112"/>
      <c r="EE98" s="113">
        <v>95.741758241758248</v>
      </c>
      <c r="EF98" s="113">
        <v>0.82417582417582413</v>
      </c>
      <c r="EG98" s="113">
        <v>1.2362637362637363</v>
      </c>
      <c r="EH98" s="113">
        <v>0.5494505494505495</v>
      </c>
      <c r="EI98" s="113">
        <v>2.0604395604395602</v>
      </c>
      <c r="EJ98" s="113">
        <v>16.250878425860858</v>
      </c>
      <c r="EK98" s="113"/>
      <c r="EL98" s="115">
        <v>3533</v>
      </c>
      <c r="EM98" s="115">
        <v>3662</v>
      </c>
      <c r="EN98" s="115">
        <v>3454</v>
      </c>
      <c r="EO98" s="115">
        <v>3572</v>
      </c>
      <c r="EP98" s="112"/>
      <c r="EQ98" s="114">
        <v>1149.8742070815067</v>
      </c>
      <c r="ER98" s="114">
        <v>1167.1713147410358</v>
      </c>
      <c r="ES98" s="114">
        <v>1057.0028735544247</v>
      </c>
      <c r="ET98" s="114">
        <v>1075.5925997301986</v>
      </c>
      <c r="EU98" s="112"/>
      <c r="EV98" s="123">
        <v>764.76900000000001</v>
      </c>
      <c r="EW98" s="123">
        <v>746.07500000000005</v>
      </c>
      <c r="EX98" s="123">
        <v>645.73300000000006</v>
      </c>
      <c r="EY98" s="123">
        <v>616.75299999999993</v>
      </c>
      <c r="EZ98" s="112"/>
      <c r="FA98" s="115">
        <v>1238</v>
      </c>
      <c r="FB98" s="115">
        <v>1127</v>
      </c>
      <c r="FC98" s="115">
        <v>999</v>
      </c>
      <c r="FD98" s="115">
        <v>854</v>
      </c>
      <c r="FE98" s="112"/>
      <c r="FF98" s="115">
        <v>812</v>
      </c>
      <c r="FG98" s="115">
        <v>794</v>
      </c>
      <c r="FH98" s="115">
        <v>796</v>
      </c>
      <c r="FI98" s="115">
        <v>853</v>
      </c>
      <c r="FJ98" s="112"/>
      <c r="FK98" s="115">
        <v>280</v>
      </c>
      <c r="FL98" s="115">
        <v>303</v>
      </c>
      <c r="FM98" s="115">
        <v>255</v>
      </c>
      <c r="FN98" s="115">
        <v>227</v>
      </c>
      <c r="FO98" s="112"/>
      <c r="FP98" s="115">
        <v>125</v>
      </c>
      <c r="FQ98" s="115">
        <v>151</v>
      </c>
      <c r="FR98" s="115">
        <v>134</v>
      </c>
      <c r="FS98" s="115">
        <v>153</v>
      </c>
      <c r="FT98" s="112"/>
      <c r="FU98" s="123">
        <v>256.13600000000002</v>
      </c>
      <c r="FV98" s="123">
        <v>217.60999999999999</v>
      </c>
      <c r="FW98" s="123">
        <v>174.035</v>
      </c>
      <c r="FX98" s="123">
        <v>135.72</v>
      </c>
      <c r="FY98" s="112"/>
      <c r="FZ98" s="123">
        <v>189.68699999999998</v>
      </c>
      <c r="GA98" s="123">
        <v>176.02800000000002</v>
      </c>
      <c r="GB98" s="123">
        <v>164.76199999999997</v>
      </c>
      <c r="GC98" s="123">
        <v>164.744</v>
      </c>
      <c r="GD98" s="112"/>
      <c r="GE98" s="123">
        <v>54.748000000000005</v>
      </c>
      <c r="GF98" s="123">
        <v>56.11</v>
      </c>
      <c r="GG98" s="123">
        <v>43.776000000000003</v>
      </c>
      <c r="GH98" s="123">
        <v>34.361000000000004</v>
      </c>
      <c r="GI98" s="112"/>
      <c r="GJ98" s="123">
        <v>34.943191274420954</v>
      </c>
      <c r="GK98" s="123">
        <v>39.635782325268622</v>
      </c>
      <c r="GL98" s="123">
        <v>33.406214995618996</v>
      </c>
      <c r="GM98" s="123">
        <v>35.202187243189925</v>
      </c>
      <c r="GN98" s="112"/>
      <c r="GO98" s="123">
        <v>975.74</v>
      </c>
      <c r="GP98" s="123">
        <v>887.63800000000015</v>
      </c>
      <c r="GQ98" s="123">
        <v>780.04899999999998</v>
      </c>
      <c r="GR98" s="123">
        <v>731.40200000000004</v>
      </c>
      <c r="GS98" s="112"/>
      <c r="GT98" s="123">
        <v>601.96100000000001</v>
      </c>
      <c r="GU98" s="123">
        <v>626.745</v>
      </c>
      <c r="GV98" s="123">
        <v>538.60699999999997</v>
      </c>
      <c r="GW98" s="123">
        <v>522.15100000000007</v>
      </c>
      <c r="GX98" s="112"/>
      <c r="GY98" s="112"/>
      <c r="GZ98" s="112"/>
      <c r="HA98" s="112"/>
      <c r="HB98" s="112"/>
      <c r="HC98" s="112"/>
      <c r="HD98" s="115">
        <v>762</v>
      </c>
      <c r="HE98" s="115">
        <v>1</v>
      </c>
      <c r="HF98" s="115">
        <v>1</v>
      </c>
      <c r="HG98" s="115">
        <v>1</v>
      </c>
      <c r="HH98" s="115">
        <v>1</v>
      </c>
      <c r="HI98" s="114">
        <v>25.365315687896334</v>
      </c>
      <c r="HJ98" s="114">
        <v>21.14876231675078</v>
      </c>
      <c r="HK98" s="113">
        <v>17.390632246096768</v>
      </c>
      <c r="HL98" s="112">
        <v>112</v>
      </c>
      <c r="HM98" s="112">
        <v>103</v>
      </c>
      <c r="HN98" s="112">
        <v>166</v>
      </c>
      <c r="HO98" s="112">
        <v>151</v>
      </c>
      <c r="HP98" s="112"/>
      <c r="HQ98" s="112">
        <v>187</v>
      </c>
      <c r="HR98" s="112">
        <v>194</v>
      </c>
      <c r="HS98" s="112">
        <v>258</v>
      </c>
      <c r="HT98" s="112">
        <v>291</v>
      </c>
      <c r="HU98" s="117"/>
    </row>
    <row r="99" spans="1:229" x14ac:dyDescent="0.2">
      <c r="A99" s="121" t="s">
        <v>208</v>
      </c>
      <c r="B99" s="121" t="s">
        <v>208</v>
      </c>
      <c r="C99" s="115">
        <v>55991</v>
      </c>
      <c r="D99" s="115">
        <v>55930</v>
      </c>
      <c r="E99" s="115">
        <v>56297</v>
      </c>
      <c r="F99" s="115">
        <v>56547</v>
      </c>
      <c r="G99" s="99">
        <v>56663</v>
      </c>
      <c r="H99" s="115">
        <v>21516</v>
      </c>
      <c r="I99" s="115">
        <v>21752</v>
      </c>
      <c r="J99" s="115">
        <v>21789</v>
      </c>
      <c r="K99" s="115">
        <v>21822</v>
      </c>
      <c r="L99" s="99">
        <v>21790</v>
      </c>
      <c r="M99" s="122">
        <v>18.884848484848487</v>
      </c>
      <c r="N99" s="122">
        <v>19.558574780378677</v>
      </c>
      <c r="O99" s="122">
        <v>20.054252000542519</v>
      </c>
      <c r="P99" s="122">
        <v>20.235216531105738</v>
      </c>
      <c r="Q99" s="102">
        <v>21.400293458099167</v>
      </c>
      <c r="R99" s="123">
        <v>31.932659932659934</v>
      </c>
      <c r="S99" s="123">
        <v>33.030501445954059</v>
      </c>
      <c r="T99" s="123">
        <v>32.65699172656992</v>
      </c>
      <c r="U99" s="123">
        <v>35.147834688942623</v>
      </c>
      <c r="V99" s="100">
        <v>35.469671382298387</v>
      </c>
      <c r="W99" s="123">
        <v>50.817508417508421</v>
      </c>
      <c r="X99" s="123">
        <v>52.589076226332736</v>
      </c>
      <c r="Y99" s="123">
        <v>52.711243727112439</v>
      </c>
      <c r="Z99" s="123">
        <v>55.383051220048365</v>
      </c>
      <c r="AA99" s="100">
        <v>56.86996484039755</v>
      </c>
      <c r="AB99" s="123">
        <v>3.8966836734693877</v>
      </c>
      <c r="AC99" s="123">
        <v>4.3357438342754291</v>
      </c>
      <c r="AD99" s="123">
        <v>5.07148890905109</v>
      </c>
      <c r="AE99" s="123">
        <v>8.4945699662963428</v>
      </c>
      <c r="AF99" s="100">
        <v>7.3443304161682299</v>
      </c>
      <c r="AG99" s="115">
        <v>921.83333333333337</v>
      </c>
      <c r="AH99" s="115">
        <v>992.08333333333337</v>
      </c>
      <c r="AI99" s="115">
        <v>1054.6666666666667</v>
      </c>
      <c r="AJ99" s="115">
        <v>1460.5</v>
      </c>
      <c r="AK99" s="105">
        <v>1857.9166666666667</v>
      </c>
      <c r="AL99" s="106">
        <v>54002</v>
      </c>
      <c r="AM99" s="106">
        <v>1080</v>
      </c>
      <c r="AN99" s="106">
        <v>80</v>
      </c>
      <c r="AO99" s="106">
        <v>459</v>
      </c>
      <c r="AP99" s="106">
        <v>0</v>
      </c>
      <c r="AQ99" s="106">
        <v>2445</v>
      </c>
      <c r="AR99" s="106">
        <v>53332</v>
      </c>
      <c r="AS99" s="106">
        <v>1073</v>
      </c>
      <c r="AT99" s="106">
        <v>140</v>
      </c>
      <c r="AU99" s="106">
        <v>383</v>
      </c>
      <c r="AV99" s="106">
        <v>783</v>
      </c>
      <c r="AW99" s="106">
        <v>3197</v>
      </c>
      <c r="AX99" s="107">
        <v>32298.0865695055</v>
      </c>
      <c r="AY99" s="107">
        <v>33865.740240077866</v>
      </c>
      <c r="AZ99" s="107">
        <v>35314.591028077601</v>
      </c>
      <c r="BA99" s="107">
        <v>37272.423477549863</v>
      </c>
      <c r="BB99" s="107">
        <v>36601.199002599606</v>
      </c>
      <c r="BC99" s="124" t="s">
        <v>217</v>
      </c>
      <c r="BD99" s="124" t="s">
        <v>217</v>
      </c>
      <c r="BE99" s="124" t="s">
        <v>217</v>
      </c>
      <c r="BF99" s="124" t="s">
        <v>217</v>
      </c>
      <c r="BG99" s="108" t="s">
        <v>217</v>
      </c>
      <c r="BH99" s="122">
        <v>6.3461785367106254</v>
      </c>
      <c r="BI99" s="122">
        <v>6.7332249825864867</v>
      </c>
      <c r="BJ99" s="122">
        <v>6.8120865367423562</v>
      </c>
      <c r="BK99" s="122">
        <v>7.2472778300797556</v>
      </c>
      <c r="BL99" s="100">
        <v>7.4097653279572748</v>
      </c>
      <c r="BM99" s="122">
        <v>8.1307097680955724</v>
      </c>
      <c r="BN99" s="122">
        <v>8.3746898263027294</v>
      </c>
      <c r="BO99" s="122">
        <v>8.4942872687704032</v>
      </c>
      <c r="BP99" s="122">
        <v>9.0689987605013087</v>
      </c>
      <c r="BQ99" s="100">
        <v>10.055975006508723</v>
      </c>
      <c r="BR99" s="115">
        <v>10500</v>
      </c>
      <c r="BS99" s="115">
        <v>10493</v>
      </c>
      <c r="BT99" s="115">
        <v>10465</v>
      </c>
      <c r="BU99" s="110">
        <v>10575</v>
      </c>
      <c r="BV99" s="122">
        <v>25.62857142857143</v>
      </c>
      <c r="BW99" s="122">
        <v>26.97989135614219</v>
      </c>
      <c r="BX99" s="122">
        <v>30.492116579073102</v>
      </c>
      <c r="BY99" s="103">
        <v>29.900709219858157</v>
      </c>
      <c r="BZ99" s="122">
        <v>5.5428571428571427</v>
      </c>
      <c r="CA99" s="122">
        <v>5.1939388163537599</v>
      </c>
      <c r="CB99" s="122">
        <v>4.4911610129001431</v>
      </c>
      <c r="CC99" s="103">
        <v>5.7399527186761228</v>
      </c>
      <c r="CD99" s="122">
        <v>10.647619047619047</v>
      </c>
      <c r="CE99" s="122">
        <v>10.978747736586296</v>
      </c>
      <c r="CF99" s="122">
        <v>11.543239369326326</v>
      </c>
      <c r="CG99" s="103">
        <v>11.74468085106383</v>
      </c>
      <c r="CH99" s="122">
        <v>84.459459459459453</v>
      </c>
      <c r="CI99" s="123">
        <v>84.49704142011835</v>
      </c>
      <c r="CJ99" s="122">
        <v>85.269461077844312</v>
      </c>
      <c r="CK99" s="111">
        <v>87.410926365795731</v>
      </c>
      <c r="CL99" s="112">
        <v>3275</v>
      </c>
      <c r="CM99" s="112">
        <v>3337</v>
      </c>
      <c r="CN99" s="112">
        <v>3923</v>
      </c>
      <c r="CO99" s="112">
        <v>4054</v>
      </c>
      <c r="CP99" s="112"/>
      <c r="CQ99" s="113">
        <v>13.752703298549143</v>
      </c>
      <c r="CR99" s="113">
        <v>13.522823056474097</v>
      </c>
      <c r="CS99" s="113">
        <v>14.589066567497211</v>
      </c>
      <c r="CT99" s="113">
        <v>14.405105391076937</v>
      </c>
      <c r="CU99" s="112"/>
      <c r="CV99" s="114">
        <v>4.6424090338770387</v>
      </c>
      <c r="CW99" s="114">
        <v>4.4236760124610592</v>
      </c>
      <c r="CX99" s="114">
        <v>4.5827814569536427</v>
      </c>
      <c r="CY99" s="114">
        <v>4.0826741515692779</v>
      </c>
      <c r="CZ99" s="112"/>
      <c r="DA99" s="113">
        <v>7.5794621026894866</v>
      </c>
      <c r="DB99" s="113">
        <v>7.6035302104548537</v>
      </c>
      <c r="DC99" s="113">
        <v>8.0658903720533939</v>
      </c>
      <c r="DD99" s="113">
        <v>7.7376171352074969</v>
      </c>
      <c r="DE99" s="112"/>
      <c r="DF99" s="113">
        <v>86.491677336747756</v>
      </c>
      <c r="DG99" s="113">
        <v>86.855345911949684</v>
      </c>
      <c r="DH99" s="113">
        <v>86.483687208700161</v>
      </c>
      <c r="DI99" s="113">
        <v>88.532799198798202</v>
      </c>
      <c r="DJ99" s="112"/>
      <c r="DK99" s="114">
        <v>16.233766233766232</v>
      </c>
      <c r="DL99" s="114">
        <v>16.021765417170496</v>
      </c>
      <c r="DM99" s="114">
        <v>13.275243464889799</v>
      </c>
      <c r="DN99" s="114">
        <v>12.672924901185771</v>
      </c>
      <c r="DO99" s="112"/>
      <c r="DP99" s="113">
        <v>17.501527183872938</v>
      </c>
      <c r="DQ99" s="113">
        <v>22.938530734632682</v>
      </c>
      <c r="DR99" s="113">
        <v>26.102472597501912</v>
      </c>
      <c r="DS99" s="113">
        <v>33.275777010360137</v>
      </c>
      <c r="DT99" s="112"/>
      <c r="DU99" s="115">
        <v>23</v>
      </c>
      <c r="DV99" s="115">
        <v>15</v>
      </c>
      <c r="DW99" s="115">
        <v>25</v>
      </c>
      <c r="DX99" s="115">
        <v>19</v>
      </c>
      <c r="DY99" s="112"/>
      <c r="DZ99" s="116">
        <v>3.2657657657657659</v>
      </c>
      <c r="EA99" s="116">
        <v>4.1420118343195265</v>
      </c>
      <c r="EB99" s="116">
        <v>3.7125748502994012</v>
      </c>
      <c r="EC99" s="116">
        <v>2.6128266033254155</v>
      </c>
      <c r="ED99" s="112"/>
      <c r="EE99" s="113">
        <v>87.931034482758619</v>
      </c>
      <c r="EF99" s="113">
        <v>5.5702917771883289</v>
      </c>
      <c r="EG99" s="113">
        <v>0.13262599469496023</v>
      </c>
      <c r="EH99" s="113">
        <v>1.3262599469496021</v>
      </c>
      <c r="EI99" s="113">
        <v>6.8783068783068781</v>
      </c>
      <c r="EJ99" s="113">
        <v>30.115511551155116</v>
      </c>
      <c r="EK99" s="113"/>
      <c r="EL99" s="115">
        <v>1918</v>
      </c>
      <c r="EM99" s="115">
        <v>1946</v>
      </c>
      <c r="EN99" s="115">
        <v>2012</v>
      </c>
      <c r="EO99" s="115">
        <v>1993</v>
      </c>
      <c r="EP99" s="112"/>
      <c r="EQ99" s="114">
        <v>805.42549394251159</v>
      </c>
      <c r="ER99" s="114">
        <v>788.59495558581341</v>
      </c>
      <c r="ES99" s="114">
        <v>748.23354406842691</v>
      </c>
      <c r="ET99" s="114">
        <v>708.17402674929292</v>
      </c>
      <c r="EU99" s="112"/>
      <c r="EV99" s="123">
        <v>743.59500000000003</v>
      </c>
      <c r="EW99" s="123">
        <v>722.87300000000005</v>
      </c>
      <c r="EX99" s="123">
        <v>693.16399999999999</v>
      </c>
      <c r="EY99" s="123">
        <v>616.12</v>
      </c>
      <c r="EZ99" s="112"/>
      <c r="FA99" s="115">
        <v>557</v>
      </c>
      <c r="FB99" s="115">
        <v>551</v>
      </c>
      <c r="FC99" s="115">
        <v>531</v>
      </c>
      <c r="FD99" s="115">
        <v>488</v>
      </c>
      <c r="FE99" s="112"/>
      <c r="FF99" s="115">
        <v>461</v>
      </c>
      <c r="FG99" s="115">
        <v>434</v>
      </c>
      <c r="FH99" s="115">
        <v>471</v>
      </c>
      <c r="FI99" s="115">
        <v>498</v>
      </c>
      <c r="FJ99" s="112"/>
      <c r="FK99" s="115">
        <v>147</v>
      </c>
      <c r="FL99" s="115">
        <v>137</v>
      </c>
      <c r="FM99" s="115">
        <v>136</v>
      </c>
      <c r="FN99" s="115">
        <v>116</v>
      </c>
      <c r="FO99" s="112"/>
      <c r="FP99" s="115">
        <v>97</v>
      </c>
      <c r="FQ99" s="115">
        <v>111</v>
      </c>
      <c r="FR99" s="115">
        <v>122</v>
      </c>
      <c r="FS99" s="115">
        <v>100</v>
      </c>
      <c r="FT99" s="112"/>
      <c r="FU99" s="123">
        <v>214.35199999999998</v>
      </c>
      <c r="FV99" s="123">
        <v>200.93099999999998</v>
      </c>
      <c r="FW99" s="123">
        <v>179.12599999999998</v>
      </c>
      <c r="FX99" s="123">
        <v>147.17099999999999</v>
      </c>
      <c r="FY99" s="112"/>
      <c r="FZ99" s="123">
        <v>186.79999999999998</v>
      </c>
      <c r="GA99" s="123">
        <v>169.68300000000002</v>
      </c>
      <c r="GB99" s="123">
        <v>170.20099999999999</v>
      </c>
      <c r="GC99" s="123">
        <v>161.32999999999998</v>
      </c>
      <c r="GD99" s="112"/>
      <c r="GE99" s="123">
        <v>54.171000000000006</v>
      </c>
      <c r="GF99" s="123">
        <v>49.496000000000002</v>
      </c>
      <c r="GG99" s="123">
        <v>44.653000000000006</v>
      </c>
      <c r="GH99" s="123">
        <v>34.094999999999999</v>
      </c>
      <c r="GI99" s="112"/>
      <c r="GJ99" s="123">
        <v>39.997950909981533</v>
      </c>
      <c r="GK99" s="123">
        <v>43.886695053691426</v>
      </c>
      <c r="GL99" s="123">
        <v>43.356626898391397</v>
      </c>
      <c r="GM99" s="123">
        <v>33.097799856096579</v>
      </c>
      <c r="GN99" s="112"/>
      <c r="GO99" s="123">
        <v>959.36799999999994</v>
      </c>
      <c r="GP99" s="123">
        <v>874.91300000000001</v>
      </c>
      <c r="GQ99" s="123">
        <v>823.15300000000002</v>
      </c>
      <c r="GR99" s="123">
        <v>742.43599999999992</v>
      </c>
      <c r="GS99" s="112"/>
      <c r="GT99" s="123">
        <v>591.65599999999995</v>
      </c>
      <c r="GU99" s="123">
        <v>609.17200000000003</v>
      </c>
      <c r="GV99" s="123">
        <v>591.35599999999999</v>
      </c>
      <c r="GW99" s="123">
        <v>513.96299999999997</v>
      </c>
      <c r="GX99" s="112"/>
      <c r="GY99" s="112"/>
      <c r="GZ99" s="112"/>
      <c r="HA99" s="112"/>
      <c r="HB99" s="112"/>
      <c r="HC99" s="112"/>
      <c r="HD99" s="115">
        <v>394</v>
      </c>
      <c r="HE99" s="115">
        <v>3</v>
      </c>
      <c r="HF99" s="115">
        <v>1</v>
      </c>
      <c r="HG99" s="115">
        <v>1</v>
      </c>
      <c r="HH99" s="115">
        <v>6</v>
      </c>
      <c r="HI99" s="114">
        <v>30.126456731961319</v>
      </c>
      <c r="HJ99" s="114">
        <v>30.75291622481442</v>
      </c>
      <c r="HK99" s="113">
        <v>31.726133076181291</v>
      </c>
      <c r="HL99" s="112">
        <v>148</v>
      </c>
      <c r="HM99" s="112">
        <v>142</v>
      </c>
      <c r="HN99" s="112">
        <v>173</v>
      </c>
      <c r="HO99" s="112">
        <v>160</v>
      </c>
      <c r="HP99" s="112"/>
      <c r="HQ99" s="112">
        <v>217</v>
      </c>
      <c r="HR99" s="112">
        <v>224</v>
      </c>
      <c r="HS99" s="112">
        <v>284</v>
      </c>
      <c r="HT99" s="112">
        <v>289</v>
      </c>
      <c r="HU99" s="117"/>
    </row>
    <row r="100" spans="1:229" x14ac:dyDescent="0.2">
      <c r="A100" s="121" t="s">
        <v>210</v>
      </c>
      <c r="B100" s="121" t="s">
        <v>210</v>
      </c>
      <c r="C100" s="115">
        <v>40983</v>
      </c>
      <c r="D100" s="115">
        <v>40552</v>
      </c>
      <c r="E100" s="115">
        <v>40095</v>
      </c>
      <c r="F100" s="115">
        <v>40082</v>
      </c>
      <c r="G100" s="99">
        <v>39893</v>
      </c>
      <c r="H100" s="115">
        <v>16481</v>
      </c>
      <c r="I100" s="115">
        <v>16487</v>
      </c>
      <c r="J100" s="115">
        <v>16436</v>
      </c>
      <c r="K100" s="115">
        <v>16412</v>
      </c>
      <c r="L100" s="99">
        <v>16394</v>
      </c>
      <c r="M100" s="122">
        <v>26.800302571860819</v>
      </c>
      <c r="N100" s="122">
        <v>27.04691812327507</v>
      </c>
      <c r="O100" s="122">
        <v>27.412110887409014</v>
      </c>
      <c r="P100" s="122">
        <v>28.530259365994237</v>
      </c>
      <c r="Q100" s="102">
        <v>29.361890219400465</v>
      </c>
      <c r="R100" s="123">
        <v>28.203479576399396</v>
      </c>
      <c r="S100" s="123">
        <v>28.396197485433916</v>
      </c>
      <c r="T100" s="123">
        <v>27.826389964379743</v>
      </c>
      <c r="U100" s="123">
        <v>29.70273577829537</v>
      </c>
      <c r="V100" s="100">
        <v>30.941091376677651</v>
      </c>
      <c r="W100" s="123">
        <v>55.003782148260214</v>
      </c>
      <c r="X100" s="123">
        <v>55.443115608708986</v>
      </c>
      <c r="Y100" s="123">
        <v>55.238500851788757</v>
      </c>
      <c r="Z100" s="123">
        <v>58.232995144289603</v>
      </c>
      <c r="AA100" s="100">
        <v>60.302981596078119</v>
      </c>
      <c r="AB100" s="123">
        <v>4.2230476695852124</v>
      </c>
      <c r="AC100" s="123">
        <v>5.0344766619519099</v>
      </c>
      <c r="AD100" s="123">
        <v>5.8644083230888313</v>
      </c>
      <c r="AE100" s="123">
        <v>8.3411643621067704</v>
      </c>
      <c r="AF100" s="100">
        <v>7.4199438827773569</v>
      </c>
      <c r="AG100" s="115">
        <v>618.58333333333326</v>
      </c>
      <c r="AH100" s="115">
        <v>656.41666666666674</v>
      </c>
      <c r="AI100" s="115">
        <v>693.58333333333337</v>
      </c>
      <c r="AJ100" s="115">
        <v>924.66666666666674</v>
      </c>
      <c r="AK100" s="105">
        <v>1070.3333333333335</v>
      </c>
      <c r="AL100" s="106">
        <v>40376</v>
      </c>
      <c r="AM100" s="106">
        <v>165</v>
      </c>
      <c r="AN100" s="106">
        <v>66</v>
      </c>
      <c r="AO100" s="106">
        <v>163</v>
      </c>
      <c r="AP100" s="106">
        <v>0</v>
      </c>
      <c r="AQ100" s="106">
        <v>285</v>
      </c>
      <c r="AR100" s="106">
        <v>39067</v>
      </c>
      <c r="AS100" s="106">
        <v>150</v>
      </c>
      <c r="AT100" s="106">
        <v>55</v>
      </c>
      <c r="AU100" s="106">
        <v>162</v>
      </c>
      <c r="AV100" s="106">
        <v>393</v>
      </c>
      <c r="AW100" s="106">
        <v>339</v>
      </c>
      <c r="AX100" s="107">
        <v>30577.41602828521</v>
      </c>
      <c r="AY100" s="107">
        <v>32099.314730822323</v>
      </c>
      <c r="AZ100" s="107">
        <v>33808.092514054639</v>
      </c>
      <c r="BA100" s="107">
        <v>35705.112901621404</v>
      </c>
      <c r="BB100" s="107">
        <v>35407.040566837983</v>
      </c>
      <c r="BC100" s="124" t="s">
        <v>217</v>
      </c>
      <c r="BD100" s="124" t="s">
        <v>217</v>
      </c>
      <c r="BE100" s="124" t="s">
        <v>217</v>
      </c>
      <c r="BF100" s="124" t="s">
        <v>217</v>
      </c>
      <c r="BG100" s="108" t="s">
        <v>217</v>
      </c>
      <c r="BH100" s="122">
        <v>8.6821479702021307</v>
      </c>
      <c r="BI100" s="122">
        <v>8.9329722079886782</v>
      </c>
      <c r="BJ100" s="122">
        <v>9.4101400670743729</v>
      </c>
      <c r="BK100" s="122">
        <v>9.6645467015837383</v>
      </c>
      <c r="BL100" s="100">
        <v>10.498478119854299</v>
      </c>
      <c r="BM100" s="122">
        <v>11.498735244519393</v>
      </c>
      <c r="BN100" s="122">
        <v>12.174465382172349</v>
      </c>
      <c r="BO100" s="122">
        <v>12.530712530712531</v>
      </c>
      <c r="BP100" s="122">
        <v>12.29000884173298</v>
      </c>
      <c r="BQ100" s="100">
        <v>14.35902918849567</v>
      </c>
      <c r="BR100" s="115">
        <v>6606</v>
      </c>
      <c r="BS100" s="115">
        <v>6603</v>
      </c>
      <c r="BT100" s="115">
        <v>6848</v>
      </c>
      <c r="BU100" s="110">
        <v>6780</v>
      </c>
      <c r="BV100" s="122">
        <v>26.521344232515894</v>
      </c>
      <c r="BW100" s="122">
        <v>24.761472058155384</v>
      </c>
      <c r="BX100" s="122">
        <v>30.432242990654206</v>
      </c>
      <c r="BY100" s="103">
        <v>29.749262536873157</v>
      </c>
      <c r="BZ100" s="122">
        <v>1.5137753557372086E-2</v>
      </c>
      <c r="CA100" s="122">
        <v>1.5144631228229592E-2</v>
      </c>
      <c r="CB100" s="122">
        <v>1.4602803738317757E-2</v>
      </c>
      <c r="CC100" s="103">
        <v>1.4749262536873156E-2</v>
      </c>
      <c r="CD100" s="122">
        <v>11.126248864668483</v>
      </c>
      <c r="CE100" s="122">
        <v>10.904134484325306</v>
      </c>
      <c r="CF100" s="122">
        <v>10.893691588785046</v>
      </c>
      <c r="CG100" s="103">
        <v>11.976401179941004</v>
      </c>
      <c r="CH100" s="122">
        <v>85.669781931464172</v>
      </c>
      <c r="CI100" s="123">
        <v>83.193277310924373</v>
      </c>
      <c r="CJ100" s="122">
        <v>82.163742690058484</v>
      </c>
      <c r="CK100" s="111">
        <v>77.611940298507463</v>
      </c>
      <c r="CL100" s="112">
        <v>2545</v>
      </c>
      <c r="CM100" s="112">
        <v>2252</v>
      </c>
      <c r="CN100" s="112">
        <v>2397</v>
      </c>
      <c r="CO100" s="112">
        <v>2430</v>
      </c>
      <c r="CP100" s="112"/>
      <c r="CQ100" s="113">
        <v>12.850225446980827</v>
      </c>
      <c r="CR100" s="113">
        <v>11.199522578078376</v>
      </c>
      <c r="CS100" s="113">
        <v>11.620296979304527</v>
      </c>
      <c r="CT100" s="113">
        <v>12.053272488281541</v>
      </c>
      <c r="CU100" s="112"/>
      <c r="CV100" s="114">
        <v>3.4995977473853581</v>
      </c>
      <c r="CW100" s="114">
        <v>4.4803695150115477</v>
      </c>
      <c r="CX100" s="114">
        <v>4.8408198866114258</v>
      </c>
      <c r="CY100" s="114">
        <v>4.2517006802721085</v>
      </c>
      <c r="CZ100" s="112"/>
      <c r="DA100" s="113">
        <v>6.0420315236427324</v>
      </c>
      <c r="DB100" s="113">
        <v>7.6680672268907566</v>
      </c>
      <c r="DC100" s="113">
        <v>7.7909738717339669</v>
      </c>
      <c r="DD100" s="113">
        <v>7.3357335733573361</v>
      </c>
      <c r="DE100" s="112"/>
      <c r="DF100" s="113">
        <v>84.57071754458731</v>
      </c>
      <c r="DG100" s="113">
        <v>85.679374389051802</v>
      </c>
      <c r="DH100" s="113">
        <v>84.823731728288905</v>
      </c>
      <c r="DI100" s="113">
        <v>83.685545224006759</v>
      </c>
      <c r="DJ100" s="112"/>
      <c r="DK100" s="114">
        <v>13.095238095238095</v>
      </c>
      <c r="DL100" s="114">
        <v>12.696941612604263</v>
      </c>
      <c r="DM100" s="114">
        <v>10.773130544993663</v>
      </c>
      <c r="DN100" s="114">
        <v>12.728026533996683</v>
      </c>
      <c r="DO100" s="112"/>
      <c r="DP100" s="113">
        <v>21.565934065934066</v>
      </c>
      <c r="DQ100" s="113">
        <v>19.022222222222222</v>
      </c>
      <c r="DR100" s="113">
        <v>21.661101836393989</v>
      </c>
      <c r="DS100" s="113">
        <v>24.701523260601071</v>
      </c>
      <c r="DT100" s="112"/>
      <c r="DU100" s="115">
        <v>13</v>
      </c>
      <c r="DV100" s="115">
        <v>11</v>
      </c>
      <c r="DW100" s="115">
        <v>20</v>
      </c>
      <c r="DX100" s="115">
        <v>9</v>
      </c>
      <c r="DY100" s="112"/>
      <c r="DZ100" s="116">
        <v>3.5825545171339566</v>
      </c>
      <c r="EA100" s="116">
        <v>6.1624649859943981</v>
      </c>
      <c r="EB100" s="116">
        <v>5.8479532163742691</v>
      </c>
      <c r="EC100" s="116">
        <v>8.8059701492537314</v>
      </c>
      <c r="ED100" s="112"/>
      <c r="EE100" s="113">
        <v>98.232323232323239</v>
      </c>
      <c r="EF100" s="113">
        <v>0.25252525252525254</v>
      </c>
      <c r="EG100" s="113">
        <v>0.25252525252525254</v>
      </c>
      <c r="EH100" s="113">
        <v>1.0101010101010102</v>
      </c>
      <c r="EI100" s="113">
        <v>0.25510204081632654</v>
      </c>
      <c r="EJ100" s="113">
        <v>18.023092086736131</v>
      </c>
      <c r="EK100" s="113"/>
      <c r="EL100" s="115">
        <v>2281</v>
      </c>
      <c r="EM100" s="115">
        <v>2212</v>
      </c>
      <c r="EN100" s="115">
        <v>2165</v>
      </c>
      <c r="EO100" s="115">
        <v>1995</v>
      </c>
      <c r="EP100" s="112"/>
      <c r="EQ100" s="114">
        <v>1151.7235459553347</v>
      </c>
      <c r="ER100" s="114">
        <v>1100.0596777402029</v>
      </c>
      <c r="ES100" s="114">
        <v>1049.5595728074386</v>
      </c>
      <c r="ET100" s="114">
        <v>989.55879070459559</v>
      </c>
      <c r="EU100" s="112"/>
      <c r="EV100" s="123">
        <v>794.04100000000017</v>
      </c>
      <c r="EW100" s="123">
        <v>745.58199999999999</v>
      </c>
      <c r="EX100" s="123">
        <v>685.548</v>
      </c>
      <c r="EY100" s="123">
        <v>625.37599999999998</v>
      </c>
      <c r="EZ100" s="112"/>
      <c r="FA100" s="115">
        <v>708</v>
      </c>
      <c r="FB100" s="115">
        <v>594</v>
      </c>
      <c r="FC100" s="115">
        <v>509</v>
      </c>
      <c r="FD100" s="115">
        <v>440</v>
      </c>
      <c r="FE100" s="112"/>
      <c r="FF100" s="115">
        <v>497</v>
      </c>
      <c r="FG100" s="115">
        <v>483</v>
      </c>
      <c r="FH100" s="115">
        <v>442</v>
      </c>
      <c r="FI100" s="115">
        <v>466</v>
      </c>
      <c r="FJ100" s="112"/>
      <c r="FK100" s="115">
        <v>206</v>
      </c>
      <c r="FL100" s="115">
        <v>182</v>
      </c>
      <c r="FM100" s="115">
        <v>143</v>
      </c>
      <c r="FN100" s="115">
        <v>115</v>
      </c>
      <c r="FO100" s="112"/>
      <c r="FP100" s="115">
        <v>81</v>
      </c>
      <c r="FQ100" s="115">
        <v>100</v>
      </c>
      <c r="FR100" s="115">
        <v>122</v>
      </c>
      <c r="FS100" s="115">
        <v>127</v>
      </c>
      <c r="FT100" s="112"/>
      <c r="FU100" s="123">
        <v>234.83</v>
      </c>
      <c r="FV100" s="123">
        <v>190.983</v>
      </c>
      <c r="FW100" s="123">
        <v>151.303</v>
      </c>
      <c r="FX100" s="123">
        <v>128.20500000000001</v>
      </c>
      <c r="FY100" s="112"/>
      <c r="FZ100" s="123">
        <v>186.23599999999999</v>
      </c>
      <c r="GA100" s="123">
        <v>177.54599999999999</v>
      </c>
      <c r="GB100" s="123">
        <v>154.101</v>
      </c>
      <c r="GC100" s="123">
        <v>165.35500000000002</v>
      </c>
      <c r="GD100" s="112"/>
      <c r="GE100" s="123">
        <v>66.23599999999999</v>
      </c>
      <c r="GF100" s="123">
        <v>55.364000000000004</v>
      </c>
      <c r="GG100" s="123">
        <v>41.448999999999998</v>
      </c>
      <c r="GH100" s="123">
        <v>32.126999999999995</v>
      </c>
      <c r="GI100" s="112"/>
      <c r="GJ100" s="123">
        <v>36.388392785599578</v>
      </c>
      <c r="GK100" s="123">
        <v>44.711556818953696</v>
      </c>
      <c r="GL100" s="123">
        <v>46.351007980893762</v>
      </c>
      <c r="GM100" s="123">
        <v>45.821646821683402</v>
      </c>
      <c r="GN100" s="112"/>
      <c r="GO100" s="123">
        <v>981.08799999999997</v>
      </c>
      <c r="GP100" s="123">
        <v>925.78899999999999</v>
      </c>
      <c r="GQ100" s="123">
        <v>856.89099999999996</v>
      </c>
      <c r="GR100" s="123">
        <v>777.95600000000013</v>
      </c>
      <c r="GS100" s="112"/>
      <c r="GT100" s="123">
        <v>654.10400000000004</v>
      </c>
      <c r="GU100" s="123">
        <v>601.79300000000001</v>
      </c>
      <c r="GV100" s="123">
        <v>549.17200000000003</v>
      </c>
      <c r="GW100" s="123">
        <v>506.90900000000005</v>
      </c>
      <c r="GX100" s="112"/>
      <c r="GY100" s="112"/>
      <c r="GZ100" s="112"/>
      <c r="HA100" s="112"/>
      <c r="HB100" s="112"/>
      <c r="HC100" s="112"/>
      <c r="HD100" s="115">
        <v>374</v>
      </c>
      <c r="HE100" s="115">
        <v>1</v>
      </c>
      <c r="HF100" s="115">
        <v>0</v>
      </c>
      <c r="HG100" s="115">
        <v>0</v>
      </c>
      <c r="HH100" s="115">
        <v>1</v>
      </c>
      <c r="HI100" s="114">
        <v>28.571428571428573</v>
      </c>
      <c r="HJ100" s="114">
        <v>19.196732471068753</v>
      </c>
      <c r="HK100" s="113">
        <v>15.977681968044637</v>
      </c>
      <c r="HL100" s="112">
        <v>87</v>
      </c>
      <c r="HM100" s="112">
        <v>97</v>
      </c>
      <c r="HN100" s="112">
        <v>111</v>
      </c>
      <c r="HO100" s="112">
        <v>100</v>
      </c>
      <c r="HP100" s="112"/>
      <c r="HQ100" s="112">
        <v>138</v>
      </c>
      <c r="HR100" s="112">
        <v>146</v>
      </c>
      <c r="HS100" s="112">
        <v>164</v>
      </c>
      <c r="HT100" s="112">
        <v>163</v>
      </c>
      <c r="HU100" s="117"/>
    </row>
    <row r="101" spans="1:229" x14ac:dyDescent="0.2">
      <c r="A101" s="121" t="s">
        <v>209</v>
      </c>
      <c r="B101" s="121" t="s">
        <v>209</v>
      </c>
      <c r="C101" s="115">
        <v>36051</v>
      </c>
      <c r="D101" s="115">
        <v>35331</v>
      </c>
      <c r="E101" s="115">
        <v>35059</v>
      </c>
      <c r="F101" s="115">
        <v>34751</v>
      </c>
      <c r="G101" s="99">
        <v>35393</v>
      </c>
      <c r="H101" s="115">
        <v>15500</v>
      </c>
      <c r="I101" s="115">
        <v>15455</v>
      </c>
      <c r="J101" s="115">
        <v>15386</v>
      </c>
      <c r="K101" s="115">
        <v>15300</v>
      </c>
      <c r="L101" s="99">
        <v>15271</v>
      </c>
      <c r="M101" s="122">
        <v>33.796628407460545</v>
      </c>
      <c r="N101" s="122">
        <v>34.324942791762012</v>
      </c>
      <c r="O101" s="122">
        <v>34.765156408600163</v>
      </c>
      <c r="P101" s="122">
        <v>35.440330782757471</v>
      </c>
      <c r="Q101" s="102">
        <v>34.739086106219297</v>
      </c>
      <c r="R101" s="123">
        <v>27.838055954088954</v>
      </c>
      <c r="S101" s="123">
        <v>27.372997711670479</v>
      </c>
      <c r="T101" s="123">
        <v>26.990864630432778</v>
      </c>
      <c r="U101" s="123">
        <v>29.718169288531914</v>
      </c>
      <c r="V101" s="100">
        <v>29.284456390768376</v>
      </c>
      <c r="W101" s="123">
        <v>61.634684361549496</v>
      </c>
      <c r="X101" s="123">
        <v>61.697940503432491</v>
      </c>
      <c r="Y101" s="123">
        <v>61.756021039032944</v>
      </c>
      <c r="Z101" s="123">
        <v>65.158500071289382</v>
      </c>
      <c r="AA101" s="100">
        <v>64.023542496987673</v>
      </c>
      <c r="AB101" s="123">
        <v>4.3521317627436673</v>
      </c>
      <c r="AC101" s="123">
        <v>4.846603167920855</v>
      </c>
      <c r="AD101" s="123">
        <v>5.3838587772428435</v>
      </c>
      <c r="AE101" s="123">
        <v>8.4724862559728713</v>
      </c>
      <c r="AF101" s="100">
        <v>7.4954974043860583</v>
      </c>
      <c r="AG101" s="115">
        <v>846.33333333333337</v>
      </c>
      <c r="AH101" s="115">
        <v>837.33333333333326</v>
      </c>
      <c r="AI101" s="115">
        <v>839.5</v>
      </c>
      <c r="AJ101" s="115">
        <v>1073.5</v>
      </c>
      <c r="AK101" s="105">
        <v>1324.1666666666667</v>
      </c>
      <c r="AL101" s="106">
        <v>35442</v>
      </c>
      <c r="AM101" s="106">
        <v>128</v>
      </c>
      <c r="AN101" s="106">
        <v>78</v>
      </c>
      <c r="AO101" s="106">
        <v>185</v>
      </c>
      <c r="AP101" s="106">
        <v>0</v>
      </c>
      <c r="AQ101" s="106">
        <v>1222</v>
      </c>
      <c r="AR101" s="106">
        <v>34184</v>
      </c>
      <c r="AS101" s="106">
        <v>111</v>
      </c>
      <c r="AT101" s="106">
        <v>121</v>
      </c>
      <c r="AU101" s="106">
        <v>153</v>
      </c>
      <c r="AV101" s="106">
        <v>322</v>
      </c>
      <c r="AW101" s="106">
        <v>1561</v>
      </c>
      <c r="AX101" s="107">
        <v>35277.594957889451</v>
      </c>
      <c r="AY101" s="107">
        <v>36045.307352237207</v>
      </c>
      <c r="AZ101" s="107">
        <v>38286.897569001223</v>
      </c>
      <c r="BA101" s="107">
        <v>43772.697434141053</v>
      </c>
      <c r="BB101" s="107">
        <v>42297.660498978446</v>
      </c>
      <c r="BC101" s="124" t="s">
        <v>217</v>
      </c>
      <c r="BD101" s="124" t="s">
        <v>217</v>
      </c>
      <c r="BE101" s="124" t="s">
        <v>217</v>
      </c>
      <c r="BF101" s="124" t="s">
        <v>217</v>
      </c>
      <c r="BG101" s="108" t="s">
        <v>217</v>
      </c>
      <c r="BH101" s="122">
        <v>10.486289047593088</v>
      </c>
      <c r="BI101" s="122">
        <v>10.368644420404427</v>
      </c>
      <c r="BJ101" s="122">
        <v>10.339362033341825</v>
      </c>
      <c r="BK101" s="122">
        <v>10.767563250520551</v>
      </c>
      <c r="BL101" s="100">
        <v>11.732036488158615</v>
      </c>
      <c r="BM101" s="122">
        <v>15.027357170123425</v>
      </c>
      <c r="BN101" s="122">
        <v>14.916422100293479</v>
      </c>
      <c r="BO101" s="122">
        <v>14.388489208633093</v>
      </c>
      <c r="BP101" s="122">
        <v>14.436476796103369</v>
      </c>
      <c r="BQ101" s="100">
        <v>16.717909300538047</v>
      </c>
      <c r="BR101" s="115">
        <v>5393</v>
      </c>
      <c r="BS101" s="115">
        <v>5242</v>
      </c>
      <c r="BT101" s="115">
        <v>5086</v>
      </c>
      <c r="BU101" s="110">
        <v>4996</v>
      </c>
      <c r="BV101" s="122">
        <v>39.829408492490266</v>
      </c>
      <c r="BW101" s="122">
        <v>39.259824494467757</v>
      </c>
      <c r="BX101" s="122">
        <v>42.292567833267796</v>
      </c>
      <c r="BY101" s="103">
        <v>42.874299439551642</v>
      </c>
      <c r="BZ101" s="122">
        <v>2.6145002781383275</v>
      </c>
      <c r="CA101" s="122">
        <v>2.880579931323922</v>
      </c>
      <c r="CB101" s="122">
        <v>3.1065670467951239</v>
      </c>
      <c r="CC101" s="103">
        <v>2.7021617293835067</v>
      </c>
      <c r="CD101" s="122">
        <v>17.096235861301686</v>
      </c>
      <c r="CE101" s="122">
        <v>16.825639069057612</v>
      </c>
      <c r="CF101" s="122">
        <v>16.397955171057806</v>
      </c>
      <c r="CG101" s="103">
        <v>16.012810248198559</v>
      </c>
      <c r="CH101" s="122">
        <v>76.660682226211847</v>
      </c>
      <c r="CI101" s="123">
        <v>78.207739307535647</v>
      </c>
      <c r="CJ101" s="122">
        <v>80.638722554890222</v>
      </c>
      <c r="CK101" s="111">
        <v>82.574257425742573</v>
      </c>
      <c r="CL101" s="112">
        <v>2184</v>
      </c>
      <c r="CM101" s="112">
        <v>1922</v>
      </c>
      <c r="CN101" s="112">
        <v>1973</v>
      </c>
      <c r="CO101" s="112">
        <v>1968</v>
      </c>
      <c r="CP101" s="112"/>
      <c r="CQ101" s="113">
        <v>11.121182185740038</v>
      </c>
      <c r="CR101" s="113">
        <v>10.021273045799616</v>
      </c>
      <c r="CS101" s="113">
        <v>10.680915104860276</v>
      </c>
      <c r="CT101" s="113">
        <v>11.144774471217827</v>
      </c>
      <c r="CU101" s="112"/>
      <c r="CV101" s="114">
        <v>4.7463936714751043</v>
      </c>
      <c r="CW101" s="114">
        <v>4.1980624327233587</v>
      </c>
      <c r="CX101" s="114">
        <v>5.0053248136315229</v>
      </c>
      <c r="CY101" s="114">
        <v>4.7769028871391077</v>
      </c>
      <c r="CZ101" s="112"/>
      <c r="DA101" s="113">
        <v>7.4785245073269326</v>
      </c>
      <c r="DB101" s="113">
        <v>8.4611016467915956</v>
      </c>
      <c r="DC101" s="113">
        <v>8.6526576019777508</v>
      </c>
      <c r="DD101" s="113">
        <v>8.5247883917775091</v>
      </c>
      <c r="DE101" s="112"/>
      <c r="DF101" s="113">
        <v>84.430856067732833</v>
      </c>
      <c r="DG101" s="113">
        <v>83.708467309753487</v>
      </c>
      <c r="DH101" s="113">
        <v>89.495155532891388</v>
      </c>
      <c r="DI101" s="113">
        <v>89.122626988199073</v>
      </c>
      <c r="DJ101" s="112"/>
      <c r="DK101" s="114">
        <v>14.620431115276476</v>
      </c>
      <c r="DL101" s="114">
        <v>16.125654450261781</v>
      </c>
      <c r="DM101" s="114">
        <v>18.21882951653944</v>
      </c>
      <c r="DN101" s="114">
        <v>16.505348955680081</v>
      </c>
      <c r="DO101" s="112"/>
      <c r="DP101" s="113">
        <v>16.588050314465409</v>
      </c>
      <c r="DQ101" s="113">
        <v>25.715773034877667</v>
      </c>
      <c r="DR101" s="113">
        <v>34.482758620689658</v>
      </c>
      <c r="DS101" s="113">
        <v>40.590030518819937</v>
      </c>
      <c r="DT101" s="112"/>
      <c r="DU101" s="115">
        <v>12</v>
      </c>
      <c r="DV101" s="115">
        <v>14</v>
      </c>
      <c r="DW101" s="115">
        <v>4</v>
      </c>
      <c r="DX101" s="115">
        <v>8</v>
      </c>
      <c r="DY101" s="112"/>
      <c r="DZ101" s="116">
        <v>5.7450628366247756</v>
      </c>
      <c r="EA101" s="116">
        <v>4.6843177189409371</v>
      </c>
      <c r="EB101" s="116">
        <v>5.5888223552894214</v>
      </c>
      <c r="EC101" s="116">
        <v>2.9702970297029703</v>
      </c>
      <c r="ED101" s="112"/>
      <c r="EE101" s="113">
        <v>89.65517241379311</v>
      </c>
      <c r="EF101" s="113">
        <v>0.5305039787798409</v>
      </c>
      <c r="EG101" s="113">
        <v>0.79575596816976124</v>
      </c>
      <c r="EH101" s="113">
        <v>0.79575596816976124</v>
      </c>
      <c r="EI101" s="113">
        <v>9.5490716180371358</v>
      </c>
      <c r="EJ101" s="113">
        <v>34.811286185415902</v>
      </c>
      <c r="EK101" s="113"/>
      <c r="EL101" s="115">
        <v>2344</v>
      </c>
      <c r="EM101" s="115">
        <v>2336</v>
      </c>
      <c r="EN101" s="115">
        <v>2276</v>
      </c>
      <c r="EO101" s="115">
        <v>2128</v>
      </c>
      <c r="EP101" s="112"/>
      <c r="EQ101" s="114">
        <v>1193.5920807405973</v>
      </c>
      <c r="ER101" s="114">
        <v>1217.986151664303</v>
      </c>
      <c r="ES101" s="114">
        <v>1232.1217830036487</v>
      </c>
      <c r="ET101" s="114">
        <v>1205.0853696520089</v>
      </c>
      <c r="EU101" s="112"/>
      <c r="EV101" s="123">
        <v>755.97</v>
      </c>
      <c r="EW101" s="123">
        <v>732.11099999999999</v>
      </c>
      <c r="EX101" s="123">
        <v>690.60199999999998</v>
      </c>
      <c r="EY101" s="123">
        <v>640.471</v>
      </c>
      <c r="EZ101" s="112"/>
      <c r="FA101" s="115">
        <v>796</v>
      </c>
      <c r="FB101" s="115">
        <v>716</v>
      </c>
      <c r="FC101" s="115">
        <v>707</v>
      </c>
      <c r="FD101" s="115">
        <v>592</v>
      </c>
      <c r="FE101" s="112"/>
      <c r="FF101" s="115">
        <v>507</v>
      </c>
      <c r="FG101" s="115">
        <v>546</v>
      </c>
      <c r="FH101" s="115">
        <v>516</v>
      </c>
      <c r="FI101" s="115">
        <v>488</v>
      </c>
      <c r="FJ101" s="112"/>
      <c r="FK101" s="115">
        <v>166</v>
      </c>
      <c r="FL101" s="115">
        <v>169</v>
      </c>
      <c r="FM101" s="115">
        <v>135</v>
      </c>
      <c r="FN101" s="115">
        <v>119</v>
      </c>
      <c r="FO101" s="112"/>
      <c r="FP101" s="115">
        <v>77</v>
      </c>
      <c r="FQ101" s="115">
        <v>86</v>
      </c>
      <c r="FR101" s="115">
        <v>88</v>
      </c>
      <c r="FS101" s="115">
        <v>86</v>
      </c>
      <c r="FT101" s="112"/>
      <c r="FU101" s="123">
        <v>243.91</v>
      </c>
      <c r="FV101" s="123">
        <v>214.99100000000001</v>
      </c>
      <c r="FW101" s="123">
        <v>200.47399999999999</v>
      </c>
      <c r="FX101" s="123">
        <v>158.84799999999998</v>
      </c>
      <c r="FY101" s="112"/>
      <c r="FZ101" s="123">
        <v>173.78100000000001</v>
      </c>
      <c r="GA101" s="123">
        <v>182.85300000000001</v>
      </c>
      <c r="GB101" s="123">
        <v>172.489</v>
      </c>
      <c r="GC101" s="123">
        <v>161.13800000000001</v>
      </c>
      <c r="GD101" s="112"/>
      <c r="GE101" s="123">
        <v>48.930999999999997</v>
      </c>
      <c r="GF101" s="123">
        <v>47.968999999999994</v>
      </c>
      <c r="GG101" s="123">
        <v>35.566000000000003</v>
      </c>
      <c r="GH101" s="123">
        <v>30.329000000000001</v>
      </c>
      <c r="GI101" s="112"/>
      <c r="GJ101" s="123">
        <v>33.607400656887094</v>
      </c>
      <c r="GK101" s="123">
        <v>36.968131051596608</v>
      </c>
      <c r="GL101" s="123">
        <v>34.750631543018386</v>
      </c>
      <c r="GM101" s="123">
        <v>35.792563491548904</v>
      </c>
      <c r="GN101" s="112"/>
      <c r="GO101" s="123">
        <v>991.88199999999983</v>
      </c>
      <c r="GP101" s="123">
        <v>922.88700000000006</v>
      </c>
      <c r="GQ101" s="123">
        <v>842.36299999999994</v>
      </c>
      <c r="GR101" s="123">
        <v>835.90699999999993</v>
      </c>
      <c r="GS101" s="112"/>
      <c r="GT101" s="123">
        <v>590.37299999999993</v>
      </c>
      <c r="GU101" s="123">
        <v>599.64200000000005</v>
      </c>
      <c r="GV101" s="123">
        <v>578.47699999999998</v>
      </c>
      <c r="GW101" s="123">
        <v>481.99599999999998</v>
      </c>
      <c r="GX101" s="112"/>
      <c r="GY101" s="112"/>
      <c r="GZ101" s="112"/>
      <c r="HA101" s="112"/>
      <c r="HB101" s="112"/>
      <c r="HC101" s="112"/>
      <c r="HD101" s="115">
        <v>430</v>
      </c>
      <c r="HE101" s="115">
        <v>0</v>
      </c>
      <c r="HF101" s="115">
        <v>0</v>
      </c>
      <c r="HG101" s="115">
        <v>1</v>
      </c>
      <c r="HH101" s="115">
        <v>4</v>
      </c>
      <c r="HI101" s="114">
        <v>38.21545910427114</v>
      </c>
      <c r="HJ101" s="114">
        <v>31.866936110679308</v>
      </c>
      <c r="HK101" s="113">
        <v>31.419939577039276</v>
      </c>
      <c r="HL101" s="112">
        <v>102</v>
      </c>
      <c r="HM101" s="112">
        <v>78</v>
      </c>
      <c r="HN101" s="112">
        <v>94</v>
      </c>
      <c r="HO101" s="112">
        <v>91</v>
      </c>
      <c r="HP101" s="112"/>
      <c r="HQ101" s="112">
        <v>148</v>
      </c>
      <c r="HR101" s="112">
        <v>149</v>
      </c>
      <c r="HS101" s="112">
        <v>140</v>
      </c>
      <c r="HT101" s="112">
        <v>141</v>
      </c>
      <c r="HU101" s="117"/>
    </row>
    <row r="102" spans="1:229" x14ac:dyDescent="0.2">
      <c r="A102" s="121" t="s">
        <v>211</v>
      </c>
      <c r="B102" s="121" t="s">
        <v>211</v>
      </c>
      <c r="C102" s="115">
        <v>64745</v>
      </c>
      <c r="D102" s="115">
        <v>65275</v>
      </c>
      <c r="E102" s="115">
        <v>65482</v>
      </c>
      <c r="F102" s="115">
        <v>65825</v>
      </c>
      <c r="G102" s="99">
        <v>63913</v>
      </c>
      <c r="H102" s="115">
        <v>24466</v>
      </c>
      <c r="I102" s="115">
        <v>24821</v>
      </c>
      <c r="J102" s="115">
        <v>25163</v>
      </c>
      <c r="K102" s="115">
        <v>25246</v>
      </c>
      <c r="L102" s="99">
        <v>24138</v>
      </c>
      <c r="M102" s="122">
        <v>17.774501920843385</v>
      </c>
      <c r="N102" s="122">
        <v>18.44325153374233</v>
      </c>
      <c r="O102" s="122">
        <v>19.152542372881356</v>
      </c>
      <c r="P102" s="122">
        <v>20.183402109124255</v>
      </c>
      <c r="Q102" s="102">
        <v>21.448225923244028</v>
      </c>
      <c r="R102" s="123">
        <v>26.835968909139641</v>
      </c>
      <c r="S102" s="123">
        <v>28.784734752796822</v>
      </c>
      <c r="T102" s="123">
        <v>28.829378531073445</v>
      </c>
      <c r="U102" s="123">
        <v>30.722145804676753</v>
      </c>
      <c r="V102" s="100">
        <v>32.819213130581701</v>
      </c>
      <c r="W102" s="123">
        <v>44.610470829983022</v>
      </c>
      <c r="X102" s="123">
        <v>47.227986286539156</v>
      </c>
      <c r="Y102" s="123">
        <v>47.981920903954801</v>
      </c>
      <c r="Z102" s="123">
        <v>50.905547913801009</v>
      </c>
      <c r="AA102" s="100">
        <v>54.267439053825733</v>
      </c>
      <c r="AB102" s="123">
        <v>5.5895661431993613</v>
      </c>
      <c r="AC102" s="123">
        <v>6.5877343909480626</v>
      </c>
      <c r="AD102" s="123">
        <v>7.6125073056691992</v>
      </c>
      <c r="AE102" s="123">
        <v>11.374793040346241</v>
      </c>
      <c r="AF102" s="100">
        <v>9.8381650948888115</v>
      </c>
      <c r="AG102" s="115">
        <v>1079.1666666666667</v>
      </c>
      <c r="AH102" s="115">
        <v>1181.3333333333335</v>
      </c>
      <c r="AI102" s="115">
        <v>1338.5</v>
      </c>
      <c r="AJ102" s="115">
        <v>1739.5</v>
      </c>
      <c r="AK102" s="105">
        <v>2146</v>
      </c>
      <c r="AL102" s="106">
        <v>62031</v>
      </c>
      <c r="AM102" s="106">
        <v>231</v>
      </c>
      <c r="AN102" s="106">
        <v>1439</v>
      </c>
      <c r="AO102" s="106">
        <v>375</v>
      </c>
      <c r="AP102" s="106">
        <v>0</v>
      </c>
      <c r="AQ102" s="106">
        <v>884</v>
      </c>
      <c r="AR102" s="106">
        <v>60097</v>
      </c>
      <c r="AS102" s="106">
        <v>342</v>
      </c>
      <c r="AT102" s="106">
        <v>1745</v>
      </c>
      <c r="AU102" s="106">
        <v>418</v>
      </c>
      <c r="AV102" s="106">
        <v>1099</v>
      </c>
      <c r="AW102" s="106">
        <v>959</v>
      </c>
      <c r="AX102" s="107">
        <v>27888.192417500039</v>
      </c>
      <c r="AY102" s="107">
        <v>29003.601609030527</v>
      </c>
      <c r="AZ102" s="107">
        <v>30257.408260402273</v>
      </c>
      <c r="BA102" s="107">
        <v>30969.394920014653</v>
      </c>
      <c r="BB102" s="107">
        <v>30654.994303076339</v>
      </c>
      <c r="BC102" s="124" t="s">
        <v>217</v>
      </c>
      <c r="BD102" s="124" t="s">
        <v>217</v>
      </c>
      <c r="BE102" s="124" t="s">
        <v>217</v>
      </c>
      <c r="BF102" s="124" t="s">
        <v>217</v>
      </c>
      <c r="BG102" s="108" t="s">
        <v>217</v>
      </c>
      <c r="BH102" s="122">
        <v>8.0665314401622723</v>
      </c>
      <c r="BI102" s="122">
        <v>8.1936829098772108</v>
      </c>
      <c r="BJ102" s="122">
        <v>8.248180773649942</v>
      </c>
      <c r="BK102" s="122">
        <v>9.2223817232216483</v>
      </c>
      <c r="BL102" s="100">
        <v>10.57045195594379</v>
      </c>
      <c r="BM102" s="122">
        <v>10.263730288200108</v>
      </c>
      <c r="BN102" s="122">
        <v>10.993096123207648</v>
      </c>
      <c r="BO102" s="122">
        <v>11.24196320580559</v>
      </c>
      <c r="BP102" s="122">
        <v>11.239860950173812</v>
      </c>
      <c r="BQ102" s="100">
        <v>14.182706996639169</v>
      </c>
      <c r="BR102" s="115">
        <v>13199</v>
      </c>
      <c r="BS102" s="115">
        <v>13008</v>
      </c>
      <c r="BT102" s="115">
        <v>12803</v>
      </c>
      <c r="BU102" s="110">
        <v>12828</v>
      </c>
      <c r="BV102" s="122">
        <v>29.881051594817791</v>
      </c>
      <c r="BW102" s="122">
        <v>33.556273062730625</v>
      </c>
      <c r="BX102" s="122">
        <v>37.647426384441147</v>
      </c>
      <c r="BY102" s="103">
        <v>38.790146554412225</v>
      </c>
      <c r="BZ102" s="122">
        <v>0.83339646942950218</v>
      </c>
      <c r="CA102" s="122">
        <v>0.82257072570725709</v>
      </c>
      <c r="CB102" s="122">
        <v>0.84355229243146135</v>
      </c>
      <c r="CC102" s="103">
        <v>0.60804490177736203</v>
      </c>
      <c r="CD102" s="122">
        <v>12.925221607697553</v>
      </c>
      <c r="CE102" s="122">
        <v>13.284132841328413</v>
      </c>
      <c r="CF102" s="122">
        <v>13.574943372647036</v>
      </c>
      <c r="CG102" s="103">
        <v>13.813532896788276</v>
      </c>
      <c r="CH102" s="122">
        <v>72.290138549307258</v>
      </c>
      <c r="CI102" s="123">
        <v>73.305084745762713</v>
      </c>
      <c r="CJ102" s="122">
        <v>75.197195442594222</v>
      </c>
      <c r="CK102" s="111">
        <v>77.884615384615387</v>
      </c>
      <c r="CL102" s="112">
        <v>2956</v>
      </c>
      <c r="CM102" s="112">
        <v>3241</v>
      </c>
      <c r="CN102" s="112">
        <v>3869</v>
      </c>
      <c r="CO102" s="112">
        <v>4341</v>
      </c>
      <c r="CP102" s="112"/>
      <c r="CQ102" s="113">
        <v>12.628053417178595</v>
      </c>
      <c r="CR102" s="113">
        <v>12.631784078729416</v>
      </c>
      <c r="CS102" s="113">
        <v>13.000147843500933</v>
      </c>
      <c r="CT102" s="113">
        <v>13.347066781453696</v>
      </c>
      <c r="CU102" s="112"/>
      <c r="CV102" s="114">
        <v>4.1276448144294138</v>
      </c>
      <c r="CW102" s="114">
        <v>4.2351453855878631</v>
      </c>
      <c r="CX102" s="114">
        <v>4.6800634584875729</v>
      </c>
      <c r="CY102" s="114">
        <v>4.6494992846924177</v>
      </c>
      <c r="CZ102" s="112"/>
      <c r="DA102" s="113">
        <v>7.6216009191880509</v>
      </c>
      <c r="DB102" s="113">
        <v>8.1873315363881396</v>
      </c>
      <c r="DC102" s="113">
        <v>8.9530892448512578</v>
      </c>
      <c r="DD102" s="113">
        <v>8.9360587002096441</v>
      </c>
      <c r="DE102" s="112"/>
      <c r="DF102" s="113">
        <v>79.175329175329182</v>
      </c>
      <c r="DG102" s="113">
        <v>80.859128237523691</v>
      </c>
      <c r="DH102" s="113">
        <v>85.308804204993436</v>
      </c>
      <c r="DI102" s="113">
        <v>85.966953688619967</v>
      </c>
      <c r="DJ102" s="112"/>
      <c r="DK102" s="114">
        <v>23.360224482637673</v>
      </c>
      <c r="DL102" s="114">
        <v>22.076297686053785</v>
      </c>
      <c r="DM102" s="114">
        <v>19.114902692615303</v>
      </c>
      <c r="DN102" s="114">
        <v>18.059736050011576</v>
      </c>
      <c r="DO102" s="112"/>
      <c r="DP102" s="113">
        <v>17.901421227698819</v>
      </c>
      <c r="DQ102" s="113">
        <v>31.78031471767973</v>
      </c>
      <c r="DR102" s="113">
        <v>30.136986301369863</v>
      </c>
      <c r="DS102" s="113">
        <v>36.397143515319051</v>
      </c>
      <c r="DT102" s="112"/>
      <c r="DU102" s="115">
        <v>15</v>
      </c>
      <c r="DV102" s="115">
        <v>18</v>
      </c>
      <c r="DW102" s="115">
        <v>19</v>
      </c>
      <c r="DX102" s="115">
        <v>25</v>
      </c>
      <c r="DY102" s="112"/>
      <c r="DZ102" s="116">
        <v>4.0749796251018742</v>
      </c>
      <c r="EA102" s="116">
        <v>5.2542372881355934</v>
      </c>
      <c r="EB102" s="116">
        <v>4.4697633654688866</v>
      </c>
      <c r="EC102" s="116">
        <v>5.0961538461538458</v>
      </c>
      <c r="ED102" s="112"/>
      <c r="EE102" s="113">
        <v>92.892156862745097</v>
      </c>
      <c r="EF102" s="113">
        <v>0.85784313725490191</v>
      </c>
      <c r="EG102" s="113">
        <v>5.0245098039215685</v>
      </c>
      <c r="EH102" s="113">
        <v>0.98039215686274506</v>
      </c>
      <c r="EI102" s="113">
        <v>0.49566294919454773</v>
      </c>
      <c r="EJ102" s="113">
        <v>32.088077538345722</v>
      </c>
      <c r="EK102" s="113"/>
      <c r="EL102" s="115">
        <v>2064</v>
      </c>
      <c r="EM102" s="115">
        <v>2326</v>
      </c>
      <c r="EN102" s="115">
        <v>2470</v>
      </c>
      <c r="EO102" s="115">
        <v>2601</v>
      </c>
      <c r="EP102" s="112"/>
      <c r="EQ102" s="114">
        <v>881.74229543493311</v>
      </c>
      <c r="ER102" s="114">
        <v>906.55753678261715</v>
      </c>
      <c r="ES102" s="114">
        <v>829.93965297098237</v>
      </c>
      <c r="ET102" s="114">
        <v>799.71713196408803</v>
      </c>
      <c r="EU102" s="112"/>
      <c r="EV102" s="123">
        <v>811.36200000000008</v>
      </c>
      <c r="EW102" s="123">
        <v>828.71600000000001</v>
      </c>
      <c r="EX102" s="123">
        <v>768.00799999999992</v>
      </c>
      <c r="EY102" s="123">
        <v>728.43600000000004</v>
      </c>
      <c r="EZ102" s="112"/>
      <c r="FA102" s="115">
        <v>629</v>
      </c>
      <c r="FB102" s="115">
        <v>592</v>
      </c>
      <c r="FC102" s="115">
        <v>563</v>
      </c>
      <c r="FD102" s="115">
        <v>494</v>
      </c>
      <c r="FE102" s="112"/>
      <c r="FF102" s="115">
        <v>442</v>
      </c>
      <c r="FG102" s="115">
        <v>539</v>
      </c>
      <c r="FH102" s="115">
        <v>547</v>
      </c>
      <c r="FI102" s="115">
        <v>591</v>
      </c>
      <c r="FJ102" s="112"/>
      <c r="FK102" s="115">
        <v>232</v>
      </c>
      <c r="FL102" s="115">
        <v>199</v>
      </c>
      <c r="FM102" s="115">
        <v>181</v>
      </c>
      <c r="FN102" s="115">
        <v>146</v>
      </c>
      <c r="FO102" s="112"/>
      <c r="FP102" s="115">
        <v>105</v>
      </c>
      <c r="FQ102" s="115">
        <v>133</v>
      </c>
      <c r="FR102" s="115">
        <v>134</v>
      </c>
      <c r="FS102" s="115">
        <v>165</v>
      </c>
      <c r="FT102" s="112"/>
      <c r="FU102" s="123">
        <v>244.71699999999998</v>
      </c>
      <c r="FV102" s="123">
        <v>207.64999999999998</v>
      </c>
      <c r="FW102" s="123">
        <v>170.61200000000002</v>
      </c>
      <c r="FX102" s="123">
        <v>133.476</v>
      </c>
      <c r="FY102" s="112"/>
      <c r="FZ102" s="123">
        <v>180.422</v>
      </c>
      <c r="GA102" s="123">
        <v>203.17499999999998</v>
      </c>
      <c r="GB102" s="123">
        <v>179.55099999999999</v>
      </c>
      <c r="GC102" s="123">
        <v>172.44300000000001</v>
      </c>
      <c r="GD102" s="112"/>
      <c r="GE102" s="123">
        <v>86.938000000000002</v>
      </c>
      <c r="GF102" s="123">
        <v>67.477000000000004</v>
      </c>
      <c r="GG102" s="123">
        <v>53.451999999999998</v>
      </c>
      <c r="GH102" s="123">
        <v>39.942</v>
      </c>
      <c r="GI102" s="112"/>
      <c r="GJ102" s="123">
        <v>44.710501041095775</v>
      </c>
      <c r="GK102" s="123">
        <v>50.131020360996793</v>
      </c>
      <c r="GL102" s="123">
        <v>43.169090602556395</v>
      </c>
      <c r="GM102" s="123">
        <v>48.800768056427046</v>
      </c>
      <c r="GN102" s="112"/>
      <c r="GO102" s="123">
        <v>1014.525</v>
      </c>
      <c r="GP102" s="123">
        <v>964.63599999999997</v>
      </c>
      <c r="GQ102" s="123">
        <v>889.93600000000004</v>
      </c>
      <c r="GR102" s="123">
        <v>880.4430000000001</v>
      </c>
      <c r="GS102" s="112"/>
      <c r="GT102" s="123">
        <v>652.15499999999997</v>
      </c>
      <c r="GU102" s="123">
        <v>704.50900000000001</v>
      </c>
      <c r="GV102" s="123">
        <v>660.35199999999998</v>
      </c>
      <c r="GW102" s="123">
        <v>603.98199999999997</v>
      </c>
      <c r="GX102" s="112"/>
      <c r="GY102" s="112"/>
      <c r="GZ102" s="112"/>
      <c r="HA102" s="112"/>
      <c r="HB102" s="112"/>
      <c r="HC102" s="112"/>
      <c r="HD102" s="115">
        <v>524</v>
      </c>
      <c r="HE102" s="115">
        <v>2</v>
      </c>
      <c r="HF102" s="115">
        <v>15</v>
      </c>
      <c r="HG102" s="115">
        <v>2</v>
      </c>
      <c r="HH102" s="115">
        <v>2</v>
      </c>
      <c r="HI102" s="114">
        <v>40.108849976336963</v>
      </c>
      <c r="HJ102" s="114">
        <v>34.456355283307808</v>
      </c>
      <c r="HK102" s="113">
        <v>30.095036958817317</v>
      </c>
      <c r="HL102" s="112">
        <v>119</v>
      </c>
      <c r="HM102" s="112">
        <v>134</v>
      </c>
      <c r="HN102" s="112">
        <v>177</v>
      </c>
      <c r="HO102" s="112">
        <v>195</v>
      </c>
      <c r="HP102" s="112"/>
      <c r="HQ102" s="112">
        <v>199</v>
      </c>
      <c r="HR102" s="112">
        <v>243</v>
      </c>
      <c r="HS102" s="112">
        <v>313</v>
      </c>
      <c r="HT102" s="112">
        <v>341</v>
      </c>
      <c r="HU102" s="117"/>
    </row>
    <row r="103" spans="1:229" x14ac:dyDescent="0.2">
      <c r="A103" s="121" t="s">
        <v>268</v>
      </c>
      <c r="B103" s="121" t="s">
        <v>243</v>
      </c>
      <c r="C103" s="115">
        <v>48720</v>
      </c>
      <c r="D103" s="115">
        <v>47943</v>
      </c>
      <c r="E103" s="115">
        <v>47645</v>
      </c>
      <c r="F103" s="115">
        <v>47499</v>
      </c>
      <c r="G103" s="99">
        <v>47639</v>
      </c>
      <c r="H103" s="115">
        <v>20097</v>
      </c>
      <c r="I103" s="115">
        <v>20097</v>
      </c>
      <c r="J103" s="115">
        <v>20066</v>
      </c>
      <c r="K103" s="115">
        <v>20024</v>
      </c>
      <c r="L103" s="99">
        <v>19840</v>
      </c>
      <c r="M103" s="122">
        <v>24.580157500237199</v>
      </c>
      <c r="N103" s="122">
        <v>24.907683909706837</v>
      </c>
      <c r="O103" s="122">
        <v>25.217447537750186</v>
      </c>
      <c r="P103" s="122">
        <v>25.76780012508641</v>
      </c>
      <c r="Q103" s="102">
        <v>26.603767316700441</v>
      </c>
      <c r="R103" s="123">
        <v>29.504411904234797</v>
      </c>
      <c r="S103" s="123">
        <v>29.037022765950613</v>
      </c>
      <c r="T103" s="123">
        <v>28.838878649723544</v>
      </c>
      <c r="U103" s="123">
        <v>30.586918595082128</v>
      </c>
      <c r="V103" s="100">
        <v>31.660077738281121</v>
      </c>
      <c r="W103" s="123">
        <v>54.084569404471992</v>
      </c>
      <c r="X103" s="123">
        <v>53.94470667565745</v>
      </c>
      <c r="Y103" s="123">
        <v>54.056326187473729</v>
      </c>
      <c r="Z103" s="123">
        <v>56.354718720168535</v>
      </c>
      <c r="AA103" s="100">
        <v>58.263845054981559</v>
      </c>
      <c r="AB103" s="123">
        <v>6.1775525786076209</v>
      </c>
      <c r="AC103" s="123">
        <v>6.9856188827249923</v>
      </c>
      <c r="AD103" s="123">
        <v>6.3893487372758972</v>
      </c>
      <c r="AE103" s="123">
        <v>8.90633646928611</v>
      </c>
      <c r="AF103" s="100">
        <v>7.5611872938725915</v>
      </c>
      <c r="AG103" s="115">
        <v>837.16666666666674</v>
      </c>
      <c r="AH103" s="115">
        <v>846.75</v>
      </c>
      <c r="AI103" s="115">
        <v>950.5</v>
      </c>
      <c r="AJ103" s="115">
        <v>1217.25</v>
      </c>
      <c r="AK103" s="105">
        <v>1422.5</v>
      </c>
      <c r="AL103" s="106">
        <v>47116</v>
      </c>
      <c r="AM103" s="106">
        <v>120</v>
      </c>
      <c r="AN103" s="106">
        <v>605</v>
      </c>
      <c r="AO103" s="106">
        <v>499</v>
      </c>
      <c r="AP103" s="106">
        <v>0</v>
      </c>
      <c r="AQ103" s="106">
        <v>917</v>
      </c>
      <c r="AR103" s="106">
        <v>45371</v>
      </c>
      <c r="AS103" s="106">
        <v>276</v>
      </c>
      <c r="AT103" s="106">
        <v>513</v>
      </c>
      <c r="AU103" s="106">
        <v>529</v>
      </c>
      <c r="AV103" s="106">
        <v>625</v>
      </c>
      <c r="AW103" s="106">
        <v>1003</v>
      </c>
      <c r="AX103" s="107">
        <v>31061.526399405782</v>
      </c>
      <c r="AY103" s="107">
        <v>32280.682786868205</v>
      </c>
      <c r="AZ103" s="107">
        <v>35102.289852645677</v>
      </c>
      <c r="BA103" s="107">
        <v>40703.760472001173</v>
      </c>
      <c r="BB103" s="107">
        <v>36618.265647697845</v>
      </c>
      <c r="BC103" s="124" t="s">
        <v>217</v>
      </c>
      <c r="BD103" s="124" t="s">
        <v>217</v>
      </c>
      <c r="BE103" s="124" t="s">
        <v>217</v>
      </c>
      <c r="BF103" s="124" t="s">
        <v>217</v>
      </c>
      <c r="BG103" s="108" t="s">
        <v>217</v>
      </c>
      <c r="BH103" s="122">
        <v>8.847009820936357</v>
      </c>
      <c r="BI103" s="122">
        <v>9.4006568144499187</v>
      </c>
      <c r="BJ103" s="122">
        <v>9.7094466345451895</v>
      </c>
      <c r="BK103" s="122">
        <v>9.69041872179662</v>
      </c>
      <c r="BL103" s="100">
        <v>10.130739594517779</v>
      </c>
      <c r="BM103" s="122">
        <v>10.807993049522155</v>
      </c>
      <c r="BN103" s="122">
        <v>11.827863884318988</v>
      </c>
      <c r="BO103" s="122">
        <v>11.898371801753445</v>
      </c>
      <c r="BP103" s="122">
        <v>11.594336152997425</v>
      </c>
      <c r="BQ103" s="100">
        <v>12.68650128012713</v>
      </c>
      <c r="BR103" s="115">
        <v>8283</v>
      </c>
      <c r="BS103" s="115">
        <v>8205</v>
      </c>
      <c r="BT103" s="115">
        <v>8088</v>
      </c>
      <c r="BU103" s="110">
        <v>8122</v>
      </c>
      <c r="BV103" s="122">
        <v>37.438126282747795</v>
      </c>
      <c r="BW103" s="122">
        <v>36.819012797074954</v>
      </c>
      <c r="BX103" s="122">
        <v>40.393175074183979</v>
      </c>
      <c r="BY103" s="103">
        <v>39.731593203644422</v>
      </c>
      <c r="BZ103" s="122">
        <v>1.2193649643848847</v>
      </c>
      <c r="CA103" s="122">
        <v>1.170018281535649</v>
      </c>
      <c r="CB103" s="122">
        <v>0.70474777448071213</v>
      </c>
      <c r="CC103" s="103">
        <v>0.9972913075597144</v>
      </c>
      <c r="CD103" s="122">
        <v>15.646504889532778</v>
      </c>
      <c r="CE103" s="122">
        <v>15.636806825106643</v>
      </c>
      <c r="CF103" s="122">
        <v>15.677546983184966</v>
      </c>
      <c r="CG103" s="103">
        <v>15.882787490765821</v>
      </c>
      <c r="CH103" s="122">
        <v>89.356110381077528</v>
      </c>
      <c r="CI103" s="123">
        <v>89.699570815450642</v>
      </c>
      <c r="CJ103" s="122">
        <v>89.985052316890886</v>
      </c>
      <c r="CK103" s="111">
        <v>88.005997001499253</v>
      </c>
      <c r="CL103" s="112">
        <v>3200</v>
      </c>
      <c r="CM103" s="112">
        <v>3111</v>
      </c>
      <c r="CN103" s="112">
        <v>2937</v>
      </c>
      <c r="CO103" s="112">
        <v>2947</v>
      </c>
      <c r="CP103" s="112"/>
      <c r="CQ103" s="113">
        <v>12.873896163981252</v>
      </c>
      <c r="CR103" s="113">
        <v>12.517099863201095</v>
      </c>
      <c r="CS103" s="113">
        <v>11.965679644085197</v>
      </c>
      <c r="CT103" s="113">
        <v>12.307576656114531</v>
      </c>
      <c r="CU103" s="112"/>
      <c r="CV103" s="114">
        <v>3.5817077070674768</v>
      </c>
      <c r="CW103" s="114">
        <v>4.5633617859487856</v>
      </c>
      <c r="CX103" s="114">
        <v>4.6089385474860336</v>
      </c>
      <c r="CY103" s="114">
        <v>4.8103932584269664</v>
      </c>
      <c r="CZ103" s="112"/>
      <c r="DA103" s="113">
        <v>6.7310896367877371</v>
      </c>
      <c r="DB103" s="113">
        <v>7.2032465336489686</v>
      </c>
      <c r="DC103" s="113">
        <v>7.9558011049723758</v>
      </c>
      <c r="DD103" s="113">
        <v>8.6311787072243344</v>
      </c>
      <c r="DE103" s="112"/>
      <c r="DF103" s="113">
        <v>78.451816745655606</v>
      </c>
      <c r="DG103" s="113">
        <v>80.397264734614126</v>
      </c>
      <c r="DH103" s="113">
        <v>84.731774415405781</v>
      </c>
      <c r="DI103" s="113">
        <v>83.902782669954206</v>
      </c>
      <c r="DJ103" s="112"/>
      <c r="DK103" s="114">
        <v>14.08</v>
      </c>
      <c r="DL103" s="114">
        <v>16.47782453868566</v>
      </c>
      <c r="DM103" s="114">
        <v>15.755297334244702</v>
      </c>
      <c r="DN103" s="114">
        <v>18.358310626702998</v>
      </c>
      <c r="DO103" s="112"/>
      <c r="DP103" s="113">
        <v>29.905277401894452</v>
      </c>
      <c r="DQ103" s="113">
        <v>26.165220186435231</v>
      </c>
      <c r="DR103" s="113">
        <v>27.340823970037452</v>
      </c>
      <c r="DS103" s="113">
        <v>33.627417712928398</v>
      </c>
      <c r="DT103" s="112"/>
      <c r="DU103" s="115">
        <v>21</v>
      </c>
      <c r="DV103" s="115">
        <v>22</v>
      </c>
      <c r="DW103" s="115">
        <v>21</v>
      </c>
      <c r="DX103" s="115">
        <v>15</v>
      </c>
      <c r="DY103" s="112"/>
      <c r="DZ103" s="116">
        <v>3.54796320630749</v>
      </c>
      <c r="EA103" s="116">
        <v>5.0071530758226039</v>
      </c>
      <c r="EB103" s="116">
        <v>3.5874439461883409</v>
      </c>
      <c r="EC103" s="116">
        <v>4.9475262368815596</v>
      </c>
      <c r="ED103" s="112"/>
      <c r="EE103" s="113">
        <v>93.718166383701188</v>
      </c>
      <c r="EF103" s="113">
        <v>0.50933786078098475</v>
      </c>
      <c r="EG103" s="113">
        <v>1.8675721561969441</v>
      </c>
      <c r="EH103" s="113">
        <v>1.8675721561969441</v>
      </c>
      <c r="EI103" s="113">
        <v>2.5510204081632653</v>
      </c>
      <c r="EJ103" s="113">
        <v>27.665405193788335</v>
      </c>
      <c r="EK103" s="113"/>
      <c r="EL103" s="115">
        <v>2737</v>
      </c>
      <c r="EM103" s="115">
        <v>2632</v>
      </c>
      <c r="EN103" s="115">
        <v>2433</v>
      </c>
      <c r="EO103" s="115">
        <v>2273</v>
      </c>
      <c r="EP103" s="112"/>
      <c r="EQ103" s="114">
        <v>1101.1204312755215</v>
      </c>
      <c r="ER103" s="114">
        <v>1058.9844693007162</v>
      </c>
      <c r="ES103" s="114">
        <v>991.23250167038771</v>
      </c>
      <c r="ET103" s="114">
        <v>949.27457547839595</v>
      </c>
      <c r="EU103" s="112"/>
      <c r="EV103" s="123">
        <v>851.221</v>
      </c>
      <c r="EW103" s="123">
        <v>822.65899999999999</v>
      </c>
      <c r="EX103" s="123">
        <v>713.28199999999993</v>
      </c>
      <c r="EY103" s="123">
        <v>660.298</v>
      </c>
      <c r="EZ103" s="112"/>
      <c r="FA103" s="115">
        <v>822</v>
      </c>
      <c r="FB103" s="115">
        <v>809</v>
      </c>
      <c r="FC103" s="115">
        <v>695</v>
      </c>
      <c r="FD103" s="115">
        <v>545</v>
      </c>
      <c r="FE103" s="112"/>
      <c r="FF103" s="115">
        <v>573</v>
      </c>
      <c r="FG103" s="115">
        <v>576</v>
      </c>
      <c r="FH103" s="115">
        <v>520</v>
      </c>
      <c r="FI103" s="115">
        <v>527</v>
      </c>
      <c r="FJ103" s="112"/>
      <c r="FK103" s="115">
        <v>268</v>
      </c>
      <c r="FL103" s="115">
        <v>228</v>
      </c>
      <c r="FM103" s="115">
        <v>185</v>
      </c>
      <c r="FN103" s="115">
        <v>141</v>
      </c>
      <c r="FO103" s="112"/>
      <c r="FP103" s="115">
        <v>154</v>
      </c>
      <c r="FQ103" s="115">
        <v>133</v>
      </c>
      <c r="FR103" s="115">
        <v>113</v>
      </c>
      <c r="FS103" s="115">
        <v>111</v>
      </c>
      <c r="FT103" s="112"/>
      <c r="FU103" s="123">
        <v>249.75800000000004</v>
      </c>
      <c r="FV103" s="123">
        <v>248.76999999999998</v>
      </c>
      <c r="FW103" s="123">
        <v>194.82599999999999</v>
      </c>
      <c r="FX103" s="123">
        <v>153.11099999999999</v>
      </c>
      <c r="FY103" s="112"/>
      <c r="FZ103" s="123">
        <v>184.965</v>
      </c>
      <c r="GA103" s="123">
        <v>188.35500000000002</v>
      </c>
      <c r="GB103" s="123">
        <v>163.429</v>
      </c>
      <c r="GC103" s="123">
        <v>163.066</v>
      </c>
      <c r="GD103" s="112"/>
      <c r="GE103" s="123">
        <v>77.411000000000001</v>
      </c>
      <c r="GF103" s="123">
        <v>66.301999999999992</v>
      </c>
      <c r="GG103" s="123">
        <v>50.460999999999999</v>
      </c>
      <c r="GH103" s="123">
        <v>36.503</v>
      </c>
      <c r="GI103" s="112"/>
      <c r="GJ103" s="123">
        <v>58.03533151687148</v>
      </c>
      <c r="GK103" s="123">
        <v>49.731833212795202</v>
      </c>
      <c r="GL103" s="123">
        <v>39.869698322874271</v>
      </c>
      <c r="GM103" s="123">
        <v>40.201176118801435</v>
      </c>
      <c r="GN103" s="112"/>
      <c r="GO103" s="123">
        <v>1075.2660000000001</v>
      </c>
      <c r="GP103" s="123">
        <v>986.58799999999997</v>
      </c>
      <c r="GQ103" s="123">
        <v>896.54399999999998</v>
      </c>
      <c r="GR103" s="123">
        <v>824.404</v>
      </c>
      <c r="GS103" s="112"/>
      <c r="GT103" s="123">
        <v>667.77199999999993</v>
      </c>
      <c r="GU103" s="123">
        <v>670.87299999999993</v>
      </c>
      <c r="GV103" s="123">
        <v>559.83400000000006</v>
      </c>
      <c r="GW103" s="123">
        <v>524.077</v>
      </c>
      <c r="GX103" s="112"/>
      <c r="GY103" s="112"/>
      <c r="GZ103" s="112"/>
      <c r="HA103" s="112"/>
      <c r="HB103" s="112"/>
      <c r="HC103" s="112"/>
      <c r="HD103" s="115">
        <v>427</v>
      </c>
      <c r="HE103" s="115">
        <v>1</v>
      </c>
      <c r="HF103" s="115">
        <v>6</v>
      </c>
      <c r="HG103" s="115">
        <v>4</v>
      </c>
      <c r="HH103" s="115">
        <v>1</v>
      </c>
      <c r="HI103" s="114">
        <v>39.208589697189048</v>
      </c>
      <c r="HJ103" s="114">
        <v>32.517741764643574</v>
      </c>
      <c r="HK103" s="113">
        <v>24.721746575342465</v>
      </c>
      <c r="HL103" s="112">
        <v>112</v>
      </c>
      <c r="HM103" s="112">
        <v>139</v>
      </c>
      <c r="HN103" s="112">
        <v>132</v>
      </c>
      <c r="HO103" s="112">
        <v>137</v>
      </c>
      <c r="HP103" s="112"/>
      <c r="HQ103" s="112">
        <v>202</v>
      </c>
      <c r="HR103" s="112">
        <v>213</v>
      </c>
      <c r="HS103" s="112">
        <v>216</v>
      </c>
      <c r="HT103" s="112">
        <v>227</v>
      </c>
      <c r="HU103" s="117"/>
    </row>
    <row r="104" spans="1:229" x14ac:dyDescent="0.2">
      <c r="A104" s="121" t="s">
        <v>212</v>
      </c>
      <c r="B104" s="121" t="s">
        <v>212</v>
      </c>
      <c r="C104" s="115">
        <v>44695</v>
      </c>
      <c r="D104" s="115">
        <v>44254</v>
      </c>
      <c r="E104" s="115">
        <v>44388</v>
      </c>
      <c r="F104" s="115">
        <v>44267</v>
      </c>
      <c r="G104" s="99">
        <v>45989</v>
      </c>
      <c r="H104" s="115">
        <v>17448</v>
      </c>
      <c r="I104" s="115">
        <v>17564</v>
      </c>
      <c r="J104" s="115">
        <v>17506</v>
      </c>
      <c r="K104" s="115">
        <v>17441</v>
      </c>
      <c r="L104" s="99">
        <v>17786</v>
      </c>
      <c r="M104" s="122">
        <v>22.218169761273209</v>
      </c>
      <c r="N104" s="122">
        <v>22.850579372318503</v>
      </c>
      <c r="O104" s="122">
        <v>23.163841807909606</v>
      </c>
      <c r="P104" s="122">
        <v>24.62251201098147</v>
      </c>
      <c r="Q104" s="102">
        <v>25.127056306005084</v>
      </c>
      <c r="R104" s="123">
        <v>25.974801061007959</v>
      </c>
      <c r="S104" s="123">
        <v>26.651126651126653</v>
      </c>
      <c r="T104" s="123">
        <v>26.109765940274414</v>
      </c>
      <c r="U104" s="123">
        <v>27.288949897048731</v>
      </c>
      <c r="V104" s="100">
        <v>28.641166243145648</v>
      </c>
      <c r="W104" s="123">
        <v>48.192970822281168</v>
      </c>
      <c r="X104" s="123">
        <v>49.501706023445152</v>
      </c>
      <c r="Y104" s="123">
        <v>49.27360774818402</v>
      </c>
      <c r="Z104" s="123">
        <v>51.911461908030198</v>
      </c>
      <c r="AA104" s="100">
        <v>53.768222549150728</v>
      </c>
      <c r="AB104" s="123">
        <v>6.7038068709377905</v>
      </c>
      <c r="AC104" s="123">
        <v>8.0627099664053752</v>
      </c>
      <c r="AD104" s="123">
        <v>9.0909090909090917</v>
      </c>
      <c r="AE104" s="123">
        <v>12.299042431696389</v>
      </c>
      <c r="AF104" s="100">
        <v>10.717131474103585</v>
      </c>
      <c r="AG104" s="115">
        <v>1199.25</v>
      </c>
      <c r="AH104" s="115">
        <v>1305.6666666666667</v>
      </c>
      <c r="AI104" s="115">
        <v>1451.3333333333335</v>
      </c>
      <c r="AJ104" s="115">
        <v>1850.25</v>
      </c>
      <c r="AK104" s="105">
        <v>2238.3333333333335</v>
      </c>
      <c r="AL104" s="106">
        <v>42540</v>
      </c>
      <c r="AM104" s="106">
        <v>426</v>
      </c>
      <c r="AN104" s="106">
        <v>1009</v>
      </c>
      <c r="AO104" s="106">
        <v>186</v>
      </c>
      <c r="AP104" s="106">
        <v>0</v>
      </c>
      <c r="AQ104" s="106">
        <v>697</v>
      </c>
      <c r="AR104" s="106">
        <v>43101</v>
      </c>
      <c r="AS104" s="106">
        <v>652</v>
      </c>
      <c r="AT104" s="106">
        <v>1011</v>
      </c>
      <c r="AU104" s="106">
        <v>195</v>
      </c>
      <c r="AV104" s="106">
        <v>808</v>
      </c>
      <c r="AW104" s="106">
        <v>937</v>
      </c>
      <c r="AX104" s="107">
        <v>25259.799681311179</v>
      </c>
      <c r="AY104" s="107">
        <v>26115.469299738961</v>
      </c>
      <c r="AZ104" s="107">
        <v>27306.547619047618</v>
      </c>
      <c r="BA104" s="107">
        <v>28487.041981735365</v>
      </c>
      <c r="BB104" s="107">
        <v>28923.441841552398</v>
      </c>
      <c r="BC104" s="124" t="s">
        <v>217</v>
      </c>
      <c r="BD104" s="124" t="s">
        <v>217</v>
      </c>
      <c r="BE104" s="124" t="s">
        <v>217</v>
      </c>
      <c r="BF104" s="124" t="s">
        <v>217</v>
      </c>
      <c r="BG104" s="108" t="s">
        <v>217</v>
      </c>
      <c r="BH104" s="122">
        <v>10.647016209363398</v>
      </c>
      <c r="BI104" s="122">
        <v>12.540552634522877</v>
      </c>
      <c r="BJ104" s="122">
        <v>11.456591494554164</v>
      </c>
      <c r="BK104" s="122">
        <v>12.233035955663693</v>
      </c>
      <c r="BL104" s="100">
        <v>15.223529943298619</v>
      </c>
      <c r="BM104" s="122">
        <v>15.134255492270139</v>
      </c>
      <c r="BN104" s="122">
        <v>17.761163871489188</v>
      </c>
      <c r="BO104" s="122">
        <v>17.443153107630117</v>
      </c>
      <c r="BP104" s="122">
        <v>16.973902236951119</v>
      </c>
      <c r="BQ104" s="100">
        <v>21.872469635627532</v>
      </c>
      <c r="BR104" s="115">
        <v>6517</v>
      </c>
      <c r="BS104" s="115">
        <v>6395</v>
      </c>
      <c r="BT104" s="115">
        <v>6337</v>
      </c>
      <c r="BU104" s="110">
        <v>6313</v>
      </c>
      <c r="BV104" s="122">
        <v>42.243363510817858</v>
      </c>
      <c r="BW104" s="122">
        <v>44.268960125097735</v>
      </c>
      <c r="BX104" s="122">
        <v>44.579454000315607</v>
      </c>
      <c r="BY104" s="103">
        <v>48.946618089656262</v>
      </c>
      <c r="BZ104" s="122">
        <v>0.24551173852999847</v>
      </c>
      <c r="CA104" s="122">
        <v>0.39093041438623927</v>
      </c>
      <c r="CB104" s="122">
        <v>0.41028878017989584</v>
      </c>
      <c r="CC104" s="103">
        <v>0.42768889592903531</v>
      </c>
      <c r="CD104" s="122">
        <v>12.551787632346171</v>
      </c>
      <c r="CE104" s="122">
        <v>11.61845191555903</v>
      </c>
      <c r="CF104" s="122">
        <v>12.356004418494555</v>
      </c>
      <c r="CG104" s="103">
        <v>13.020750831617297</v>
      </c>
      <c r="CH104" s="122">
        <v>78.31541218637993</v>
      </c>
      <c r="CI104" s="123">
        <v>80.560420315236428</v>
      </c>
      <c r="CJ104" s="122">
        <v>80.265654648956357</v>
      </c>
      <c r="CK104" s="111">
        <v>83.55140186915888</v>
      </c>
      <c r="CL104" s="112">
        <v>2108</v>
      </c>
      <c r="CM104" s="112">
        <v>2214</v>
      </c>
      <c r="CN104" s="112">
        <v>2450</v>
      </c>
      <c r="CO104" s="112">
        <v>2580</v>
      </c>
      <c r="CP104" s="112"/>
      <c r="CQ104" s="113">
        <v>11.892672579152844</v>
      </c>
      <c r="CR104" s="113">
        <v>11.445231928785224</v>
      </c>
      <c r="CS104" s="113">
        <v>11.258415090871493</v>
      </c>
      <c r="CT104" s="113">
        <v>11.538822771732567</v>
      </c>
      <c r="CU104" s="112"/>
      <c r="CV104" s="114">
        <v>5.29897909577054</v>
      </c>
      <c r="CW104" s="114">
        <v>3.9777983348751156</v>
      </c>
      <c r="CX104" s="114">
        <v>4.9346267397722476</v>
      </c>
      <c r="CY104" s="114">
        <v>4.3217286914765909</v>
      </c>
      <c r="CZ104" s="112"/>
      <c r="DA104" s="113">
        <v>7.5749318801089922</v>
      </c>
      <c r="DB104" s="113">
        <v>6.162324649298597</v>
      </c>
      <c r="DC104" s="113">
        <v>9.7019286966686149</v>
      </c>
      <c r="DD104" s="113">
        <v>8.0362195812110926</v>
      </c>
      <c r="DE104" s="112"/>
      <c r="DF104" s="113">
        <v>77.548005908419498</v>
      </c>
      <c r="DG104" s="113">
        <v>78.444236176194934</v>
      </c>
      <c r="DH104" s="113">
        <v>81.867444768653613</v>
      </c>
      <c r="DI104" s="113">
        <v>82.090729783037474</v>
      </c>
      <c r="DJ104" s="112"/>
      <c r="DK104" s="114">
        <v>23.598971722365039</v>
      </c>
      <c r="DL104" s="114">
        <v>26.440520446096656</v>
      </c>
      <c r="DM104" s="114">
        <v>25.464300453982666</v>
      </c>
      <c r="DN104" s="114">
        <v>25.995316159250585</v>
      </c>
      <c r="DO104" s="112"/>
      <c r="DP104" s="113">
        <v>30.882352941176471</v>
      </c>
      <c r="DQ104" s="113">
        <v>36.766034327009933</v>
      </c>
      <c r="DR104" s="113">
        <v>37.387755102040813</v>
      </c>
      <c r="DS104" s="113">
        <v>42.558139534883722</v>
      </c>
      <c r="DT104" s="112"/>
      <c r="DU104" s="115">
        <v>22</v>
      </c>
      <c r="DV104" s="115">
        <v>12</v>
      </c>
      <c r="DW104" s="115">
        <v>17</v>
      </c>
      <c r="DX104" s="115">
        <v>14</v>
      </c>
      <c r="DY104" s="112"/>
      <c r="DZ104" s="116">
        <v>5.913978494623656</v>
      </c>
      <c r="EA104" s="116">
        <v>7.7057793345008756</v>
      </c>
      <c r="EB104" s="116">
        <v>6.2618595825426944</v>
      </c>
      <c r="EC104" s="116">
        <v>5.981308411214953</v>
      </c>
      <c r="ED104" s="112"/>
      <c r="EE104" s="113">
        <v>94.701986754966882</v>
      </c>
      <c r="EF104" s="113">
        <v>0.66225165562913912</v>
      </c>
      <c r="EG104" s="113">
        <v>3.0905077262693155</v>
      </c>
      <c r="EH104" s="113">
        <v>0.66225165562913912</v>
      </c>
      <c r="EI104" s="113">
        <v>2.4830699774266365</v>
      </c>
      <c r="EJ104" s="113">
        <v>38.345540715208962</v>
      </c>
      <c r="EK104" s="113"/>
      <c r="EL104" s="115">
        <v>1741</v>
      </c>
      <c r="EM104" s="115">
        <v>1840</v>
      </c>
      <c r="EN104" s="115">
        <v>1831</v>
      </c>
      <c r="EO104" s="115">
        <v>1927</v>
      </c>
      <c r="EP104" s="112"/>
      <c r="EQ104" s="114">
        <v>982.21740798411304</v>
      </c>
      <c r="ER104" s="114">
        <v>951.18458667411073</v>
      </c>
      <c r="ES104" s="114">
        <v>841.39420536268176</v>
      </c>
      <c r="ET104" s="114">
        <v>861.83377833832003</v>
      </c>
      <c r="EU104" s="112"/>
      <c r="EV104" s="123">
        <v>858.97299999999996</v>
      </c>
      <c r="EW104" s="123">
        <v>844.00300000000004</v>
      </c>
      <c r="EX104" s="123">
        <v>740.90899999999999</v>
      </c>
      <c r="EY104" s="123">
        <v>706.779</v>
      </c>
      <c r="EZ104" s="112"/>
      <c r="FA104" s="115">
        <v>521</v>
      </c>
      <c r="FB104" s="115">
        <v>491</v>
      </c>
      <c r="FC104" s="115">
        <v>463</v>
      </c>
      <c r="FD104" s="115">
        <v>401</v>
      </c>
      <c r="FE104" s="112"/>
      <c r="FF104" s="115">
        <v>397</v>
      </c>
      <c r="FG104" s="115">
        <v>475</v>
      </c>
      <c r="FH104" s="115">
        <v>483</v>
      </c>
      <c r="FI104" s="115">
        <v>511</v>
      </c>
      <c r="FJ104" s="112"/>
      <c r="FK104" s="115">
        <v>152</v>
      </c>
      <c r="FL104" s="115">
        <v>128</v>
      </c>
      <c r="FM104" s="115">
        <v>106</v>
      </c>
      <c r="FN104" s="115">
        <v>119</v>
      </c>
      <c r="FO104" s="112"/>
      <c r="FP104" s="115">
        <v>91</v>
      </c>
      <c r="FQ104" s="115">
        <v>113</v>
      </c>
      <c r="FR104" s="115">
        <v>127</v>
      </c>
      <c r="FS104" s="115">
        <v>106</v>
      </c>
      <c r="FT104" s="112"/>
      <c r="FU104" s="123">
        <v>252.244</v>
      </c>
      <c r="FV104" s="123">
        <v>221.899</v>
      </c>
      <c r="FW104" s="123">
        <v>184.55599999999998</v>
      </c>
      <c r="FX104" s="123">
        <v>143.61600000000001</v>
      </c>
      <c r="FY104" s="112"/>
      <c r="FZ104" s="123">
        <v>195.608</v>
      </c>
      <c r="GA104" s="123">
        <v>219.411</v>
      </c>
      <c r="GB104" s="123">
        <v>193.39500000000001</v>
      </c>
      <c r="GC104" s="123">
        <v>189.524</v>
      </c>
      <c r="GD104" s="112"/>
      <c r="GE104" s="123">
        <v>72.567999999999998</v>
      </c>
      <c r="GF104" s="123">
        <v>57.149000000000001</v>
      </c>
      <c r="GG104" s="123">
        <v>42.075000000000003</v>
      </c>
      <c r="GH104" s="123">
        <v>42.542999999999999</v>
      </c>
      <c r="GI104" s="112"/>
      <c r="GJ104" s="123">
        <v>50.409582321583365</v>
      </c>
      <c r="GK104" s="123">
        <v>57.41143706372609</v>
      </c>
      <c r="GL104" s="123">
        <v>55.020345225757175</v>
      </c>
      <c r="GM104" s="123">
        <v>42.020831332806701</v>
      </c>
      <c r="GN104" s="112"/>
      <c r="GO104" s="123">
        <v>1074.172</v>
      </c>
      <c r="GP104" s="123">
        <v>1020.56</v>
      </c>
      <c r="GQ104" s="123">
        <v>925.08399999999995</v>
      </c>
      <c r="GR104" s="123">
        <v>831.69100000000003</v>
      </c>
      <c r="GS104" s="112"/>
      <c r="GT104" s="123">
        <v>677.14099999999996</v>
      </c>
      <c r="GU104" s="123">
        <v>680.971</v>
      </c>
      <c r="GV104" s="123">
        <v>592.26600000000008</v>
      </c>
      <c r="GW104" s="123">
        <v>598.53700000000003</v>
      </c>
      <c r="GX104" s="112"/>
      <c r="GY104" s="112"/>
      <c r="GZ104" s="112"/>
      <c r="HA104" s="112"/>
      <c r="HB104" s="112"/>
      <c r="HC104" s="112"/>
      <c r="HD104" s="115">
        <v>384</v>
      </c>
      <c r="HE104" s="115">
        <v>2</v>
      </c>
      <c r="HF104" s="115">
        <v>5</v>
      </c>
      <c r="HG104" s="115">
        <v>1</v>
      </c>
      <c r="HH104" s="115">
        <v>3</v>
      </c>
      <c r="HI104" s="114">
        <v>46.43093192333113</v>
      </c>
      <c r="HJ104" s="114">
        <v>40.203698740284104</v>
      </c>
      <c r="HK104" s="113">
        <v>35.745422842197037</v>
      </c>
      <c r="HL104" s="112">
        <v>109</v>
      </c>
      <c r="HM104" s="112">
        <v>86</v>
      </c>
      <c r="HN104" s="112">
        <v>117</v>
      </c>
      <c r="HO104" s="112">
        <v>108</v>
      </c>
      <c r="HP104" s="112"/>
      <c r="HQ104" s="112">
        <v>139</v>
      </c>
      <c r="HR104" s="112">
        <v>123</v>
      </c>
      <c r="HS104" s="112">
        <v>166</v>
      </c>
      <c r="HT104" s="112">
        <v>142</v>
      </c>
      <c r="HU104" s="117"/>
    </row>
    <row r="105" spans="1:229" x14ac:dyDescent="0.2">
      <c r="A105" s="121" t="s">
        <v>264</v>
      </c>
      <c r="B105" s="121" t="s">
        <v>264</v>
      </c>
      <c r="C105" s="115">
        <v>58339</v>
      </c>
      <c r="D105" s="115">
        <v>57886</v>
      </c>
      <c r="E105" s="115">
        <v>57941</v>
      </c>
      <c r="F105" s="115">
        <v>58049</v>
      </c>
      <c r="G105" s="99">
        <v>59761</v>
      </c>
      <c r="H105" s="115">
        <v>24135</v>
      </c>
      <c r="I105" s="115">
        <v>24170</v>
      </c>
      <c r="J105" s="115">
        <v>24171</v>
      </c>
      <c r="K105" s="115">
        <v>24272</v>
      </c>
      <c r="L105" s="99">
        <v>24490</v>
      </c>
      <c r="M105" s="122">
        <v>29.392177734108465</v>
      </c>
      <c r="N105" s="122">
        <v>29.533849448196342</v>
      </c>
      <c r="O105" s="122">
        <v>29.789514178940426</v>
      </c>
      <c r="P105" s="122">
        <v>29.599243540896069</v>
      </c>
      <c r="Q105" s="102">
        <v>28.645202937141935</v>
      </c>
      <c r="R105" s="123">
        <v>29.834329539561669</v>
      </c>
      <c r="S105" s="123">
        <v>29.38011310602317</v>
      </c>
      <c r="T105" s="123">
        <v>29.424049241591558</v>
      </c>
      <c r="U105" s="123">
        <v>31.840809856217149</v>
      </c>
      <c r="V105" s="100">
        <v>32.093386051265497</v>
      </c>
      <c r="W105" s="123">
        <v>59.22650727367013</v>
      </c>
      <c r="X105" s="123">
        <v>58.913962554219516</v>
      </c>
      <c r="Y105" s="123">
        <v>59.213563420531983</v>
      </c>
      <c r="Z105" s="123">
        <v>61.440053397113218</v>
      </c>
      <c r="AA105" s="100">
        <v>60.738588988407436</v>
      </c>
      <c r="AB105" s="123">
        <v>3.3805241444810497</v>
      </c>
      <c r="AC105" s="123">
        <v>3.8871791807344112</v>
      </c>
      <c r="AD105" s="123">
        <v>4.4695206387554878</v>
      </c>
      <c r="AE105" s="123">
        <v>6.0292502456789414</v>
      </c>
      <c r="AF105" s="100">
        <v>5.5</v>
      </c>
      <c r="AG105" s="115">
        <v>1007.7499999999999</v>
      </c>
      <c r="AH105" s="115">
        <v>1039.75</v>
      </c>
      <c r="AI105" s="115">
        <v>1100.3333333333333</v>
      </c>
      <c r="AJ105" s="115">
        <v>1419.0833333333333</v>
      </c>
      <c r="AK105" s="105">
        <v>1722.9999999999998</v>
      </c>
      <c r="AL105" s="106">
        <v>56442</v>
      </c>
      <c r="AM105" s="106">
        <v>463</v>
      </c>
      <c r="AN105" s="106">
        <v>347</v>
      </c>
      <c r="AO105" s="106">
        <v>672</v>
      </c>
      <c r="AP105" s="106">
        <v>0</v>
      </c>
      <c r="AQ105" s="106">
        <v>1692</v>
      </c>
      <c r="AR105" s="106">
        <v>55912</v>
      </c>
      <c r="AS105" s="106">
        <v>735</v>
      </c>
      <c r="AT105" s="106">
        <v>268</v>
      </c>
      <c r="AU105" s="106">
        <v>903</v>
      </c>
      <c r="AV105" s="106">
        <v>817</v>
      </c>
      <c r="AW105" s="106">
        <v>2407</v>
      </c>
      <c r="AX105" s="107">
        <v>32868.397955495893</v>
      </c>
      <c r="AY105" s="107">
        <v>33857.266003482575</v>
      </c>
      <c r="AZ105" s="107">
        <v>36102.878667449979</v>
      </c>
      <c r="BA105" s="107">
        <v>39813.321391046731</v>
      </c>
      <c r="BB105" s="107">
        <v>38875.036607004426</v>
      </c>
      <c r="BC105" s="124" t="s">
        <v>217</v>
      </c>
      <c r="BD105" s="124" t="s">
        <v>217</v>
      </c>
      <c r="BE105" s="124" t="s">
        <v>217</v>
      </c>
      <c r="BF105" s="124" t="s">
        <v>217</v>
      </c>
      <c r="BG105" s="108" t="s">
        <v>217</v>
      </c>
      <c r="BH105" s="122">
        <v>9.0354710844598021</v>
      </c>
      <c r="BI105" s="122">
        <v>9.4893638903649364</v>
      </c>
      <c r="BJ105" s="122">
        <v>10.273641294959058</v>
      </c>
      <c r="BK105" s="122">
        <v>9.6322120778032829</v>
      </c>
      <c r="BL105" s="100">
        <v>10.199999999999999</v>
      </c>
      <c r="BM105" s="122">
        <v>10.938215102974828</v>
      </c>
      <c r="BN105" s="122">
        <v>11.604701012639515</v>
      </c>
      <c r="BO105" s="122">
        <v>12.026272082138004</v>
      </c>
      <c r="BP105" s="122">
        <v>11.833915287687869</v>
      </c>
      <c r="BQ105" s="100">
        <v>13</v>
      </c>
      <c r="BR105" s="115">
        <v>9625</v>
      </c>
      <c r="BS105" s="115">
        <v>9473</v>
      </c>
      <c r="BT105" s="115">
        <v>9461</v>
      </c>
      <c r="BU105" s="110">
        <v>9462</v>
      </c>
      <c r="BV105" s="122">
        <v>34.472727272727276</v>
      </c>
      <c r="BW105" s="122">
        <v>34.867518209648473</v>
      </c>
      <c r="BX105" s="122">
        <v>37.87126096607124</v>
      </c>
      <c r="BY105" s="103">
        <v>39.1</v>
      </c>
      <c r="BZ105" s="122">
        <v>5.6103896103896105</v>
      </c>
      <c r="CA105" s="122">
        <v>5.2359337063232347</v>
      </c>
      <c r="CB105" s="122">
        <v>5.2002959518021354</v>
      </c>
      <c r="CC105" s="103">
        <v>6.1</v>
      </c>
      <c r="CD105" s="122">
        <v>14.462337662337662</v>
      </c>
      <c r="CE105" s="122">
        <v>15.496674759843767</v>
      </c>
      <c r="CF105" s="122">
        <v>16.055385265828136</v>
      </c>
      <c r="CG105" s="103">
        <v>16.7</v>
      </c>
      <c r="CH105" s="122">
        <v>85.7</v>
      </c>
      <c r="CI105" s="123">
        <v>85.5</v>
      </c>
      <c r="CJ105" s="122">
        <v>86.1</v>
      </c>
      <c r="CK105" s="111">
        <v>86.083743842364527</v>
      </c>
      <c r="CL105" s="112">
        <v>3904</v>
      </c>
      <c r="CM105" s="112">
        <v>3631</v>
      </c>
      <c r="CN105" s="112">
        <v>3631</v>
      </c>
      <c r="CO105" s="112">
        <v>3943</v>
      </c>
      <c r="CP105" s="112"/>
      <c r="CQ105" s="113">
        <v>12.686239784229938</v>
      </c>
      <c r="CR105" s="113">
        <v>12.010293592304944</v>
      </c>
      <c r="CS105" s="113">
        <v>12.227812464219083</v>
      </c>
      <c r="CT105" s="113">
        <v>13.504534619283778</v>
      </c>
      <c r="CU105" s="112"/>
      <c r="CV105" s="114">
        <v>3.2912058978409688</v>
      </c>
      <c r="CW105" s="114">
        <v>3.9387928591669028</v>
      </c>
      <c r="CX105" s="114">
        <v>4.9194232400339271</v>
      </c>
      <c r="CY105" s="114">
        <v>4.6687532603025561</v>
      </c>
      <c r="CZ105" s="112"/>
      <c r="DA105" s="113">
        <v>7.3478760045924227</v>
      </c>
      <c r="DB105" s="113">
        <v>9.276089000313382</v>
      </c>
      <c r="DC105" s="113">
        <v>9.4838308457711449</v>
      </c>
      <c r="DD105" s="113">
        <v>9.3392070484581495</v>
      </c>
      <c r="DE105" s="112"/>
      <c r="DF105" s="113">
        <v>83.771335681387157</v>
      </c>
      <c r="DG105" s="113">
        <v>83.298662704309066</v>
      </c>
      <c r="DH105" s="113">
        <v>81.992763707208468</v>
      </c>
      <c r="DI105" s="113">
        <v>83.954154727793693</v>
      </c>
      <c r="DJ105" s="112"/>
      <c r="DK105" s="114">
        <v>10.612135792568832</v>
      </c>
      <c r="DL105" s="114">
        <v>12.33983286908078</v>
      </c>
      <c r="DM105" s="114">
        <v>12.368566685113448</v>
      </c>
      <c r="DN105" s="114">
        <v>13.428280773143438</v>
      </c>
      <c r="DO105" s="112"/>
      <c r="DP105" s="113">
        <v>20.475148483901219</v>
      </c>
      <c r="DQ105" s="113">
        <v>20.584182970515293</v>
      </c>
      <c r="DR105" s="113">
        <v>23.437069677774719</v>
      </c>
      <c r="DS105" s="113">
        <v>30.898021308980212</v>
      </c>
      <c r="DT105" s="112"/>
      <c r="DU105" s="115">
        <v>19</v>
      </c>
      <c r="DV105" s="115">
        <v>20</v>
      </c>
      <c r="DW105" s="115">
        <v>21</v>
      </c>
      <c r="DX105" s="115">
        <v>19</v>
      </c>
      <c r="DY105" s="112"/>
      <c r="DZ105" s="116">
        <v>3.4934497816593888</v>
      </c>
      <c r="EA105" s="116">
        <v>3.1213872832369942</v>
      </c>
      <c r="EB105" s="116">
        <v>1.9836639439906651</v>
      </c>
      <c r="EC105" s="116">
        <v>2.8325123152709359</v>
      </c>
      <c r="ED105" s="112"/>
      <c r="EE105" s="113">
        <v>85.714285714285708</v>
      </c>
      <c r="EF105" s="113">
        <v>2.7210884353741496</v>
      </c>
      <c r="EG105" s="113">
        <v>0.68027210884353739</v>
      </c>
      <c r="EH105" s="113">
        <v>3.5374149659863945</v>
      </c>
      <c r="EI105" s="113">
        <v>9.549795361527968</v>
      </c>
      <c r="EJ105" s="113">
        <v>24.725536992840095</v>
      </c>
      <c r="EK105" s="113"/>
      <c r="EL105" s="115">
        <v>3395</v>
      </c>
      <c r="EM105" s="115">
        <v>3368</v>
      </c>
      <c r="EN105" s="115">
        <v>3457</v>
      </c>
      <c r="EO105" s="115">
        <v>3263</v>
      </c>
      <c r="EP105" s="112"/>
      <c r="EQ105" s="114">
        <v>1103.2219279574958</v>
      </c>
      <c r="ER105" s="114">
        <v>1114.0365964991202</v>
      </c>
      <c r="ES105" s="114">
        <v>1164.1847339246867</v>
      </c>
      <c r="ET105" s="114">
        <v>1117.557607474587</v>
      </c>
      <c r="EU105" s="112"/>
      <c r="EV105" s="123">
        <v>757.03200000000004</v>
      </c>
      <c r="EW105" s="123">
        <v>734.66799999999989</v>
      </c>
      <c r="EX105" s="123">
        <v>722.78700000000003</v>
      </c>
      <c r="EY105" s="123">
        <v>677.45299999999997</v>
      </c>
      <c r="EZ105" s="112"/>
      <c r="FA105" s="115">
        <v>1107</v>
      </c>
      <c r="FB105" s="115">
        <v>1023</v>
      </c>
      <c r="FC105" s="115">
        <v>860</v>
      </c>
      <c r="FD105" s="115">
        <v>730</v>
      </c>
      <c r="FE105" s="112"/>
      <c r="FF105" s="115">
        <v>821</v>
      </c>
      <c r="FG105" s="115">
        <v>734</v>
      </c>
      <c r="FH105" s="115">
        <v>800</v>
      </c>
      <c r="FI105" s="115">
        <v>753</v>
      </c>
      <c r="FJ105" s="112"/>
      <c r="FK105" s="115">
        <v>340</v>
      </c>
      <c r="FL105" s="115">
        <v>368</v>
      </c>
      <c r="FM105" s="115">
        <v>306</v>
      </c>
      <c r="FN105" s="115">
        <v>229</v>
      </c>
      <c r="FO105" s="112"/>
      <c r="FP105" s="115">
        <v>136</v>
      </c>
      <c r="FQ105" s="115">
        <v>154</v>
      </c>
      <c r="FR105" s="115">
        <v>159</v>
      </c>
      <c r="FS105" s="115">
        <v>165</v>
      </c>
      <c r="FT105" s="112"/>
      <c r="FU105" s="123">
        <v>235.09699999999998</v>
      </c>
      <c r="FV105" s="123">
        <v>212.47899999999998</v>
      </c>
      <c r="FW105" s="123">
        <v>166.93799999999999</v>
      </c>
      <c r="FX105" s="123">
        <v>139.45099999999999</v>
      </c>
      <c r="FY105" s="112"/>
      <c r="FZ105" s="123">
        <v>195.17600000000002</v>
      </c>
      <c r="GA105" s="123">
        <v>170.03800000000001</v>
      </c>
      <c r="GB105" s="123">
        <v>184.34300000000002</v>
      </c>
      <c r="GC105" s="123">
        <v>172.80699999999999</v>
      </c>
      <c r="GD105" s="112"/>
      <c r="GE105" s="123">
        <v>67.299000000000007</v>
      </c>
      <c r="GF105" s="123">
        <v>72.442999999999998</v>
      </c>
      <c r="GG105" s="123">
        <v>55.302999999999997</v>
      </c>
      <c r="GH105" s="123">
        <v>41.651000000000003</v>
      </c>
      <c r="GI105" s="112"/>
      <c r="GJ105" s="123">
        <v>39.199721150798794</v>
      </c>
      <c r="GK105" s="123">
        <v>45.608822438723863</v>
      </c>
      <c r="GL105" s="123">
        <v>42.328614556488901</v>
      </c>
      <c r="GM105" s="123">
        <v>44.748223105304113</v>
      </c>
      <c r="GN105" s="112"/>
      <c r="GO105" s="123">
        <v>981.39699999999993</v>
      </c>
      <c r="GP105" s="123">
        <v>926.1869999999999</v>
      </c>
      <c r="GQ105" s="123">
        <v>943.56</v>
      </c>
      <c r="GR105" s="123">
        <v>846.97900000000004</v>
      </c>
      <c r="GS105" s="112"/>
      <c r="GT105" s="123">
        <v>597.48799999999994</v>
      </c>
      <c r="GU105" s="123">
        <v>588.37800000000004</v>
      </c>
      <c r="GV105" s="123">
        <v>557.34899999999993</v>
      </c>
      <c r="GW105" s="123">
        <v>549.78300000000002</v>
      </c>
      <c r="GX105" s="112"/>
      <c r="GY105" s="112"/>
      <c r="GZ105" s="112"/>
      <c r="HA105" s="112"/>
      <c r="HB105" s="112"/>
      <c r="HC105" s="112"/>
      <c r="HD105" s="115">
        <v>640</v>
      </c>
      <c r="HE105" s="115">
        <v>1</v>
      </c>
      <c r="HF105" s="115">
        <v>1</v>
      </c>
      <c r="HG105" s="115">
        <v>1</v>
      </c>
      <c r="HH105" s="115">
        <v>2</v>
      </c>
      <c r="HI105" s="114">
        <v>29.335013047781878</v>
      </c>
      <c r="HJ105" s="114">
        <v>26.387625113739762</v>
      </c>
      <c r="HK105" s="113">
        <v>24.187256176853055</v>
      </c>
      <c r="HL105" s="112">
        <v>125</v>
      </c>
      <c r="HM105" s="112">
        <v>139</v>
      </c>
      <c r="HN105" s="112">
        <v>174</v>
      </c>
      <c r="HO105" s="112">
        <v>179</v>
      </c>
      <c r="HP105" s="112"/>
      <c r="HQ105" s="112">
        <v>256</v>
      </c>
      <c r="HR105" s="112">
        <v>296</v>
      </c>
      <c r="HS105" s="112">
        <v>305</v>
      </c>
      <c r="HT105" s="112">
        <v>318</v>
      </c>
      <c r="HU105" s="117"/>
    </row>
    <row r="106" spans="1:229" x14ac:dyDescent="0.2">
      <c r="A106" s="121" t="s">
        <v>213</v>
      </c>
      <c r="B106" s="121" t="s">
        <v>213</v>
      </c>
      <c r="C106" s="115">
        <v>47364</v>
      </c>
      <c r="D106" s="115">
        <v>47562</v>
      </c>
      <c r="E106" s="115">
        <v>47485</v>
      </c>
      <c r="F106" s="115">
        <v>46830</v>
      </c>
      <c r="G106" s="99">
        <v>46839</v>
      </c>
      <c r="H106" s="115">
        <v>18225</v>
      </c>
      <c r="I106" s="115">
        <v>18272</v>
      </c>
      <c r="J106" s="115">
        <v>18336</v>
      </c>
      <c r="K106" s="115">
        <v>18379</v>
      </c>
      <c r="L106" s="99">
        <v>18039</v>
      </c>
      <c r="M106" s="122">
        <v>20.347013052208837</v>
      </c>
      <c r="N106" s="122">
        <v>20.653372397063919</v>
      </c>
      <c r="O106" s="122">
        <v>21.12818567001834</v>
      </c>
      <c r="P106" s="122">
        <v>22.139205662603224</v>
      </c>
      <c r="Q106" s="102">
        <v>22.365216246461721</v>
      </c>
      <c r="R106" s="123">
        <v>28.259914658634539</v>
      </c>
      <c r="S106" s="123">
        <v>29.181236808115177</v>
      </c>
      <c r="T106" s="123">
        <v>29.017264276228421</v>
      </c>
      <c r="U106" s="123">
        <v>31.32127408572552</v>
      </c>
      <c r="V106" s="100">
        <v>31.80172470541768</v>
      </c>
      <c r="W106" s="123">
        <v>48.606927710843372</v>
      </c>
      <c r="X106" s="123">
        <v>49.834609205179092</v>
      </c>
      <c r="Y106" s="123">
        <v>50.145449946246757</v>
      </c>
      <c r="Z106" s="123">
        <v>53.460479748328744</v>
      </c>
      <c r="AA106" s="100">
        <v>54.166940951879404</v>
      </c>
      <c r="AB106" s="123">
        <v>4.8597980448163494</v>
      </c>
      <c r="AC106" s="123">
        <v>5.6178858471706583</v>
      </c>
      <c r="AD106" s="123">
        <v>6.4651889855304825</v>
      </c>
      <c r="AE106" s="123">
        <v>9.9548234917842731</v>
      </c>
      <c r="AF106" s="100">
        <v>8.7567965332570221</v>
      </c>
      <c r="AG106" s="115">
        <v>801.41666666666674</v>
      </c>
      <c r="AH106" s="115">
        <v>799.83333333333337</v>
      </c>
      <c r="AI106" s="115">
        <v>886.33333333333326</v>
      </c>
      <c r="AJ106" s="115">
        <v>1117.25</v>
      </c>
      <c r="AK106" s="105">
        <v>1289.0833333333335</v>
      </c>
      <c r="AL106" s="106">
        <v>45982</v>
      </c>
      <c r="AM106" s="106">
        <v>576</v>
      </c>
      <c r="AN106" s="106">
        <v>225</v>
      </c>
      <c r="AO106" s="106">
        <v>268</v>
      </c>
      <c r="AP106" s="106">
        <v>0</v>
      </c>
      <c r="AQ106" s="106">
        <v>1758</v>
      </c>
      <c r="AR106" s="106">
        <v>44376</v>
      </c>
      <c r="AS106" s="106">
        <v>474</v>
      </c>
      <c r="AT106" s="106">
        <v>229</v>
      </c>
      <c r="AU106" s="106">
        <v>299</v>
      </c>
      <c r="AV106" s="106">
        <v>601</v>
      </c>
      <c r="AW106" s="106">
        <v>2429</v>
      </c>
      <c r="AX106" s="107">
        <v>29606.261716477409</v>
      </c>
      <c r="AY106" s="107">
        <v>30809.836205243988</v>
      </c>
      <c r="AZ106" s="107">
        <v>31959.828015006533</v>
      </c>
      <c r="BA106" s="107">
        <v>34743.835818691863</v>
      </c>
      <c r="BB106" s="107">
        <v>34069.9978646167</v>
      </c>
      <c r="BC106" s="124" t="s">
        <v>217</v>
      </c>
      <c r="BD106" s="124" t="s">
        <v>217</v>
      </c>
      <c r="BE106" s="124" t="s">
        <v>217</v>
      </c>
      <c r="BF106" s="124" t="s">
        <v>217</v>
      </c>
      <c r="BG106" s="108" t="s">
        <v>217</v>
      </c>
      <c r="BH106" s="122">
        <v>7.8775088293565334</v>
      </c>
      <c r="BI106" s="122">
        <v>6.7477409002618023</v>
      </c>
      <c r="BJ106" s="122">
        <v>7.5564526302510409</v>
      </c>
      <c r="BK106" s="122">
        <v>7.8319469306096661</v>
      </c>
      <c r="BL106" s="100">
        <v>8.234038009822763</v>
      </c>
      <c r="BM106" s="122">
        <v>9.4077616332536333</v>
      </c>
      <c r="BN106" s="122">
        <v>8.8674828952106584</v>
      </c>
      <c r="BO106" s="122">
        <v>9.3300379556889403</v>
      </c>
      <c r="BP106" s="122">
        <v>9.9427753934191703</v>
      </c>
      <c r="BQ106" s="100">
        <v>11.280856205765579</v>
      </c>
      <c r="BR106" s="115">
        <v>8121</v>
      </c>
      <c r="BS106" s="115">
        <v>7984</v>
      </c>
      <c r="BT106" s="115">
        <v>7956</v>
      </c>
      <c r="BU106" s="110">
        <v>7920</v>
      </c>
      <c r="BV106" s="122">
        <v>28.173870213027953</v>
      </c>
      <c r="BW106" s="122">
        <v>29.070641282565131</v>
      </c>
      <c r="BX106" s="122">
        <v>33.182503770739068</v>
      </c>
      <c r="BY106" s="103">
        <v>33.825757575757578</v>
      </c>
      <c r="BZ106" s="122">
        <v>4.6053441694372612</v>
      </c>
      <c r="CA106" s="122">
        <v>3.0185370741482966</v>
      </c>
      <c r="CB106" s="122">
        <v>4.5500251382604322</v>
      </c>
      <c r="CC106" s="103">
        <v>3.9141414141414139</v>
      </c>
      <c r="CD106" s="122">
        <v>16.746706070680951</v>
      </c>
      <c r="CE106" s="122">
        <v>16.520541082164328</v>
      </c>
      <c r="CF106" s="122">
        <v>15.723981900452488</v>
      </c>
      <c r="CG106" s="103">
        <v>15.113636363636363</v>
      </c>
      <c r="CH106" s="122">
        <v>84.224965706447193</v>
      </c>
      <c r="CI106" s="123">
        <v>82.783357245337157</v>
      </c>
      <c r="CJ106" s="122">
        <v>79.563182527301095</v>
      </c>
      <c r="CK106" s="111">
        <v>85.779816513761475</v>
      </c>
      <c r="CL106" s="112">
        <v>2711</v>
      </c>
      <c r="CM106" s="112">
        <v>2804</v>
      </c>
      <c r="CN106" s="112">
        <v>2948</v>
      </c>
      <c r="CO106" s="112">
        <v>3000</v>
      </c>
      <c r="CP106" s="112"/>
      <c r="CQ106" s="113">
        <v>12.936135287830203</v>
      </c>
      <c r="CR106" s="113">
        <v>12.848240469208211</v>
      </c>
      <c r="CS106" s="113">
        <v>12.811264178001824</v>
      </c>
      <c r="CT106" s="113">
        <v>12.707556760420196</v>
      </c>
      <c r="CU106" s="112"/>
      <c r="CV106" s="114">
        <v>3.9694656488549618</v>
      </c>
      <c r="CW106" s="114">
        <v>3.7923416789396169</v>
      </c>
      <c r="CX106" s="114">
        <v>4.4374563242487772</v>
      </c>
      <c r="CY106" s="114">
        <v>4.3537881384984569</v>
      </c>
      <c r="CZ106" s="112"/>
      <c r="DA106" s="113">
        <v>6.5044062106588338</v>
      </c>
      <c r="DB106" s="113">
        <v>7.1144674085850559</v>
      </c>
      <c r="DC106" s="113">
        <v>7.8000757288905715</v>
      </c>
      <c r="DD106" s="113">
        <v>7.6145795741609525</v>
      </c>
      <c r="DE106" s="112"/>
      <c r="DF106" s="113">
        <v>84.399075500770422</v>
      </c>
      <c r="DG106" s="113">
        <v>85.319712447975789</v>
      </c>
      <c r="DH106" s="113">
        <v>85.482758620689651</v>
      </c>
      <c r="DI106" s="113">
        <v>88.686868686868692</v>
      </c>
      <c r="DJ106" s="112"/>
      <c r="DK106" s="114">
        <v>11.778563015312132</v>
      </c>
      <c r="DL106" s="114">
        <v>14.556256962495357</v>
      </c>
      <c r="DM106" s="114">
        <v>13.567493112947659</v>
      </c>
      <c r="DN106" s="114">
        <v>10.154155495978552</v>
      </c>
      <c r="DO106" s="112"/>
      <c r="DP106" s="113">
        <v>20.967146548541898</v>
      </c>
      <c r="DQ106" s="113">
        <v>24.64336661911555</v>
      </c>
      <c r="DR106" s="113">
        <v>29.647218453188604</v>
      </c>
      <c r="DS106" s="113">
        <v>31.833333333333332</v>
      </c>
      <c r="DT106" s="112"/>
      <c r="DU106" s="115">
        <v>13</v>
      </c>
      <c r="DV106" s="115">
        <v>12</v>
      </c>
      <c r="DW106" s="115">
        <v>11</v>
      </c>
      <c r="DX106" s="115">
        <v>8</v>
      </c>
      <c r="DY106" s="112"/>
      <c r="DZ106" s="116">
        <v>5.4869684499314131</v>
      </c>
      <c r="EA106" s="116">
        <v>5.0215208034433285</v>
      </c>
      <c r="EB106" s="116">
        <v>5.4602184087363499</v>
      </c>
      <c r="EC106" s="116">
        <v>2.90519877675841</v>
      </c>
      <c r="ED106" s="112"/>
      <c r="EE106" s="113">
        <v>89.179755671902271</v>
      </c>
      <c r="EF106" s="113">
        <v>1.2216404886561956</v>
      </c>
      <c r="EG106" s="113">
        <v>0.17452006980802792</v>
      </c>
      <c r="EH106" s="113">
        <v>1.5706806282722514</v>
      </c>
      <c r="EI106" s="113">
        <v>8.2167832167832167</v>
      </c>
      <c r="EJ106" s="113">
        <v>24.91431584497759</v>
      </c>
      <c r="EK106" s="113"/>
      <c r="EL106" s="115">
        <v>1886</v>
      </c>
      <c r="EM106" s="115">
        <v>1950</v>
      </c>
      <c r="EN106" s="115">
        <v>1907</v>
      </c>
      <c r="EO106" s="115">
        <v>1789</v>
      </c>
      <c r="EP106" s="112"/>
      <c r="EQ106" s="114">
        <v>899.94655672621775</v>
      </c>
      <c r="ER106" s="114">
        <v>893.51173020527858</v>
      </c>
      <c r="ES106" s="114">
        <v>828.73408369910044</v>
      </c>
      <c r="ET106" s="114">
        <v>757.79396814639108</v>
      </c>
      <c r="EU106" s="112"/>
      <c r="EV106" s="123">
        <v>760.56</v>
      </c>
      <c r="EW106" s="123">
        <v>728.30600000000004</v>
      </c>
      <c r="EX106" s="123">
        <v>684.56600000000003</v>
      </c>
      <c r="EY106" s="123">
        <v>603.29999999999995</v>
      </c>
      <c r="EZ106" s="112"/>
      <c r="FA106" s="115">
        <v>626</v>
      </c>
      <c r="FB106" s="115">
        <v>560</v>
      </c>
      <c r="FC106" s="115">
        <v>498</v>
      </c>
      <c r="FD106" s="115">
        <v>432</v>
      </c>
      <c r="FE106" s="112"/>
      <c r="FF106" s="115">
        <v>457</v>
      </c>
      <c r="FG106" s="115">
        <v>459</v>
      </c>
      <c r="FH106" s="115">
        <v>468</v>
      </c>
      <c r="FI106" s="115">
        <v>453</v>
      </c>
      <c r="FJ106" s="112"/>
      <c r="FK106" s="115">
        <v>156</v>
      </c>
      <c r="FL106" s="115">
        <v>150</v>
      </c>
      <c r="FM106" s="115">
        <v>128</v>
      </c>
      <c r="FN106" s="115">
        <v>97</v>
      </c>
      <c r="FO106" s="112"/>
      <c r="FP106" s="115">
        <v>89</v>
      </c>
      <c r="FQ106" s="115">
        <v>99</v>
      </c>
      <c r="FR106" s="115">
        <v>87</v>
      </c>
      <c r="FS106" s="115">
        <v>79</v>
      </c>
      <c r="FT106" s="112"/>
      <c r="FU106" s="123">
        <v>245.07500000000002</v>
      </c>
      <c r="FV106" s="123">
        <v>204.07</v>
      </c>
      <c r="FW106" s="123">
        <v>172.07900000000001</v>
      </c>
      <c r="FX106" s="123">
        <v>140.465</v>
      </c>
      <c r="FY106" s="112"/>
      <c r="FZ106" s="123">
        <v>191.12500000000003</v>
      </c>
      <c r="GA106" s="123">
        <v>179.67400000000001</v>
      </c>
      <c r="GB106" s="123">
        <v>180.05500000000001</v>
      </c>
      <c r="GC106" s="123">
        <v>161.005</v>
      </c>
      <c r="GD106" s="112"/>
      <c r="GE106" s="123">
        <v>60.569999999999993</v>
      </c>
      <c r="GF106" s="123">
        <v>51.978999999999999</v>
      </c>
      <c r="GG106" s="123">
        <v>41.804999999999993</v>
      </c>
      <c r="GH106" s="123">
        <v>30.058</v>
      </c>
      <c r="GI106" s="112"/>
      <c r="GJ106" s="123">
        <v>41.230341353610733</v>
      </c>
      <c r="GK106" s="123">
        <v>42.265581734757276</v>
      </c>
      <c r="GL106" s="123">
        <v>35.031952148844304</v>
      </c>
      <c r="GM106" s="123">
        <v>30.820581444828964</v>
      </c>
      <c r="GN106" s="112"/>
      <c r="GO106" s="123">
        <v>930.94100000000003</v>
      </c>
      <c r="GP106" s="123">
        <v>912.56699999999989</v>
      </c>
      <c r="GQ106" s="123">
        <v>837.72199999999998</v>
      </c>
      <c r="GR106" s="123">
        <v>750.875</v>
      </c>
      <c r="GS106" s="112"/>
      <c r="GT106" s="123">
        <v>629.74</v>
      </c>
      <c r="GU106" s="123">
        <v>581.13200000000006</v>
      </c>
      <c r="GV106" s="123">
        <v>562.61300000000006</v>
      </c>
      <c r="GW106" s="123">
        <v>493.10400000000004</v>
      </c>
      <c r="GX106" s="112"/>
      <c r="GY106" s="112"/>
      <c r="GZ106" s="112"/>
      <c r="HA106" s="112"/>
      <c r="HB106" s="112"/>
      <c r="HC106" s="112"/>
      <c r="HD106" s="115">
        <v>356</v>
      </c>
      <c r="HE106" s="115">
        <v>0</v>
      </c>
      <c r="HF106" s="115">
        <v>0</v>
      </c>
      <c r="HG106" s="115">
        <v>1</v>
      </c>
      <c r="HH106" s="115">
        <v>7</v>
      </c>
      <c r="HI106" s="114">
        <v>30.254545454545454</v>
      </c>
      <c r="HJ106" s="114">
        <v>32.027128862094948</v>
      </c>
      <c r="HK106" s="113">
        <v>27.645942097769339</v>
      </c>
      <c r="HL106" s="112">
        <v>104</v>
      </c>
      <c r="HM106" s="112">
        <v>103</v>
      </c>
      <c r="HN106" s="112">
        <v>127</v>
      </c>
      <c r="HO106" s="112">
        <v>127</v>
      </c>
      <c r="HP106" s="112"/>
      <c r="HQ106" s="112">
        <v>155</v>
      </c>
      <c r="HR106" s="112">
        <v>179</v>
      </c>
      <c r="HS106" s="112">
        <v>206</v>
      </c>
      <c r="HT106" s="112">
        <v>211</v>
      </c>
      <c r="HU106" s="117"/>
    </row>
    <row r="107" spans="1:229" x14ac:dyDescent="0.2">
      <c r="A107" s="121" t="s">
        <v>219</v>
      </c>
      <c r="B107" s="121" t="s">
        <v>219</v>
      </c>
      <c r="C107" s="115">
        <v>75810</v>
      </c>
      <c r="D107" s="115">
        <v>75438</v>
      </c>
      <c r="E107" s="115">
        <v>75262</v>
      </c>
      <c r="F107" s="115">
        <v>75018</v>
      </c>
      <c r="G107" s="99">
        <v>75177</v>
      </c>
      <c r="H107" s="115">
        <v>29735</v>
      </c>
      <c r="I107" s="115">
        <v>29942</v>
      </c>
      <c r="J107" s="115">
        <v>29929</v>
      </c>
      <c r="K107" s="115">
        <v>29894</v>
      </c>
      <c r="L107" s="99">
        <v>29849</v>
      </c>
      <c r="M107" s="122">
        <v>22.657960905182904</v>
      </c>
      <c r="N107" s="122">
        <v>22.961171019722006</v>
      </c>
      <c r="O107" s="122">
        <v>23.305067303338411</v>
      </c>
      <c r="P107" s="122">
        <v>24.432736508469596</v>
      </c>
      <c r="Q107" s="102">
        <v>25.133926688319907</v>
      </c>
      <c r="R107" s="123">
        <v>31.064968772812069</v>
      </c>
      <c r="S107" s="123">
        <v>31.694616425437697</v>
      </c>
      <c r="T107" s="123">
        <v>31.599637755732104</v>
      </c>
      <c r="U107" s="123">
        <v>33.03247203039399</v>
      </c>
      <c r="V107" s="100">
        <v>33.420508710507448</v>
      </c>
      <c r="W107" s="123">
        <v>53.722929677994969</v>
      </c>
      <c r="X107" s="123">
        <v>54.655787445159703</v>
      </c>
      <c r="Y107" s="123">
        <v>54.904705059070515</v>
      </c>
      <c r="Z107" s="123">
        <v>57.465208538863585</v>
      </c>
      <c r="AA107" s="100">
        <v>58.554435398827351</v>
      </c>
      <c r="AB107" s="123">
        <v>4.3950275583975564</v>
      </c>
      <c r="AC107" s="123">
        <v>5.3467722582193424</v>
      </c>
      <c r="AD107" s="123">
        <v>6.1970820377900022</v>
      </c>
      <c r="AE107" s="123">
        <v>9.5235814031473804</v>
      </c>
      <c r="AF107" s="100">
        <v>8.6385557066897487</v>
      </c>
      <c r="AG107" s="115">
        <v>1039.1666666666667</v>
      </c>
      <c r="AH107" s="115">
        <v>1084.25</v>
      </c>
      <c r="AI107" s="115">
        <v>1197.8333333333335</v>
      </c>
      <c r="AJ107" s="115">
        <v>1628.6666666666667</v>
      </c>
      <c r="AK107" s="105">
        <v>1969.25</v>
      </c>
      <c r="AL107" s="106">
        <v>74378</v>
      </c>
      <c r="AM107" s="106">
        <v>290</v>
      </c>
      <c r="AN107" s="106">
        <v>195</v>
      </c>
      <c r="AO107" s="106">
        <v>546</v>
      </c>
      <c r="AP107" s="106">
        <v>0</v>
      </c>
      <c r="AQ107" s="106">
        <v>3270</v>
      </c>
      <c r="AR107" s="106">
        <v>72252</v>
      </c>
      <c r="AS107" s="106">
        <v>324</v>
      </c>
      <c r="AT107" s="106">
        <v>175</v>
      </c>
      <c r="AU107" s="106">
        <v>443</v>
      </c>
      <c r="AV107" s="106">
        <v>713</v>
      </c>
      <c r="AW107" s="106">
        <v>3676</v>
      </c>
      <c r="AX107" s="107">
        <v>29986.176106718303</v>
      </c>
      <c r="AY107" s="107">
        <v>31114.796903934028</v>
      </c>
      <c r="AZ107" s="107">
        <v>32281.756237240501</v>
      </c>
      <c r="BA107" s="107">
        <v>34527.15303716655</v>
      </c>
      <c r="BB107" s="107">
        <v>33723.479698205767</v>
      </c>
      <c r="BC107" s="124" t="s">
        <v>217</v>
      </c>
      <c r="BD107" s="124" t="s">
        <v>217</v>
      </c>
      <c r="BE107" s="124" t="s">
        <v>217</v>
      </c>
      <c r="BF107" s="124" t="s">
        <v>217</v>
      </c>
      <c r="BG107" s="108" t="s">
        <v>217</v>
      </c>
      <c r="BH107" s="122">
        <v>7.209124864452388</v>
      </c>
      <c r="BI107" s="122">
        <v>6.9212504946576967</v>
      </c>
      <c r="BJ107" s="122">
        <v>7.603595005169808</v>
      </c>
      <c r="BK107" s="122">
        <v>7.879142196593234</v>
      </c>
      <c r="BL107" s="100">
        <v>8.7285718094324025</v>
      </c>
      <c r="BM107" s="122">
        <v>9.4460419944658458</v>
      </c>
      <c r="BN107" s="122">
        <v>9.1043985161632222</v>
      </c>
      <c r="BO107" s="122">
        <v>9.8364127269839585</v>
      </c>
      <c r="BP107" s="122">
        <v>10.059139784946236</v>
      </c>
      <c r="BQ107" s="100">
        <v>11.377403213062944</v>
      </c>
      <c r="BR107" s="115">
        <v>13900</v>
      </c>
      <c r="BS107" s="115">
        <v>13770</v>
      </c>
      <c r="BT107" s="115">
        <v>11198</v>
      </c>
      <c r="BU107" s="110">
        <v>11130</v>
      </c>
      <c r="BV107" s="122">
        <v>31.194244604316548</v>
      </c>
      <c r="BW107" s="122">
        <v>33.783587509077705</v>
      </c>
      <c r="BX107" s="122">
        <v>36.854795499196285</v>
      </c>
      <c r="BY107" s="103">
        <v>37.37646001796945</v>
      </c>
      <c r="BZ107" s="122">
        <v>3.3381294964028778</v>
      </c>
      <c r="CA107" s="122">
        <v>3.6310820624546114</v>
      </c>
      <c r="CB107" s="122">
        <v>3.5184854438292552</v>
      </c>
      <c r="CC107" s="103">
        <v>4.0161725067385445</v>
      </c>
      <c r="CD107" s="122">
        <v>12.877697841726619</v>
      </c>
      <c r="CE107" s="122">
        <v>13.035584604212055</v>
      </c>
      <c r="CF107" s="122">
        <v>13.939989283800678</v>
      </c>
      <c r="CG107" s="103">
        <v>14.061096136567835</v>
      </c>
      <c r="CH107" s="122">
        <v>81.177606177606179</v>
      </c>
      <c r="CI107" s="123">
        <v>82.954545454545453</v>
      </c>
      <c r="CJ107" s="122">
        <v>83.934088568486104</v>
      </c>
      <c r="CK107" s="111">
        <v>86.839266450916938</v>
      </c>
      <c r="CL107" s="112">
        <v>4417</v>
      </c>
      <c r="CM107" s="112">
        <v>4721</v>
      </c>
      <c r="CN107" s="112">
        <v>5094</v>
      </c>
      <c r="CO107" s="112">
        <v>5036</v>
      </c>
      <c r="CP107" s="112"/>
      <c r="CQ107" s="113">
        <v>12.944613932823989</v>
      </c>
      <c r="CR107" s="113">
        <v>13.341886911894372</v>
      </c>
      <c r="CS107" s="113">
        <v>13.718551553638083</v>
      </c>
      <c r="CT107" s="113">
        <v>13.368550988173769</v>
      </c>
      <c r="CU107" s="112"/>
      <c r="CV107" s="114">
        <v>3.7543453070683661</v>
      </c>
      <c r="CW107" s="114">
        <v>3.6721311475409837</v>
      </c>
      <c r="CX107" s="114">
        <v>4.0371417036737993</v>
      </c>
      <c r="CY107" s="114">
        <v>4.4240570846075435</v>
      </c>
      <c r="CZ107" s="112"/>
      <c r="DA107" s="113">
        <v>7.7528919517597839</v>
      </c>
      <c r="DB107" s="113">
        <v>6.9602921040620718</v>
      </c>
      <c r="DC107" s="113">
        <v>7.918207526647814</v>
      </c>
      <c r="DD107" s="113">
        <v>8.1371889710827165</v>
      </c>
      <c r="DE107" s="112"/>
      <c r="DF107" s="113">
        <v>84.813084112149539</v>
      </c>
      <c r="DG107" s="113">
        <v>85.228758169934636</v>
      </c>
      <c r="DH107" s="113">
        <v>85.61806656101426</v>
      </c>
      <c r="DI107" s="113">
        <v>87.182054876827564</v>
      </c>
      <c r="DJ107" s="112"/>
      <c r="DK107" s="114">
        <v>13.106007886801207</v>
      </c>
      <c r="DL107" s="114">
        <v>12.00258120025812</v>
      </c>
      <c r="DM107" s="114">
        <v>12.589073634204276</v>
      </c>
      <c r="DN107" s="114">
        <v>12.106102911846829</v>
      </c>
      <c r="DO107" s="112"/>
      <c r="DP107" s="113">
        <v>17.21311475409836</v>
      </c>
      <c r="DQ107" s="113">
        <v>22.542372881355931</v>
      </c>
      <c r="DR107" s="113">
        <v>25.309247987433732</v>
      </c>
      <c r="DS107" s="113">
        <v>29.110405083399524</v>
      </c>
      <c r="DT107" s="112"/>
      <c r="DU107" s="115">
        <v>24</v>
      </c>
      <c r="DV107" s="115">
        <v>26</v>
      </c>
      <c r="DW107" s="115">
        <v>23</v>
      </c>
      <c r="DX107" s="115">
        <v>17</v>
      </c>
      <c r="DY107" s="112"/>
      <c r="DZ107" s="116">
        <v>6.8532818532818531</v>
      </c>
      <c r="EA107" s="116">
        <v>4.4421487603305785</v>
      </c>
      <c r="EB107" s="116">
        <v>3.6045314109165809</v>
      </c>
      <c r="EC107" s="116">
        <v>3.667745415318231</v>
      </c>
      <c r="ED107" s="112"/>
      <c r="EE107" s="113">
        <v>93.355481727574755</v>
      </c>
      <c r="EF107" s="113">
        <v>0.22148394241417496</v>
      </c>
      <c r="EG107" s="113">
        <v>0.44296788482834992</v>
      </c>
      <c r="EH107" s="113">
        <v>0.44296788482834992</v>
      </c>
      <c r="EI107" s="113">
        <v>7.6496674057649665</v>
      </c>
      <c r="EJ107" s="113">
        <v>31.114084978253597</v>
      </c>
      <c r="EK107" s="113"/>
      <c r="EL107" s="115">
        <v>3348</v>
      </c>
      <c r="EM107" s="115">
        <v>3368</v>
      </c>
      <c r="EN107" s="115">
        <v>3342</v>
      </c>
      <c r="EO107" s="115">
        <v>3182</v>
      </c>
      <c r="EP107" s="112"/>
      <c r="EQ107" s="114">
        <v>981.17653264873707</v>
      </c>
      <c r="ER107" s="114">
        <v>951.82112093328203</v>
      </c>
      <c r="ES107" s="114">
        <v>900.02746942007207</v>
      </c>
      <c r="ET107" s="114">
        <v>844.69279675077314</v>
      </c>
      <c r="EU107" s="112"/>
      <c r="EV107" s="123">
        <v>785.65300000000002</v>
      </c>
      <c r="EW107" s="123">
        <v>761.15200000000004</v>
      </c>
      <c r="EX107" s="123">
        <v>693.34500000000003</v>
      </c>
      <c r="EY107" s="123">
        <v>639.54099999999994</v>
      </c>
      <c r="EZ107" s="112"/>
      <c r="FA107" s="115">
        <v>1050</v>
      </c>
      <c r="FB107" s="115">
        <v>966</v>
      </c>
      <c r="FC107" s="115">
        <v>824</v>
      </c>
      <c r="FD107" s="115">
        <v>724</v>
      </c>
      <c r="FE107" s="112"/>
      <c r="FF107" s="115">
        <v>731</v>
      </c>
      <c r="FG107" s="115">
        <v>731</v>
      </c>
      <c r="FH107" s="115">
        <v>758</v>
      </c>
      <c r="FI107" s="115">
        <v>741</v>
      </c>
      <c r="FJ107" s="112"/>
      <c r="FK107" s="115">
        <v>349</v>
      </c>
      <c r="FL107" s="115">
        <v>344</v>
      </c>
      <c r="FM107" s="115">
        <v>270</v>
      </c>
      <c r="FN107" s="115">
        <v>199</v>
      </c>
      <c r="FO107" s="112"/>
      <c r="FP107" s="115">
        <v>154</v>
      </c>
      <c r="FQ107" s="115">
        <v>173</v>
      </c>
      <c r="FR107" s="115">
        <v>158</v>
      </c>
      <c r="FS107" s="115">
        <v>184</v>
      </c>
      <c r="FT107" s="112"/>
      <c r="FU107" s="123">
        <v>241.28199999999998</v>
      </c>
      <c r="FV107" s="123">
        <v>210.226</v>
      </c>
      <c r="FW107" s="123">
        <v>162.74200000000002</v>
      </c>
      <c r="FX107" s="123">
        <v>135.20099999999999</v>
      </c>
      <c r="FY107" s="112"/>
      <c r="FZ107" s="123">
        <v>179.88399999999999</v>
      </c>
      <c r="GA107" s="123">
        <v>175.565</v>
      </c>
      <c r="GB107" s="123">
        <v>169.68</v>
      </c>
      <c r="GC107" s="123">
        <v>160.86700000000002</v>
      </c>
      <c r="GD107" s="112"/>
      <c r="GE107" s="123">
        <v>76.31</v>
      </c>
      <c r="GF107" s="123">
        <v>72.730999999999995</v>
      </c>
      <c r="GG107" s="123">
        <v>51.995999999999995</v>
      </c>
      <c r="GH107" s="123">
        <v>37.137</v>
      </c>
      <c r="GI107" s="112"/>
      <c r="GJ107" s="123">
        <v>42.777583140198615</v>
      </c>
      <c r="GK107" s="123">
        <v>45.351121907175383</v>
      </c>
      <c r="GL107" s="123">
        <v>36.983934960242941</v>
      </c>
      <c r="GM107" s="123">
        <v>39.914770743740121</v>
      </c>
      <c r="GN107" s="112"/>
      <c r="GO107" s="123">
        <v>1018.145</v>
      </c>
      <c r="GP107" s="123">
        <v>941.36999999999989</v>
      </c>
      <c r="GQ107" s="123">
        <v>877.73700000000008</v>
      </c>
      <c r="GR107" s="123">
        <v>800.12400000000002</v>
      </c>
      <c r="GS107" s="112"/>
      <c r="GT107" s="123">
        <v>619.01800000000003</v>
      </c>
      <c r="GU107" s="123">
        <v>617.97900000000004</v>
      </c>
      <c r="GV107" s="123">
        <v>553.42599999999993</v>
      </c>
      <c r="GW107" s="123">
        <v>516.57299999999998</v>
      </c>
      <c r="GX107" s="112"/>
      <c r="GY107" s="112"/>
      <c r="GZ107" s="112"/>
      <c r="HA107" s="112"/>
      <c r="HB107" s="112"/>
      <c r="HC107" s="112"/>
      <c r="HD107" s="115">
        <v>669</v>
      </c>
      <c r="HE107" s="115">
        <v>1</v>
      </c>
      <c r="HF107" s="115">
        <v>0</v>
      </c>
      <c r="HG107" s="115">
        <v>3</v>
      </c>
      <c r="HH107" s="115">
        <v>5</v>
      </c>
      <c r="HI107" s="114">
        <v>33.291116337977201</v>
      </c>
      <c r="HJ107" s="114">
        <v>34.103156274056964</v>
      </c>
      <c r="HK107" s="113">
        <v>32.084394325209168</v>
      </c>
      <c r="HL107" s="112">
        <v>162</v>
      </c>
      <c r="HM107" s="112">
        <v>168</v>
      </c>
      <c r="HN107" s="112">
        <v>200</v>
      </c>
      <c r="HO107" s="112">
        <v>217</v>
      </c>
      <c r="HP107" s="112"/>
      <c r="HQ107" s="112">
        <v>315</v>
      </c>
      <c r="HR107" s="112">
        <v>305</v>
      </c>
      <c r="HS107" s="112">
        <v>364</v>
      </c>
      <c r="HT107" s="112">
        <v>363</v>
      </c>
      <c r="HU107" s="117"/>
    </row>
    <row r="108" spans="1:229" x14ac:dyDescent="0.2">
      <c r="A108" s="121" t="s">
        <v>215</v>
      </c>
      <c r="B108" s="121" t="s">
        <v>215</v>
      </c>
      <c r="C108" s="112">
        <v>11922</v>
      </c>
      <c r="D108" s="112">
        <v>11814</v>
      </c>
      <c r="E108" s="112">
        <v>11733</v>
      </c>
      <c r="F108" s="112">
        <v>11480</v>
      </c>
      <c r="G108" s="99">
        <v>12265</v>
      </c>
      <c r="H108" s="112">
        <v>4898</v>
      </c>
      <c r="I108" s="112">
        <v>4893</v>
      </c>
      <c r="J108" s="112">
        <v>4905</v>
      </c>
      <c r="K108" s="112">
        <v>4858</v>
      </c>
      <c r="L108" s="99">
        <v>4882</v>
      </c>
      <c r="M108" s="122">
        <v>32.185025698013611</v>
      </c>
      <c r="N108" s="122">
        <v>31.731429356034599</v>
      </c>
      <c r="O108" s="122">
        <v>32.891022021456806</v>
      </c>
      <c r="P108" s="122">
        <v>33.04682868998222</v>
      </c>
      <c r="Q108" s="102">
        <v>32.119617887304443</v>
      </c>
      <c r="R108" s="123">
        <v>33.421308515071537</v>
      </c>
      <c r="S108" s="123">
        <v>30.481944253741592</v>
      </c>
      <c r="T108" s="123">
        <v>32.735742518351216</v>
      </c>
      <c r="U108" s="123">
        <v>37.077652637818616</v>
      </c>
      <c r="V108" s="100">
        <v>37.685172366052889</v>
      </c>
      <c r="W108" s="123">
        <v>65.606334213085148</v>
      </c>
      <c r="X108" s="123">
        <v>62.213373609776191</v>
      </c>
      <c r="Y108" s="123">
        <v>65.626764539808022</v>
      </c>
      <c r="Z108" s="123">
        <v>70.124481327800837</v>
      </c>
      <c r="AA108" s="100">
        <v>69.804790253357325</v>
      </c>
      <c r="AB108" s="123">
        <v>5.258873331162488</v>
      </c>
      <c r="AC108" s="123">
        <v>5.7530170276078687</v>
      </c>
      <c r="AD108" s="123">
        <v>6.2123241795043533</v>
      </c>
      <c r="AE108" s="123">
        <v>7.2255291005291005</v>
      </c>
      <c r="AF108" s="100">
        <v>7.1065989847715736</v>
      </c>
      <c r="AG108" s="112">
        <v>520.25</v>
      </c>
      <c r="AH108" s="112">
        <v>583.66666666666674</v>
      </c>
      <c r="AI108" s="112">
        <v>619.58333333333337</v>
      </c>
      <c r="AJ108" s="112">
        <v>715.91666666666674</v>
      </c>
      <c r="AK108" s="105">
        <v>868.58333333333326</v>
      </c>
      <c r="AL108" s="106">
        <v>9595</v>
      </c>
      <c r="AM108" s="106">
        <v>24</v>
      </c>
      <c r="AN108" s="106">
        <v>1682</v>
      </c>
      <c r="AO108" s="106">
        <v>35</v>
      </c>
      <c r="AP108" s="106">
        <v>0</v>
      </c>
      <c r="AQ108" s="106">
        <v>340</v>
      </c>
      <c r="AR108" s="106">
        <v>9168</v>
      </c>
      <c r="AS108" s="106">
        <v>24</v>
      </c>
      <c r="AT108" s="106">
        <v>2324</v>
      </c>
      <c r="AU108" s="106">
        <v>29</v>
      </c>
      <c r="AV108" s="106">
        <v>625</v>
      </c>
      <c r="AW108" s="106">
        <v>375</v>
      </c>
      <c r="AX108" s="107">
        <v>29149.534278761432</v>
      </c>
      <c r="AY108" s="107">
        <v>31128.905917411663</v>
      </c>
      <c r="AZ108" s="107">
        <v>33515.450643776821</v>
      </c>
      <c r="BA108" s="107">
        <v>38578.357887481689</v>
      </c>
      <c r="BB108" s="107">
        <v>35095.731707317071</v>
      </c>
      <c r="BC108" s="124" t="s">
        <v>217</v>
      </c>
      <c r="BD108" s="124" t="s">
        <v>217</v>
      </c>
      <c r="BE108" s="124" t="s">
        <v>217</v>
      </c>
      <c r="BF108" s="124" t="s">
        <v>217</v>
      </c>
      <c r="BG108" s="108" t="s">
        <v>217</v>
      </c>
      <c r="BH108" s="122">
        <v>14.088443202367253</v>
      </c>
      <c r="BI108" s="122">
        <v>14.443885254151988</v>
      </c>
      <c r="BJ108" s="122">
        <v>15.37159302522431</v>
      </c>
      <c r="BK108" s="122">
        <v>15.937952782749511</v>
      </c>
      <c r="BL108" s="100">
        <v>16.114982578397214</v>
      </c>
      <c r="BM108" s="122">
        <v>20.875420875420875</v>
      </c>
      <c r="BN108" s="122">
        <v>21.834061135371179</v>
      </c>
      <c r="BO108" s="122">
        <v>23.024178996752074</v>
      </c>
      <c r="BP108" s="122">
        <v>25.360028099754128</v>
      </c>
      <c r="BQ108" s="100">
        <v>26.465771372420569</v>
      </c>
      <c r="BR108" s="112">
        <v>2602</v>
      </c>
      <c r="BS108" s="112">
        <v>2502</v>
      </c>
      <c r="BT108" s="112">
        <v>2479</v>
      </c>
      <c r="BU108" s="110">
        <v>2474</v>
      </c>
      <c r="BV108" s="122">
        <v>53.612605687932358</v>
      </c>
      <c r="BW108" s="122">
        <v>57.474020783373298</v>
      </c>
      <c r="BX108" s="122">
        <v>59.903186768858411</v>
      </c>
      <c r="BY108" s="103">
        <v>60.832659660468877</v>
      </c>
      <c r="BZ108" s="122">
        <v>0.96079938508839358</v>
      </c>
      <c r="CA108" s="122">
        <v>0.79936051159072741</v>
      </c>
      <c r="CB108" s="122">
        <v>0.76643807987091572</v>
      </c>
      <c r="CC108" s="103">
        <v>0.76798706548100237</v>
      </c>
      <c r="CD108" s="122">
        <v>16.60261337432744</v>
      </c>
      <c r="CE108" s="122">
        <v>17.625899280575538</v>
      </c>
      <c r="CF108" s="122">
        <v>17.668414683340057</v>
      </c>
      <c r="CG108" s="103">
        <v>17.259498787388843</v>
      </c>
      <c r="CH108" s="122">
        <v>71.900826446280988</v>
      </c>
      <c r="CI108" s="123">
        <v>74.576271186440678</v>
      </c>
      <c r="CJ108" s="122">
        <v>81.122448979591837</v>
      </c>
      <c r="CK108" s="111">
        <v>71.219512195121951</v>
      </c>
      <c r="CL108" s="112">
        <v>832</v>
      </c>
      <c r="CM108" s="112">
        <v>783</v>
      </c>
      <c r="CN108" s="112">
        <v>801</v>
      </c>
      <c r="CO108" s="112">
        <v>855</v>
      </c>
      <c r="CP108" s="112"/>
      <c r="CQ108" s="113">
        <v>12.922063802690026</v>
      </c>
      <c r="CR108" s="113">
        <v>12.320037762567855</v>
      </c>
      <c r="CS108" s="113">
        <v>13.003668950290594</v>
      </c>
      <c r="CT108" s="113">
        <v>14.439152903029688</v>
      </c>
      <c r="CU108" s="112"/>
      <c r="CV108" s="114">
        <v>5.15970515970516</v>
      </c>
      <c r="CW108" s="114">
        <v>2.6490066225165565</v>
      </c>
      <c r="CX108" s="114">
        <v>3.8860103626943006</v>
      </c>
      <c r="CY108" s="114">
        <v>4.7735618115055081</v>
      </c>
      <c r="CZ108" s="112"/>
      <c r="DA108" s="113">
        <v>8.3650190114068437</v>
      </c>
      <c r="DB108" s="113">
        <v>6.8085106382978724</v>
      </c>
      <c r="DC108" s="113">
        <v>9.8837209302325579</v>
      </c>
      <c r="DD108" s="113">
        <v>10.548523206751055</v>
      </c>
      <c r="DE108" s="112"/>
      <c r="DF108" s="113">
        <v>78.060606060606062</v>
      </c>
      <c r="DG108" s="113">
        <v>80.490956072351423</v>
      </c>
      <c r="DH108" s="113">
        <v>76.106194690265482</v>
      </c>
      <c r="DI108" s="113">
        <v>73.558897243107765</v>
      </c>
      <c r="DJ108" s="112"/>
      <c r="DK108" s="114">
        <v>25.03052503052503</v>
      </c>
      <c r="DL108" s="114">
        <v>29.242819843342037</v>
      </c>
      <c r="DM108" s="114">
        <v>30.50632911392405</v>
      </c>
      <c r="DN108" s="114">
        <v>32.289156626506021</v>
      </c>
      <c r="DO108" s="112"/>
      <c r="DP108" s="113">
        <v>31.490384615384617</v>
      </c>
      <c r="DQ108" s="113">
        <v>36.909323116219667</v>
      </c>
      <c r="DR108" s="113">
        <v>49.438202247191015</v>
      </c>
      <c r="DS108" s="113">
        <v>56.140350877192979</v>
      </c>
      <c r="DT108" s="112"/>
      <c r="DU108" s="115">
        <v>10</v>
      </c>
      <c r="DV108" s="115">
        <v>5</v>
      </c>
      <c r="DW108" s="115">
        <v>4</v>
      </c>
      <c r="DX108" s="115">
        <v>5</v>
      </c>
      <c r="DY108" s="112"/>
      <c r="DZ108" s="116">
        <v>9.9173553719008272</v>
      </c>
      <c r="EA108" s="116">
        <v>7.6271186440677967</v>
      </c>
      <c r="EB108" s="116">
        <v>9.183673469387756</v>
      </c>
      <c r="EC108" s="116">
        <v>8.7804878048780495</v>
      </c>
      <c r="ED108" s="112"/>
      <c r="EE108" s="113">
        <v>47.311827956989248</v>
      </c>
      <c r="EF108" s="113">
        <v>0</v>
      </c>
      <c r="EG108" s="113">
        <v>48.924731182795696</v>
      </c>
      <c r="EH108" s="113">
        <v>1.075268817204301</v>
      </c>
      <c r="EI108" s="113">
        <v>4.838709677419355</v>
      </c>
      <c r="EJ108" s="113">
        <v>60.070671378091873</v>
      </c>
      <c r="EK108" s="113"/>
      <c r="EL108" s="115">
        <v>902</v>
      </c>
      <c r="EM108" s="115">
        <v>788</v>
      </c>
      <c r="EN108" s="115">
        <v>764</v>
      </c>
      <c r="EO108" s="115">
        <v>809</v>
      </c>
      <c r="EP108" s="112"/>
      <c r="EQ108" s="114">
        <v>1400.9256670704813</v>
      </c>
      <c r="ER108" s="114">
        <v>1239.8709778931634</v>
      </c>
      <c r="ES108" s="114">
        <v>1240.3000097405759</v>
      </c>
      <c r="ET108" s="114">
        <v>1366.230958894856</v>
      </c>
      <c r="EU108" s="112"/>
      <c r="EV108" s="123">
        <v>906.63699999999994</v>
      </c>
      <c r="EW108" s="123">
        <v>831.15599999999995</v>
      </c>
      <c r="EX108" s="123">
        <v>804.67200000000003</v>
      </c>
      <c r="EY108" s="123">
        <v>861.06799999999998</v>
      </c>
      <c r="EZ108" s="112"/>
      <c r="FA108" s="112">
        <v>308</v>
      </c>
      <c r="FB108" s="112">
        <v>225</v>
      </c>
      <c r="FC108" s="112">
        <v>185</v>
      </c>
      <c r="FD108" s="112">
        <v>155</v>
      </c>
      <c r="FE108" s="112"/>
      <c r="FF108" s="112">
        <v>198</v>
      </c>
      <c r="FG108" s="112">
        <v>186</v>
      </c>
      <c r="FH108" s="112">
        <v>176</v>
      </c>
      <c r="FI108" s="112">
        <v>183</v>
      </c>
      <c r="FJ108" s="112"/>
      <c r="FK108" s="112">
        <v>79</v>
      </c>
      <c r="FL108" s="112">
        <v>57</v>
      </c>
      <c r="FM108" s="112">
        <v>39</v>
      </c>
      <c r="FN108" s="112">
        <v>39</v>
      </c>
      <c r="FO108" s="112"/>
      <c r="FP108" s="112">
        <v>52</v>
      </c>
      <c r="FQ108" s="112">
        <v>38</v>
      </c>
      <c r="FR108" s="112">
        <v>31</v>
      </c>
      <c r="FS108" s="112">
        <v>42</v>
      </c>
      <c r="FT108" s="112"/>
      <c r="FU108" s="123">
        <v>289.43299999999999</v>
      </c>
      <c r="FV108" s="123">
        <v>219.238</v>
      </c>
      <c r="FW108" s="123">
        <v>177.79900000000001</v>
      </c>
      <c r="FX108" s="123">
        <v>153.452</v>
      </c>
      <c r="FY108" s="112"/>
      <c r="FZ108" s="123">
        <v>206.36</v>
      </c>
      <c r="GA108" s="123">
        <v>202.59299999999999</v>
      </c>
      <c r="GB108" s="123">
        <v>191.97600000000003</v>
      </c>
      <c r="GC108" s="123">
        <v>205.54399999999998</v>
      </c>
      <c r="GD108" s="112"/>
      <c r="GE108" s="123">
        <v>72.608000000000004</v>
      </c>
      <c r="GF108" s="123">
        <v>53.379999999999995</v>
      </c>
      <c r="GG108" s="123">
        <v>35.995000000000005</v>
      </c>
      <c r="GH108" s="123">
        <v>36.506999999999998</v>
      </c>
      <c r="GI108" s="112"/>
      <c r="GJ108" s="123">
        <v>75.534564699609888</v>
      </c>
      <c r="GK108" s="123">
        <v>58.340183915314256</v>
      </c>
      <c r="GL108" s="123">
        <v>52.547036810809594</v>
      </c>
      <c r="GM108" s="123">
        <v>65.064832871016947</v>
      </c>
      <c r="GN108" s="112"/>
      <c r="GO108" s="123">
        <v>1103.0369999999998</v>
      </c>
      <c r="GP108" s="123">
        <v>1092.693</v>
      </c>
      <c r="GQ108" s="123">
        <v>1124.653</v>
      </c>
      <c r="GR108" s="123">
        <v>1043.7450000000001</v>
      </c>
      <c r="GS108" s="112"/>
      <c r="GT108" s="123">
        <v>746.04399999999998</v>
      </c>
      <c r="GU108" s="123">
        <v>611.43299999999999</v>
      </c>
      <c r="GV108" s="123">
        <v>592.94399999999996</v>
      </c>
      <c r="GW108" s="123">
        <v>692.81700000000001</v>
      </c>
      <c r="GX108" s="112"/>
      <c r="GY108" s="112"/>
      <c r="GZ108" s="112"/>
      <c r="HA108" s="112"/>
      <c r="HB108" s="112"/>
      <c r="HC108" s="112"/>
      <c r="HD108" s="115">
        <v>152</v>
      </c>
      <c r="HE108" s="115">
        <v>0</v>
      </c>
      <c r="HF108" s="115">
        <v>22</v>
      </c>
      <c r="HG108" s="115">
        <v>0</v>
      </c>
      <c r="HH108" s="115">
        <v>0</v>
      </c>
      <c r="HI108" s="114">
        <v>47.265987025023172</v>
      </c>
      <c r="HJ108" s="114">
        <v>43.313708999158955</v>
      </c>
      <c r="HK108" s="113">
        <v>44.554455445544555</v>
      </c>
      <c r="HL108" s="112">
        <v>42</v>
      </c>
      <c r="HM108" s="112">
        <v>20</v>
      </c>
      <c r="HN108" s="112">
        <v>30</v>
      </c>
      <c r="HO108" s="112">
        <v>39</v>
      </c>
      <c r="HP108" s="112"/>
      <c r="HQ108" s="112">
        <v>66</v>
      </c>
      <c r="HR108" s="112">
        <v>48</v>
      </c>
      <c r="HS108" s="112">
        <v>68</v>
      </c>
      <c r="HT108" s="112">
        <v>75</v>
      </c>
      <c r="HU108" s="117"/>
    </row>
    <row r="109" spans="1:229" x14ac:dyDescent="0.2">
      <c r="A109" s="121" t="s">
        <v>218</v>
      </c>
      <c r="B109" s="121" t="s">
        <v>218</v>
      </c>
      <c r="C109" s="115">
        <v>70739</v>
      </c>
      <c r="D109" s="115">
        <v>70144</v>
      </c>
      <c r="E109" s="115">
        <v>70121</v>
      </c>
      <c r="F109" s="115">
        <v>70021</v>
      </c>
      <c r="G109" s="99">
        <v>71936</v>
      </c>
      <c r="H109" s="115">
        <v>28117</v>
      </c>
      <c r="I109" s="115">
        <v>28258</v>
      </c>
      <c r="J109" s="115">
        <v>28433</v>
      </c>
      <c r="K109" s="115">
        <v>28509</v>
      </c>
      <c r="L109" s="99">
        <v>28541</v>
      </c>
      <c r="M109" s="122">
        <v>25.693469101123597</v>
      </c>
      <c r="N109" s="122">
        <v>26.229033479607065</v>
      </c>
      <c r="O109" s="122">
        <v>26.65758806983078</v>
      </c>
      <c r="P109" s="122">
        <v>27.90979298999223</v>
      </c>
      <c r="Q109" s="102">
        <v>28.019259061120771</v>
      </c>
      <c r="R109" s="123">
        <v>29.544856039325843</v>
      </c>
      <c r="S109" s="123">
        <v>30.018042902011448</v>
      </c>
      <c r="T109" s="123">
        <v>29.883466535696744</v>
      </c>
      <c r="U109" s="123">
        <v>32.079696568112233</v>
      </c>
      <c r="V109" s="100">
        <v>32.33025723329321</v>
      </c>
      <c r="W109" s="123">
        <v>55.23832514044944</v>
      </c>
      <c r="X109" s="123">
        <v>56.247076381618513</v>
      </c>
      <c r="Y109" s="123">
        <v>56.541054605527528</v>
      </c>
      <c r="Z109" s="123">
        <v>59.989489558104466</v>
      </c>
      <c r="AA109" s="100">
        <v>60.349516294413981</v>
      </c>
      <c r="AB109" s="123">
        <v>5.6618378856574143</v>
      </c>
      <c r="AC109" s="123">
        <v>6.1675835567965054</v>
      </c>
      <c r="AD109" s="123">
        <v>7.2647115200306693</v>
      </c>
      <c r="AE109" s="123">
        <v>10.689866177135713</v>
      </c>
      <c r="AF109" s="100">
        <v>8.9418818191638767</v>
      </c>
      <c r="AG109" s="115">
        <v>1666.9166666666665</v>
      </c>
      <c r="AH109" s="115">
        <v>1734.8333333333333</v>
      </c>
      <c r="AI109" s="115">
        <v>1919.6666666666665</v>
      </c>
      <c r="AJ109" s="115">
        <v>2416.75</v>
      </c>
      <c r="AK109" s="105">
        <v>2807.583333333333</v>
      </c>
      <c r="AL109" s="106">
        <v>69393</v>
      </c>
      <c r="AM109" s="106">
        <v>217</v>
      </c>
      <c r="AN109" s="106">
        <v>362</v>
      </c>
      <c r="AO109" s="106">
        <v>260</v>
      </c>
      <c r="AP109" s="106">
        <v>0</v>
      </c>
      <c r="AQ109" s="106">
        <v>1262</v>
      </c>
      <c r="AR109" s="106">
        <v>69533</v>
      </c>
      <c r="AS109" s="106">
        <v>336</v>
      </c>
      <c r="AT109" s="106">
        <v>218</v>
      </c>
      <c r="AU109" s="106">
        <v>295</v>
      </c>
      <c r="AV109" s="106">
        <v>894</v>
      </c>
      <c r="AW109" s="106">
        <v>1866</v>
      </c>
      <c r="AX109" s="107">
        <v>25483.468710673835</v>
      </c>
      <c r="AY109" s="107">
        <v>26570.482782339539</v>
      </c>
      <c r="AZ109" s="107">
        <v>28358.97728407033</v>
      </c>
      <c r="BA109" s="107">
        <v>30485.500441105323</v>
      </c>
      <c r="BB109" s="107">
        <v>29876.551320318191</v>
      </c>
      <c r="BC109" s="124" t="s">
        <v>217</v>
      </c>
      <c r="BD109" s="124" t="s">
        <v>217</v>
      </c>
      <c r="BE109" s="124" t="s">
        <v>217</v>
      </c>
      <c r="BF109" s="124" t="s">
        <v>217</v>
      </c>
      <c r="BG109" s="108" t="s">
        <v>217</v>
      </c>
      <c r="BH109" s="122">
        <v>11.387248199157023</v>
      </c>
      <c r="BI109" s="122">
        <v>12.49522894018858</v>
      </c>
      <c r="BJ109" s="122">
        <v>12.126482664233576</v>
      </c>
      <c r="BK109" s="122">
        <v>13.854622723577815</v>
      </c>
      <c r="BL109" s="100">
        <v>14.297139429599692</v>
      </c>
      <c r="BM109" s="122">
        <v>15.131307170256713</v>
      </c>
      <c r="BN109" s="122">
        <v>16.150732230027383</v>
      </c>
      <c r="BO109" s="122">
        <v>16.18441589626606</v>
      </c>
      <c r="BP109" s="122">
        <v>17.588428345691018</v>
      </c>
      <c r="BQ109" s="100">
        <v>18.72263412925448</v>
      </c>
      <c r="BR109" s="115">
        <v>12057</v>
      </c>
      <c r="BS109" s="115">
        <v>11953</v>
      </c>
      <c r="BT109" s="115">
        <v>11763</v>
      </c>
      <c r="BU109" s="110">
        <v>11697</v>
      </c>
      <c r="BV109" s="122">
        <v>47.275441652152274</v>
      </c>
      <c r="BW109" s="122">
        <v>48.096712122479715</v>
      </c>
      <c r="BX109" s="122">
        <v>52.002040295842896</v>
      </c>
      <c r="BY109" s="103">
        <v>50.252201419167307</v>
      </c>
      <c r="BZ109" s="122">
        <v>1.9905449116695695</v>
      </c>
      <c r="CA109" s="122">
        <v>1.9994980339663684</v>
      </c>
      <c r="CB109" s="122">
        <v>2.0828020062909123</v>
      </c>
      <c r="CC109" s="103">
        <v>2.197144566982987</v>
      </c>
      <c r="CD109" s="122">
        <v>15.584307870946338</v>
      </c>
      <c r="CE109" s="122">
        <v>15.753367355475612</v>
      </c>
      <c r="CF109" s="122">
        <v>16.033324832100654</v>
      </c>
      <c r="CG109" s="103">
        <v>16.277678037103531</v>
      </c>
      <c r="CH109" s="122">
        <v>76.761744966442947</v>
      </c>
      <c r="CI109" s="123">
        <v>78.87896019496344</v>
      </c>
      <c r="CJ109" s="122">
        <v>77.435897435897431</v>
      </c>
      <c r="CK109" s="111">
        <v>77.479147358665429</v>
      </c>
      <c r="CL109" s="112">
        <v>4223</v>
      </c>
      <c r="CM109" s="112">
        <v>4164</v>
      </c>
      <c r="CN109" s="112">
        <v>4450</v>
      </c>
      <c r="CO109" s="112">
        <v>4750</v>
      </c>
      <c r="CP109" s="112"/>
      <c r="CQ109" s="113">
        <v>12.686863103249376</v>
      </c>
      <c r="CR109" s="113">
        <v>12.219600662041765</v>
      </c>
      <c r="CS109" s="113">
        <v>12.602590752813635</v>
      </c>
      <c r="CT109" s="113">
        <v>13.457577466065656</v>
      </c>
      <c r="CU109" s="112"/>
      <c r="CV109" s="114">
        <v>3.9699830549503754</v>
      </c>
      <c r="CW109" s="114">
        <v>3.7996545768566494</v>
      </c>
      <c r="CX109" s="114">
        <v>5.3654024051803884</v>
      </c>
      <c r="CY109" s="114">
        <v>4.5731707317073171</v>
      </c>
      <c r="CZ109" s="112"/>
      <c r="DA109" s="113">
        <v>6.7822539520652727</v>
      </c>
      <c r="DB109" s="113">
        <v>6.9222851260936693</v>
      </c>
      <c r="DC109" s="113">
        <v>8.3999031711450005</v>
      </c>
      <c r="DD109" s="113">
        <v>8.7775735294117645</v>
      </c>
      <c r="DE109" s="112"/>
      <c r="DF109" s="113">
        <v>84.126213592233015</v>
      </c>
      <c r="DG109" s="113">
        <v>83.366045142296372</v>
      </c>
      <c r="DH109" s="113">
        <v>84.446477584629463</v>
      </c>
      <c r="DI109" s="113">
        <v>82.420872540633013</v>
      </c>
      <c r="DJ109" s="112"/>
      <c r="DK109" s="114">
        <v>23.803769937167715</v>
      </c>
      <c r="DL109" s="114">
        <v>21.790827469060908</v>
      </c>
      <c r="DM109" s="114">
        <v>20.419675090252706</v>
      </c>
      <c r="DN109" s="114">
        <v>18.547533347448656</v>
      </c>
      <c r="DO109" s="112"/>
      <c r="DP109" s="113">
        <v>18.97644927536232</v>
      </c>
      <c r="DQ109" s="113">
        <v>27.761767531219981</v>
      </c>
      <c r="DR109" s="113">
        <v>29.932584269662922</v>
      </c>
      <c r="DS109" s="113">
        <v>32.505263157894738</v>
      </c>
      <c r="DT109" s="112"/>
      <c r="DU109" s="115">
        <v>31</v>
      </c>
      <c r="DV109" s="115">
        <v>19</v>
      </c>
      <c r="DW109" s="115">
        <v>28</v>
      </c>
      <c r="DX109" s="115">
        <v>33</v>
      </c>
      <c r="DY109" s="112"/>
      <c r="DZ109" s="116">
        <v>5.1174496644295306</v>
      </c>
      <c r="EA109" s="116">
        <v>3.6555645816409421</v>
      </c>
      <c r="EB109" s="116">
        <v>3.5897435897435899</v>
      </c>
      <c r="EC109" s="116">
        <v>5.3753475440222429</v>
      </c>
      <c r="ED109" s="112"/>
      <c r="EE109" s="113">
        <v>97.742663656884872</v>
      </c>
      <c r="EF109" s="113">
        <v>0.22573363431151242</v>
      </c>
      <c r="EG109" s="113">
        <v>0.33860045146726864</v>
      </c>
      <c r="EH109" s="113">
        <v>0.56433408577878108</v>
      </c>
      <c r="EI109" s="113">
        <v>6.6059225512528474</v>
      </c>
      <c r="EJ109" s="113">
        <v>31.906811851101544</v>
      </c>
      <c r="EK109" s="113"/>
      <c r="EL109" s="115">
        <v>3515</v>
      </c>
      <c r="EM109" s="115">
        <v>3516</v>
      </c>
      <c r="EN109" s="115">
        <v>3650</v>
      </c>
      <c r="EO109" s="115">
        <v>3427</v>
      </c>
      <c r="EP109" s="112"/>
      <c r="EQ109" s="114">
        <v>1055.9868294558739</v>
      </c>
      <c r="ER109" s="114">
        <v>1031.7991337113076</v>
      </c>
      <c r="ES109" s="114">
        <v>1033.695646017298</v>
      </c>
      <c r="ET109" s="114">
        <v>970.92879949909479</v>
      </c>
      <c r="EU109" s="112"/>
      <c r="EV109" s="123">
        <v>837.44999999999993</v>
      </c>
      <c r="EW109" s="123">
        <v>809.25099999999998</v>
      </c>
      <c r="EX109" s="123">
        <v>773.34999999999991</v>
      </c>
      <c r="EY109" s="123">
        <v>699.18499999999995</v>
      </c>
      <c r="EZ109" s="112"/>
      <c r="FA109" s="115">
        <v>1074</v>
      </c>
      <c r="FB109" s="115">
        <v>924</v>
      </c>
      <c r="FC109" s="115">
        <v>922</v>
      </c>
      <c r="FD109" s="115">
        <v>782</v>
      </c>
      <c r="FE109" s="112"/>
      <c r="FF109" s="115">
        <v>783</v>
      </c>
      <c r="FG109" s="115">
        <v>792</v>
      </c>
      <c r="FH109" s="115">
        <v>841</v>
      </c>
      <c r="FI109" s="115">
        <v>817</v>
      </c>
      <c r="FJ109" s="112"/>
      <c r="FK109" s="115">
        <v>301</v>
      </c>
      <c r="FL109" s="115">
        <v>285</v>
      </c>
      <c r="FM109" s="115">
        <v>254</v>
      </c>
      <c r="FN109" s="115">
        <v>172</v>
      </c>
      <c r="FO109" s="112"/>
      <c r="FP109" s="115">
        <v>151</v>
      </c>
      <c r="FQ109" s="115">
        <v>154</v>
      </c>
      <c r="FR109" s="115">
        <v>182</v>
      </c>
      <c r="FS109" s="115">
        <v>163</v>
      </c>
      <c r="FT109" s="112"/>
      <c r="FU109" s="123">
        <v>250.221</v>
      </c>
      <c r="FV109" s="123">
        <v>208.87700000000001</v>
      </c>
      <c r="FW109" s="123">
        <v>188.976</v>
      </c>
      <c r="FX109" s="123">
        <v>152.18900000000002</v>
      </c>
      <c r="FY109" s="112"/>
      <c r="FZ109" s="123">
        <v>192.77700000000002</v>
      </c>
      <c r="GA109" s="123">
        <v>189.81400000000002</v>
      </c>
      <c r="GB109" s="123">
        <v>185.84700000000001</v>
      </c>
      <c r="GC109" s="123">
        <v>176.02200000000002</v>
      </c>
      <c r="GD109" s="112"/>
      <c r="GE109" s="123">
        <v>67.467999999999989</v>
      </c>
      <c r="GF109" s="123">
        <v>61.310999999999993</v>
      </c>
      <c r="GG109" s="123">
        <v>50.388000000000005</v>
      </c>
      <c r="GH109" s="123">
        <v>32.631999999999998</v>
      </c>
      <c r="GI109" s="112"/>
      <c r="GJ109" s="123">
        <v>43.315641611766708</v>
      </c>
      <c r="GK109" s="123">
        <v>41.959926780371752</v>
      </c>
      <c r="GL109" s="123">
        <v>47.28212971908296</v>
      </c>
      <c r="GM109" s="123">
        <v>40.947606585843609</v>
      </c>
      <c r="GN109" s="112"/>
      <c r="GO109" s="123">
        <v>1056.1239999999998</v>
      </c>
      <c r="GP109" s="123">
        <v>964.77199999999993</v>
      </c>
      <c r="GQ109" s="123">
        <v>955.04399999999987</v>
      </c>
      <c r="GR109" s="123">
        <v>864.49899999999991</v>
      </c>
      <c r="GS109" s="112"/>
      <c r="GT109" s="123">
        <v>661.45899999999995</v>
      </c>
      <c r="GU109" s="123">
        <v>675.56799999999998</v>
      </c>
      <c r="GV109" s="123">
        <v>624.22800000000007</v>
      </c>
      <c r="GW109" s="123">
        <v>560.14</v>
      </c>
      <c r="GX109" s="112"/>
      <c r="GY109" s="112"/>
      <c r="GZ109" s="112"/>
      <c r="HA109" s="112"/>
      <c r="HB109" s="112"/>
      <c r="HC109" s="112"/>
      <c r="HD109" s="115">
        <v>671</v>
      </c>
      <c r="HE109" s="115">
        <v>0</v>
      </c>
      <c r="HF109" s="115">
        <v>2</v>
      </c>
      <c r="HG109" s="115">
        <v>1</v>
      </c>
      <c r="HH109" s="115">
        <v>3</v>
      </c>
      <c r="HI109" s="114">
        <v>38.549955791335101</v>
      </c>
      <c r="HJ109" s="114">
        <v>34.823991539507482</v>
      </c>
      <c r="HK109" s="113">
        <v>31.092194488529795</v>
      </c>
      <c r="HL109" s="112">
        <v>164</v>
      </c>
      <c r="HM109" s="112">
        <v>154</v>
      </c>
      <c r="HN109" s="112">
        <v>232</v>
      </c>
      <c r="HO109" s="112">
        <v>210</v>
      </c>
      <c r="HP109" s="112"/>
      <c r="HQ109" s="112">
        <v>266</v>
      </c>
      <c r="HR109" s="112">
        <v>269</v>
      </c>
      <c r="HS109" s="112">
        <v>347</v>
      </c>
      <c r="HT109" s="112">
        <v>382</v>
      </c>
      <c r="HU109" s="117"/>
    </row>
    <row r="110" spans="1:229" x14ac:dyDescent="0.2">
      <c r="A110" s="121" t="s">
        <v>216</v>
      </c>
      <c r="B110" s="121" t="s">
        <v>216</v>
      </c>
      <c r="C110" s="115">
        <v>32322</v>
      </c>
      <c r="D110" s="115">
        <v>31651</v>
      </c>
      <c r="E110" s="115">
        <v>31354</v>
      </c>
      <c r="F110" s="115">
        <v>31182</v>
      </c>
      <c r="G110" s="99">
        <v>31789</v>
      </c>
      <c r="H110" s="115">
        <v>13388</v>
      </c>
      <c r="I110" s="115">
        <v>13391</v>
      </c>
      <c r="J110" s="115">
        <v>13355</v>
      </c>
      <c r="K110" s="115">
        <v>13281</v>
      </c>
      <c r="L110" s="99">
        <v>13144</v>
      </c>
      <c r="M110" s="122">
        <v>30.255745550625655</v>
      </c>
      <c r="N110" s="122">
        <v>30.274208236365475</v>
      </c>
      <c r="O110" s="122">
        <v>30.394265232974909</v>
      </c>
      <c r="P110" s="122">
        <v>31.648235913638757</v>
      </c>
      <c r="Q110" s="102">
        <v>32.16431827600497</v>
      </c>
      <c r="R110" s="123">
        <v>30.878907223690113</v>
      </c>
      <c r="S110" s="123">
        <v>29.854295254477385</v>
      </c>
      <c r="T110" s="123">
        <v>30.148489503328214</v>
      </c>
      <c r="U110" s="123">
        <v>32.553975776724592</v>
      </c>
      <c r="V110" s="100">
        <v>32.511396601740572</v>
      </c>
      <c r="W110" s="123">
        <v>61.134652774315768</v>
      </c>
      <c r="X110" s="123">
        <v>60.12850349084286</v>
      </c>
      <c r="Y110" s="123">
        <v>60.542754736303124</v>
      </c>
      <c r="Z110" s="123">
        <v>64.202211690363356</v>
      </c>
      <c r="AA110" s="100">
        <v>64.675714877745548</v>
      </c>
      <c r="AB110" s="123">
        <v>4.4909090909090912</v>
      </c>
      <c r="AC110" s="123">
        <v>5.0597538498127115</v>
      </c>
      <c r="AD110" s="123">
        <v>5.5476360180565454</v>
      </c>
      <c r="AE110" s="123">
        <v>7.591122443066582</v>
      </c>
      <c r="AF110" s="100">
        <v>7.1201157742402312</v>
      </c>
      <c r="AG110" s="115">
        <v>628.33333333333326</v>
      </c>
      <c r="AH110" s="115">
        <v>638.91666666666663</v>
      </c>
      <c r="AI110" s="115">
        <v>662.83333333333326</v>
      </c>
      <c r="AJ110" s="115">
        <v>836</v>
      </c>
      <c r="AK110" s="105">
        <v>981.83333333333337</v>
      </c>
      <c r="AL110" s="106">
        <v>30762</v>
      </c>
      <c r="AM110" s="106">
        <v>93</v>
      </c>
      <c r="AN110" s="106">
        <v>721</v>
      </c>
      <c r="AO110" s="106">
        <v>438</v>
      </c>
      <c r="AP110" s="106">
        <v>0</v>
      </c>
      <c r="AQ110" s="106">
        <v>1260</v>
      </c>
      <c r="AR110" s="106">
        <v>29319</v>
      </c>
      <c r="AS110" s="106">
        <v>119</v>
      </c>
      <c r="AT110" s="106">
        <v>887</v>
      </c>
      <c r="AU110" s="106">
        <v>569</v>
      </c>
      <c r="AV110" s="106">
        <v>480</v>
      </c>
      <c r="AW110" s="106">
        <v>1381</v>
      </c>
      <c r="AX110" s="107">
        <v>30884.149176922838</v>
      </c>
      <c r="AY110" s="107">
        <v>32138.394251796315</v>
      </c>
      <c r="AZ110" s="107">
        <v>34382.618012226631</v>
      </c>
      <c r="BA110" s="107">
        <v>40097.220455412797</v>
      </c>
      <c r="BB110" s="107">
        <v>38404.688602398819</v>
      </c>
      <c r="BC110" s="124" t="s">
        <v>217</v>
      </c>
      <c r="BD110" s="124" t="s">
        <v>217</v>
      </c>
      <c r="BE110" s="124" t="s">
        <v>217</v>
      </c>
      <c r="BF110" s="124" t="s">
        <v>217</v>
      </c>
      <c r="BG110" s="108" t="s">
        <v>217</v>
      </c>
      <c r="BH110" s="122">
        <v>9.2821105099993915</v>
      </c>
      <c r="BI110" s="122">
        <v>10.101478868881877</v>
      </c>
      <c r="BJ110" s="122">
        <v>9.0328899560835367</v>
      </c>
      <c r="BK110" s="122">
        <v>10.193276774893155</v>
      </c>
      <c r="BL110" s="100">
        <v>10.124430761336669</v>
      </c>
      <c r="BM110" s="122">
        <v>11.968564802885854</v>
      </c>
      <c r="BN110" s="122">
        <v>13.402462734931952</v>
      </c>
      <c r="BO110" s="122">
        <v>12.547169811320755</v>
      </c>
      <c r="BP110" s="122">
        <v>13.41295991213619</v>
      </c>
      <c r="BQ110" s="100">
        <v>14.127130963393682</v>
      </c>
      <c r="BR110" s="115">
        <v>4261</v>
      </c>
      <c r="BS110" s="115">
        <v>4245</v>
      </c>
      <c r="BT110" s="115">
        <v>4159</v>
      </c>
      <c r="BU110" s="110">
        <v>4013</v>
      </c>
      <c r="BV110" s="122">
        <v>35.954001408120156</v>
      </c>
      <c r="BW110" s="122">
        <v>36.607773851590103</v>
      </c>
      <c r="BX110" s="122">
        <v>38.759317143544123</v>
      </c>
      <c r="BY110" s="103">
        <v>38.97333665586843</v>
      </c>
      <c r="BZ110" s="122">
        <v>5.6559493076742546</v>
      </c>
      <c r="CA110" s="122">
        <v>5.3239104829210833</v>
      </c>
      <c r="CB110" s="122">
        <v>4.6405385910074539</v>
      </c>
      <c r="CC110" s="103">
        <v>4.9838026414153997</v>
      </c>
      <c r="CD110" s="122">
        <v>14.832199014315888</v>
      </c>
      <c r="CE110" s="122">
        <v>15.005889281507656</v>
      </c>
      <c r="CF110" s="122">
        <v>15.027650877614811</v>
      </c>
      <c r="CG110" s="103">
        <v>15.723897333665587</v>
      </c>
      <c r="CH110" s="122">
        <v>87.387387387387392</v>
      </c>
      <c r="CI110" s="123">
        <v>85.681293302540411</v>
      </c>
      <c r="CJ110" s="122">
        <v>86.111111111111114</v>
      </c>
      <c r="CK110" s="111">
        <v>88.043478260869563</v>
      </c>
      <c r="CL110" s="112">
        <v>2086</v>
      </c>
      <c r="CM110" s="112">
        <v>1973</v>
      </c>
      <c r="CN110" s="112">
        <v>1977</v>
      </c>
      <c r="CO110" s="112">
        <v>1979</v>
      </c>
      <c r="CP110" s="112"/>
      <c r="CQ110" s="113">
        <v>12.083367123509854</v>
      </c>
      <c r="CR110" s="113">
        <v>11.724158421725051</v>
      </c>
      <c r="CS110" s="113">
        <v>11.932353154197147</v>
      </c>
      <c r="CT110" s="113">
        <v>12.501737229781805</v>
      </c>
      <c r="CU110" s="112"/>
      <c r="CV110" s="114">
        <v>3.1434184675834969</v>
      </c>
      <c r="CW110" s="114">
        <v>3.6979166666666665</v>
      </c>
      <c r="CX110" s="114">
        <v>4.0125065138092753</v>
      </c>
      <c r="CY110" s="114">
        <v>4.2209484106305366</v>
      </c>
      <c r="CZ110" s="112"/>
      <c r="DA110" s="113">
        <v>6.3829787234042552</v>
      </c>
      <c r="DB110" s="113">
        <v>6.9550930996714131</v>
      </c>
      <c r="DC110" s="113">
        <v>8.601521357519017</v>
      </c>
      <c r="DD110" s="113">
        <v>7.1470075537478213</v>
      </c>
      <c r="DE110" s="112"/>
      <c r="DF110" s="113">
        <v>86.620416253716556</v>
      </c>
      <c r="DG110" s="113">
        <v>86.045286993154292</v>
      </c>
      <c r="DH110" s="113">
        <v>85.401831129196339</v>
      </c>
      <c r="DI110" s="113">
        <v>84.623217922606926</v>
      </c>
      <c r="DJ110" s="112"/>
      <c r="DK110" s="114">
        <v>14.164456233421751</v>
      </c>
      <c r="DL110" s="114">
        <v>14.660493827160494</v>
      </c>
      <c r="DM110" s="114">
        <v>15.60428352881183</v>
      </c>
      <c r="DN110" s="114">
        <v>16.852226720647774</v>
      </c>
      <c r="DO110" s="112"/>
      <c r="DP110" s="113">
        <v>20.038350910834133</v>
      </c>
      <c r="DQ110" s="113">
        <v>24.036511156186613</v>
      </c>
      <c r="DR110" s="113">
        <v>29.185634800202326</v>
      </c>
      <c r="DS110" s="113">
        <v>37.443153107630117</v>
      </c>
      <c r="DT110" s="112"/>
      <c r="DU110" s="115">
        <v>12</v>
      </c>
      <c r="DV110" s="115">
        <v>12</v>
      </c>
      <c r="DW110" s="115">
        <v>7</v>
      </c>
      <c r="DX110" s="115">
        <v>3</v>
      </c>
      <c r="DY110" s="112"/>
      <c r="DZ110" s="116">
        <v>4.2792792792792795</v>
      </c>
      <c r="EA110" s="116">
        <v>5.5427251732101617</v>
      </c>
      <c r="EB110" s="116">
        <v>3.0303030303030303</v>
      </c>
      <c r="EC110" s="116">
        <v>2.9891304347826089</v>
      </c>
      <c r="ED110" s="112"/>
      <c r="EE110" s="113">
        <v>86.458333333333329</v>
      </c>
      <c r="EF110" s="113">
        <v>0.26041666666666669</v>
      </c>
      <c r="EG110" s="113">
        <v>4.166666666666667</v>
      </c>
      <c r="EH110" s="113">
        <v>5.208333333333333</v>
      </c>
      <c r="EI110" s="113">
        <v>9.6605744125326378</v>
      </c>
      <c r="EJ110" s="113">
        <v>34.575489819439106</v>
      </c>
      <c r="EK110" s="113"/>
      <c r="EL110" s="115">
        <v>2176</v>
      </c>
      <c r="EM110" s="115">
        <v>2173</v>
      </c>
      <c r="EN110" s="115">
        <v>2072</v>
      </c>
      <c r="EO110" s="115">
        <v>1945</v>
      </c>
      <c r="EP110" s="112"/>
      <c r="EQ110" s="114">
        <v>1260.4701275530892</v>
      </c>
      <c r="ER110" s="114">
        <v>1291.2618474611522</v>
      </c>
      <c r="ES110" s="114">
        <v>1250.573380652326</v>
      </c>
      <c r="ET110" s="114">
        <v>1228.6952456758772</v>
      </c>
      <c r="EU110" s="112"/>
      <c r="EV110" s="123">
        <v>798.52499999999998</v>
      </c>
      <c r="EW110" s="123">
        <v>813.27799999999991</v>
      </c>
      <c r="EX110" s="123">
        <v>757.71799999999996</v>
      </c>
      <c r="EY110" s="123">
        <v>744.74699999999996</v>
      </c>
      <c r="EZ110" s="112"/>
      <c r="FA110" s="115">
        <v>737</v>
      </c>
      <c r="FB110" s="115">
        <v>638</v>
      </c>
      <c r="FC110" s="115">
        <v>542</v>
      </c>
      <c r="FD110" s="115">
        <v>436</v>
      </c>
      <c r="FE110" s="112"/>
      <c r="FF110" s="115">
        <v>481</v>
      </c>
      <c r="FG110" s="115">
        <v>484</v>
      </c>
      <c r="FH110" s="115">
        <v>465</v>
      </c>
      <c r="FI110" s="115">
        <v>437</v>
      </c>
      <c r="FJ110" s="112"/>
      <c r="FK110" s="115">
        <v>223</v>
      </c>
      <c r="FL110" s="115">
        <v>226</v>
      </c>
      <c r="FM110" s="115">
        <v>161</v>
      </c>
      <c r="FN110" s="115">
        <v>124</v>
      </c>
      <c r="FO110" s="112"/>
      <c r="FP110" s="115">
        <v>94</v>
      </c>
      <c r="FQ110" s="115">
        <v>100</v>
      </c>
      <c r="FR110" s="115">
        <v>97</v>
      </c>
      <c r="FS110" s="115">
        <v>86</v>
      </c>
      <c r="FT110" s="112"/>
      <c r="FU110" s="123">
        <v>253.83600000000001</v>
      </c>
      <c r="FV110" s="123">
        <v>228.15999999999997</v>
      </c>
      <c r="FW110" s="123">
        <v>186.58600000000001</v>
      </c>
      <c r="FX110" s="123">
        <v>154.23000000000002</v>
      </c>
      <c r="FY110" s="112"/>
      <c r="FZ110" s="123">
        <v>186.23099999999999</v>
      </c>
      <c r="GA110" s="123">
        <v>192.01</v>
      </c>
      <c r="GB110" s="123">
        <v>185.435</v>
      </c>
      <c r="GC110" s="123">
        <v>184.50300000000001</v>
      </c>
      <c r="GD110" s="112"/>
      <c r="GE110" s="123">
        <v>73.644000000000005</v>
      </c>
      <c r="GF110" s="123">
        <v>75.829000000000008</v>
      </c>
      <c r="GG110" s="123">
        <v>50.93</v>
      </c>
      <c r="GH110" s="123">
        <v>41.183999999999997</v>
      </c>
      <c r="GI110" s="112"/>
      <c r="GJ110" s="123">
        <v>48.769868718532223</v>
      </c>
      <c r="GK110" s="123">
        <v>54.891370551366322</v>
      </c>
      <c r="GL110" s="123">
        <v>47.179201456524886</v>
      </c>
      <c r="GM110" s="123">
        <v>44.318578841643152</v>
      </c>
      <c r="GN110" s="112"/>
      <c r="GO110" s="123">
        <v>1015.506</v>
      </c>
      <c r="GP110" s="123">
        <v>1048.8689999999999</v>
      </c>
      <c r="GQ110" s="123">
        <v>940.52599999999995</v>
      </c>
      <c r="GR110" s="123">
        <v>908.87999999999988</v>
      </c>
      <c r="GS110" s="112"/>
      <c r="GT110" s="123">
        <v>630.10799999999995</v>
      </c>
      <c r="GU110" s="123">
        <v>625.428</v>
      </c>
      <c r="GV110" s="123">
        <v>611.33899999999994</v>
      </c>
      <c r="GW110" s="123">
        <v>609.20799999999997</v>
      </c>
      <c r="GX110" s="112"/>
      <c r="GY110" s="112"/>
      <c r="GZ110" s="112"/>
      <c r="HA110" s="112"/>
      <c r="HB110" s="112"/>
      <c r="HC110" s="112"/>
      <c r="HD110" s="115">
        <v>381</v>
      </c>
      <c r="HE110" s="115">
        <v>2</v>
      </c>
      <c r="HF110" s="115">
        <v>11</v>
      </c>
      <c r="HG110" s="115">
        <v>2</v>
      </c>
      <c r="HH110" s="115">
        <v>1</v>
      </c>
      <c r="HI110" s="114">
        <v>34.639409426462237</v>
      </c>
      <c r="HJ110" s="114">
        <v>34.541723666210672</v>
      </c>
      <c r="HK110" s="113">
        <v>27.081398947694211</v>
      </c>
      <c r="HL110" s="112">
        <v>64</v>
      </c>
      <c r="HM110" s="112">
        <v>71</v>
      </c>
      <c r="HN110" s="112">
        <v>77</v>
      </c>
      <c r="HO110" s="112">
        <v>81</v>
      </c>
      <c r="HP110" s="112"/>
      <c r="HQ110" s="112">
        <v>123</v>
      </c>
      <c r="HR110" s="112">
        <v>127</v>
      </c>
      <c r="HS110" s="112">
        <v>147</v>
      </c>
      <c r="HT110" s="112">
        <v>123</v>
      </c>
      <c r="HU110" s="117"/>
    </row>
    <row r="111" spans="1:229" x14ac:dyDescent="0.2">
      <c r="B111" s="127" t="s">
        <v>244</v>
      </c>
      <c r="C111" s="128" t="s">
        <v>285</v>
      </c>
      <c r="D111" s="128" t="s">
        <v>285</v>
      </c>
      <c r="E111" s="128" t="s">
        <v>285</v>
      </c>
      <c r="F111" s="128" t="s">
        <v>285</v>
      </c>
      <c r="G111" s="128" t="s">
        <v>285</v>
      </c>
      <c r="H111" s="128" t="s">
        <v>285</v>
      </c>
      <c r="I111" s="128" t="s">
        <v>285</v>
      </c>
      <c r="J111" s="128" t="s">
        <v>285</v>
      </c>
      <c r="K111" s="128" t="s">
        <v>285</v>
      </c>
      <c r="L111" s="128" t="s">
        <v>285</v>
      </c>
      <c r="M111" s="128" t="s">
        <v>285</v>
      </c>
      <c r="N111" s="128" t="s">
        <v>285</v>
      </c>
      <c r="O111" s="128" t="s">
        <v>285</v>
      </c>
      <c r="P111" s="128" t="s">
        <v>285</v>
      </c>
      <c r="Q111" s="128" t="s">
        <v>285</v>
      </c>
      <c r="R111" s="128" t="s">
        <v>285</v>
      </c>
      <c r="S111" s="128" t="s">
        <v>285</v>
      </c>
      <c r="T111" s="128" t="s">
        <v>285</v>
      </c>
      <c r="U111" s="128" t="s">
        <v>285</v>
      </c>
      <c r="V111" s="128" t="s">
        <v>285</v>
      </c>
      <c r="W111" s="128" t="s">
        <v>285</v>
      </c>
      <c r="X111" s="128" t="s">
        <v>285</v>
      </c>
      <c r="Y111" s="128" t="s">
        <v>285</v>
      </c>
      <c r="Z111" s="128" t="s">
        <v>285</v>
      </c>
      <c r="AA111" s="128" t="s">
        <v>285</v>
      </c>
      <c r="AB111" s="128" t="s">
        <v>285</v>
      </c>
      <c r="AC111" s="128" t="s">
        <v>285</v>
      </c>
      <c r="AD111" s="128" t="s">
        <v>285</v>
      </c>
      <c r="AE111" s="128" t="s">
        <v>285</v>
      </c>
      <c r="AF111" s="128" t="s">
        <v>285</v>
      </c>
      <c r="AG111" s="128" t="s">
        <v>285</v>
      </c>
      <c r="AH111" s="128" t="s">
        <v>285</v>
      </c>
      <c r="AI111" s="128" t="s">
        <v>285</v>
      </c>
      <c r="AJ111" s="128" t="s">
        <v>285</v>
      </c>
      <c r="AK111" s="128" t="s">
        <v>285</v>
      </c>
      <c r="AL111" s="128" t="s">
        <v>285</v>
      </c>
      <c r="AM111" s="128" t="s">
        <v>285</v>
      </c>
      <c r="AN111" s="128" t="s">
        <v>285</v>
      </c>
      <c r="AO111" s="128" t="s">
        <v>285</v>
      </c>
      <c r="AP111" s="128" t="s">
        <v>285</v>
      </c>
      <c r="AQ111" s="128" t="s">
        <v>285</v>
      </c>
      <c r="AR111" s="128" t="s">
        <v>285</v>
      </c>
      <c r="AS111" s="128" t="s">
        <v>285</v>
      </c>
      <c r="AT111" s="128" t="s">
        <v>285</v>
      </c>
      <c r="AU111" s="128" t="s">
        <v>285</v>
      </c>
      <c r="AV111" s="128" t="s">
        <v>285</v>
      </c>
      <c r="AW111" s="128" t="s">
        <v>285</v>
      </c>
      <c r="AX111" s="128" t="s">
        <v>285</v>
      </c>
      <c r="AY111" s="128" t="s">
        <v>285</v>
      </c>
      <c r="AZ111" s="128" t="s">
        <v>285</v>
      </c>
      <c r="BA111" s="128" t="s">
        <v>285</v>
      </c>
      <c r="BB111" s="128" t="s">
        <v>285</v>
      </c>
      <c r="BC111" s="128" t="s">
        <v>285</v>
      </c>
      <c r="BD111" s="128" t="s">
        <v>285</v>
      </c>
      <c r="BE111" s="128" t="s">
        <v>285</v>
      </c>
      <c r="BF111" s="128" t="s">
        <v>285</v>
      </c>
      <c r="BG111" s="128" t="s">
        <v>285</v>
      </c>
      <c r="BH111" s="128" t="s">
        <v>285</v>
      </c>
      <c r="BI111" s="128" t="s">
        <v>285</v>
      </c>
      <c r="BJ111" s="128" t="s">
        <v>285</v>
      </c>
      <c r="BK111" s="128" t="s">
        <v>285</v>
      </c>
      <c r="BL111" s="128" t="s">
        <v>285</v>
      </c>
      <c r="BM111" s="128" t="s">
        <v>285</v>
      </c>
      <c r="BN111" s="128" t="s">
        <v>285</v>
      </c>
      <c r="BO111" s="128" t="s">
        <v>285</v>
      </c>
      <c r="BP111" s="128" t="s">
        <v>285</v>
      </c>
      <c r="BQ111" s="128" t="s">
        <v>285</v>
      </c>
      <c r="BR111" s="128" t="s">
        <v>285</v>
      </c>
      <c r="BS111" s="128" t="s">
        <v>285</v>
      </c>
      <c r="BT111" s="128" t="s">
        <v>285</v>
      </c>
      <c r="BU111" s="128" t="s">
        <v>285</v>
      </c>
      <c r="BV111" s="128" t="s">
        <v>285</v>
      </c>
      <c r="BW111" s="128" t="s">
        <v>285</v>
      </c>
      <c r="BX111" s="128" t="s">
        <v>285</v>
      </c>
      <c r="BY111" s="128" t="s">
        <v>285</v>
      </c>
      <c r="BZ111" s="128" t="s">
        <v>285</v>
      </c>
      <c r="CA111" s="128" t="s">
        <v>285</v>
      </c>
      <c r="CB111" s="128" t="s">
        <v>285</v>
      </c>
      <c r="CC111" s="128" t="s">
        <v>285</v>
      </c>
      <c r="CD111" s="128" t="s">
        <v>285</v>
      </c>
      <c r="CE111" s="128" t="s">
        <v>285</v>
      </c>
      <c r="CF111" s="128" t="s">
        <v>285</v>
      </c>
      <c r="CG111" s="128" t="s">
        <v>285</v>
      </c>
      <c r="CH111" s="128" t="s">
        <v>285</v>
      </c>
      <c r="CI111" s="128" t="s">
        <v>285</v>
      </c>
      <c r="CJ111" s="128" t="s">
        <v>285</v>
      </c>
      <c r="CK111" s="128" t="s">
        <v>285</v>
      </c>
      <c r="CL111" s="128" t="s">
        <v>285</v>
      </c>
      <c r="CM111" s="128" t="s">
        <v>285</v>
      </c>
      <c r="CN111" s="128" t="s">
        <v>285</v>
      </c>
      <c r="CO111" s="128" t="s">
        <v>285</v>
      </c>
      <c r="CP111" s="128" t="s">
        <v>285</v>
      </c>
      <c r="CQ111" s="128" t="s">
        <v>285</v>
      </c>
      <c r="CR111" s="128" t="s">
        <v>285</v>
      </c>
      <c r="CS111" s="128" t="s">
        <v>285</v>
      </c>
      <c r="CT111" s="128" t="s">
        <v>285</v>
      </c>
      <c r="CU111" s="128" t="s">
        <v>285</v>
      </c>
      <c r="CV111" s="128" t="s">
        <v>285</v>
      </c>
      <c r="CW111" s="128" t="s">
        <v>285</v>
      </c>
      <c r="CX111" s="128" t="s">
        <v>285</v>
      </c>
      <c r="CY111" s="128" t="s">
        <v>285</v>
      </c>
      <c r="CZ111" s="128" t="s">
        <v>285</v>
      </c>
      <c r="DA111" s="128" t="s">
        <v>285</v>
      </c>
      <c r="DB111" s="128" t="s">
        <v>285</v>
      </c>
      <c r="DC111" s="128" t="s">
        <v>285</v>
      </c>
      <c r="DD111" s="128" t="s">
        <v>285</v>
      </c>
      <c r="DE111" s="128" t="s">
        <v>285</v>
      </c>
      <c r="DF111" s="128" t="s">
        <v>285</v>
      </c>
      <c r="DG111" s="128" t="s">
        <v>285</v>
      </c>
      <c r="DH111" s="128" t="s">
        <v>285</v>
      </c>
      <c r="DI111" s="128" t="s">
        <v>285</v>
      </c>
      <c r="DJ111" s="128" t="s">
        <v>285</v>
      </c>
      <c r="DK111" s="128" t="s">
        <v>285</v>
      </c>
      <c r="DL111" s="128" t="s">
        <v>285</v>
      </c>
      <c r="DM111" s="128" t="s">
        <v>285</v>
      </c>
      <c r="DN111" s="128" t="s">
        <v>285</v>
      </c>
      <c r="DO111" s="128" t="s">
        <v>285</v>
      </c>
      <c r="DP111" s="128" t="s">
        <v>285</v>
      </c>
      <c r="DQ111" s="128" t="s">
        <v>285</v>
      </c>
      <c r="DR111" s="128" t="s">
        <v>285</v>
      </c>
      <c r="DS111" s="128" t="s">
        <v>285</v>
      </c>
      <c r="DT111" s="128" t="s">
        <v>285</v>
      </c>
      <c r="DU111" s="128" t="s">
        <v>285</v>
      </c>
      <c r="DV111" s="128" t="s">
        <v>285</v>
      </c>
      <c r="DW111" s="128" t="s">
        <v>285</v>
      </c>
      <c r="DX111" s="128" t="s">
        <v>285</v>
      </c>
      <c r="DY111" s="128" t="s">
        <v>285</v>
      </c>
      <c r="DZ111" s="128" t="s">
        <v>285</v>
      </c>
      <c r="EA111" s="128" t="s">
        <v>285</v>
      </c>
      <c r="EB111" s="128" t="s">
        <v>285</v>
      </c>
      <c r="EC111" s="128" t="s">
        <v>285</v>
      </c>
      <c r="ED111" s="128" t="s">
        <v>285</v>
      </c>
      <c r="EE111" s="128" t="s">
        <v>285</v>
      </c>
      <c r="EF111" s="128" t="s">
        <v>285</v>
      </c>
      <c r="EG111" s="128" t="s">
        <v>285</v>
      </c>
      <c r="EH111" s="128" t="s">
        <v>285</v>
      </c>
      <c r="EI111" s="128" t="s">
        <v>285</v>
      </c>
      <c r="EJ111" s="128" t="s">
        <v>285</v>
      </c>
      <c r="EK111" s="128" t="s">
        <v>285</v>
      </c>
      <c r="EL111" s="128" t="s">
        <v>285</v>
      </c>
      <c r="EM111" s="128" t="s">
        <v>285</v>
      </c>
      <c r="EN111" s="128" t="s">
        <v>285</v>
      </c>
      <c r="EO111" s="128" t="s">
        <v>285</v>
      </c>
      <c r="EP111" s="128" t="s">
        <v>285</v>
      </c>
      <c r="EQ111" s="128" t="s">
        <v>285</v>
      </c>
      <c r="ER111" s="128" t="s">
        <v>285</v>
      </c>
      <c r="ES111" s="128" t="s">
        <v>285</v>
      </c>
      <c r="ET111" s="128" t="s">
        <v>285</v>
      </c>
      <c r="EU111" s="128" t="s">
        <v>285</v>
      </c>
      <c r="EV111" s="128" t="s">
        <v>285</v>
      </c>
      <c r="EW111" s="128" t="s">
        <v>285</v>
      </c>
      <c r="EX111" s="128" t="s">
        <v>285</v>
      </c>
      <c r="EY111" s="128" t="s">
        <v>285</v>
      </c>
      <c r="EZ111" s="128" t="s">
        <v>285</v>
      </c>
      <c r="FA111" s="128" t="s">
        <v>285</v>
      </c>
      <c r="FB111" s="128" t="s">
        <v>285</v>
      </c>
      <c r="FC111" s="128" t="s">
        <v>285</v>
      </c>
      <c r="FD111" s="128" t="s">
        <v>285</v>
      </c>
      <c r="FE111" s="128" t="s">
        <v>285</v>
      </c>
      <c r="FF111" s="128" t="s">
        <v>285</v>
      </c>
      <c r="FG111" s="128" t="s">
        <v>285</v>
      </c>
      <c r="FH111" s="128" t="s">
        <v>285</v>
      </c>
      <c r="FI111" s="128" t="s">
        <v>285</v>
      </c>
      <c r="FJ111" s="128" t="s">
        <v>285</v>
      </c>
      <c r="FK111" s="128" t="s">
        <v>285</v>
      </c>
      <c r="FL111" s="128" t="s">
        <v>285</v>
      </c>
      <c r="FM111" s="128" t="s">
        <v>285</v>
      </c>
      <c r="FN111" s="128" t="s">
        <v>285</v>
      </c>
      <c r="FO111" s="128" t="s">
        <v>285</v>
      </c>
      <c r="FP111" s="128" t="s">
        <v>285</v>
      </c>
      <c r="FQ111" s="128" t="s">
        <v>285</v>
      </c>
      <c r="FR111" s="128" t="s">
        <v>285</v>
      </c>
      <c r="FS111" s="128" t="s">
        <v>285</v>
      </c>
      <c r="FT111" s="128" t="s">
        <v>285</v>
      </c>
      <c r="FU111" s="128" t="s">
        <v>285</v>
      </c>
      <c r="FV111" s="128" t="s">
        <v>285</v>
      </c>
      <c r="FW111" s="128" t="s">
        <v>285</v>
      </c>
      <c r="FX111" s="128" t="s">
        <v>285</v>
      </c>
      <c r="FY111" s="128" t="s">
        <v>285</v>
      </c>
      <c r="FZ111" s="128" t="s">
        <v>285</v>
      </c>
      <c r="GA111" s="128" t="s">
        <v>285</v>
      </c>
      <c r="GB111" s="128" t="s">
        <v>285</v>
      </c>
      <c r="GC111" s="128" t="s">
        <v>285</v>
      </c>
      <c r="GD111" s="128" t="s">
        <v>285</v>
      </c>
      <c r="GE111" s="128" t="s">
        <v>285</v>
      </c>
      <c r="GF111" s="128" t="s">
        <v>285</v>
      </c>
      <c r="GG111" s="128" t="s">
        <v>285</v>
      </c>
      <c r="GH111" s="128" t="s">
        <v>285</v>
      </c>
      <c r="GI111" s="128" t="s">
        <v>285</v>
      </c>
      <c r="GJ111" s="128" t="s">
        <v>285</v>
      </c>
      <c r="GK111" s="128" t="s">
        <v>285</v>
      </c>
      <c r="GL111" s="128" t="s">
        <v>285</v>
      </c>
      <c r="GM111" s="128" t="s">
        <v>285</v>
      </c>
      <c r="GN111" s="128" t="s">
        <v>285</v>
      </c>
      <c r="GO111" s="128" t="s">
        <v>285</v>
      </c>
      <c r="GP111" s="128" t="s">
        <v>285</v>
      </c>
      <c r="GQ111" s="128" t="s">
        <v>285</v>
      </c>
      <c r="GR111" s="128" t="s">
        <v>285</v>
      </c>
      <c r="GS111" s="128" t="s">
        <v>285</v>
      </c>
      <c r="GT111" s="128" t="s">
        <v>285</v>
      </c>
      <c r="GU111" s="128" t="s">
        <v>285</v>
      </c>
      <c r="GV111" s="128" t="s">
        <v>285</v>
      </c>
      <c r="GW111" s="128" t="s">
        <v>285</v>
      </c>
      <c r="GX111" s="128" t="s">
        <v>285</v>
      </c>
      <c r="GY111" s="128" t="s">
        <v>285</v>
      </c>
      <c r="GZ111" s="128" t="s">
        <v>285</v>
      </c>
      <c r="HA111" s="128" t="s">
        <v>285</v>
      </c>
      <c r="HB111" s="128" t="s">
        <v>285</v>
      </c>
      <c r="HC111" s="128" t="s">
        <v>285</v>
      </c>
      <c r="HD111" s="128" t="s">
        <v>285</v>
      </c>
      <c r="HE111" s="128" t="s">
        <v>285</v>
      </c>
      <c r="HF111" s="128" t="s">
        <v>285</v>
      </c>
      <c r="HG111" s="128" t="s">
        <v>285</v>
      </c>
      <c r="HH111" s="128" t="s">
        <v>285</v>
      </c>
      <c r="HI111" s="128" t="s">
        <v>285</v>
      </c>
      <c r="HJ111" s="128" t="s">
        <v>285</v>
      </c>
      <c r="HK111" s="128" t="s">
        <v>285</v>
      </c>
      <c r="HL111" s="128" t="s">
        <v>285</v>
      </c>
      <c r="HM111" s="128" t="s">
        <v>285</v>
      </c>
      <c r="HN111" s="128" t="s">
        <v>285</v>
      </c>
      <c r="HO111" s="128" t="s">
        <v>285</v>
      </c>
      <c r="HP111" s="128" t="s">
        <v>285</v>
      </c>
      <c r="HQ111" s="128" t="s">
        <v>285</v>
      </c>
      <c r="HR111" s="128" t="s">
        <v>285</v>
      </c>
      <c r="HS111" s="128" t="s">
        <v>285</v>
      </c>
      <c r="HT111" s="128" t="s">
        <v>285</v>
      </c>
      <c r="HU111" s="117"/>
    </row>
    <row r="112" spans="1:229" x14ac:dyDescent="0.2">
      <c r="B112" s="127" t="s">
        <v>244</v>
      </c>
      <c r="C112" s="128" t="s">
        <v>285</v>
      </c>
      <c r="D112" s="128" t="s">
        <v>285</v>
      </c>
      <c r="E112" s="128" t="s">
        <v>285</v>
      </c>
      <c r="F112" s="128" t="s">
        <v>285</v>
      </c>
      <c r="G112" s="128" t="s">
        <v>285</v>
      </c>
      <c r="H112" s="128" t="s">
        <v>285</v>
      </c>
      <c r="I112" s="128" t="s">
        <v>285</v>
      </c>
      <c r="J112" s="128" t="s">
        <v>285</v>
      </c>
      <c r="K112" s="128" t="s">
        <v>285</v>
      </c>
      <c r="L112" s="128" t="s">
        <v>285</v>
      </c>
      <c r="M112" s="128" t="s">
        <v>285</v>
      </c>
      <c r="N112" s="128" t="s">
        <v>285</v>
      </c>
      <c r="O112" s="128" t="s">
        <v>285</v>
      </c>
      <c r="P112" s="128" t="s">
        <v>285</v>
      </c>
      <c r="Q112" s="128" t="s">
        <v>285</v>
      </c>
      <c r="R112" s="128" t="s">
        <v>285</v>
      </c>
      <c r="S112" s="128" t="s">
        <v>285</v>
      </c>
      <c r="T112" s="128" t="s">
        <v>285</v>
      </c>
      <c r="U112" s="128" t="s">
        <v>285</v>
      </c>
      <c r="V112" s="128" t="s">
        <v>285</v>
      </c>
      <c r="W112" s="128" t="s">
        <v>285</v>
      </c>
      <c r="X112" s="128" t="s">
        <v>285</v>
      </c>
      <c r="Y112" s="128" t="s">
        <v>285</v>
      </c>
      <c r="Z112" s="128" t="s">
        <v>285</v>
      </c>
      <c r="AA112" s="128" t="s">
        <v>285</v>
      </c>
      <c r="AB112" s="128" t="s">
        <v>285</v>
      </c>
      <c r="AC112" s="128" t="s">
        <v>285</v>
      </c>
      <c r="AD112" s="128" t="s">
        <v>285</v>
      </c>
      <c r="AE112" s="128" t="s">
        <v>285</v>
      </c>
      <c r="AF112" s="128" t="s">
        <v>285</v>
      </c>
      <c r="AG112" s="128" t="s">
        <v>285</v>
      </c>
      <c r="AH112" s="128" t="s">
        <v>285</v>
      </c>
      <c r="AI112" s="128" t="s">
        <v>285</v>
      </c>
      <c r="AJ112" s="128" t="s">
        <v>285</v>
      </c>
      <c r="AK112" s="128" t="s">
        <v>285</v>
      </c>
      <c r="AL112" s="128" t="s">
        <v>285</v>
      </c>
      <c r="AM112" s="128" t="s">
        <v>285</v>
      </c>
      <c r="AN112" s="128" t="s">
        <v>285</v>
      </c>
      <c r="AO112" s="128" t="s">
        <v>285</v>
      </c>
      <c r="AP112" s="128" t="s">
        <v>285</v>
      </c>
      <c r="AQ112" s="128" t="s">
        <v>285</v>
      </c>
      <c r="AR112" s="128" t="s">
        <v>285</v>
      </c>
      <c r="AS112" s="128" t="s">
        <v>285</v>
      </c>
      <c r="AT112" s="128" t="s">
        <v>285</v>
      </c>
      <c r="AU112" s="128" t="s">
        <v>285</v>
      </c>
      <c r="AV112" s="128" t="s">
        <v>285</v>
      </c>
      <c r="AW112" s="128" t="s">
        <v>285</v>
      </c>
      <c r="AX112" s="128" t="s">
        <v>285</v>
      </c>
      <c r="AY112" s="128" t="s">
        <v>285</v>
      </c>
      <c r="AZ112" s="128" t="s">
        <v>285</v>
      </c>
      <c r="BA112" s="128" t="s">
        <v>285</v>
      </c>
      <c r="BB112" s="128" t="s">
        <v>285</v>
      </c>
      <c r="BC112" s="128" t="s">
        <v>285</v>
      </c>
      <c r="BD112" s="128" t="s">
        <v>285</v>
      </c>
      <c r="BE112" s="128" t="s">
        <v>285</v>
      </c>
      <c r="BF112" s="128" t="s">
        <v>285</v>
      </c>
      <c r="BG112" s="128" t="s">
        <v>285</v>
      </c>
      <c r="BH112" s="128" t="s">
        <v>285</v>
      </c>
      <c r="BI112" s="128" t="s">
        <v>285</v>
      </c>
      <c r="BJ112" s="128" t="s">
        <v>285</v>
      </c>
      <c r="BK112" s="128" t="s">
        <v>285</v>
      </c>
      <c r="BL112" s="128" t="s">
        <v>285</v>
      </c>
      <c r="BM112" s="128" t="s">
        <v>285</v>
      </c>
      <c r="BN112" s="128" t="s">
        <v>285</v>
      </c>
      <c r="BO112" s="128" t="s">
        <v>285</v>
      </c>
      <c r="BP112" s="128" t="s">
        <v>285</v>
      </c>
      <c r="BQ112" s="128" t="s">
        <v>285</v>
      </c>
      <c r="BR112" s="128" t="s">
        <v>285</v>
      </c>
      <c r="BS112" s="128" t="s">
        <v>285</v>
      </c>
      <c r="BT112" s="128" t="s">
        <v>285</v>
      </c>
      <c r="BU112" s="128" t="s">
        <v>285</v>
      </c>
      <c r="BV112" s="128" t="s">
        <v>285</v>
      </c>
      <c r="BW112" s="128" t="s">
        <v>285</v>
      </c>
      <c r="BX112" s="128" t="s">
        <v>285</v>
      </c>
      <c r="BY112" s="128" t="s">
        <v>285</v>
      </c>
      <c r="BZ112" s="128" t="s">
        <v>285</v>
      </c>
      <c r="CA112" s="128" t="s">
        <v>285</v>
      </c>
      <c r="CB112" s="128" t="s">
        <v>285</v>
      </c>
      <c r="CC112" s="128" t="s">
        <v>285</v>
      </c>
      <c r="CD112" s="128" t="s">
        <v>285</v>
      </c>
      <c r="CE112" s="128" t="s">
        <v>285</v>
      </c>
      <c r="CF112" s="128" t="s">
        <v>285</v>
      </c>
      <c r="CG112" s="128" t="s">
        <v>285</v>
      </c>
      <c r="CH112" s="128" t="s">
        <v>285</v>
      </c>
      <c r="CI112" s="128" t="s">
        <v>285</v>
      </c>
      <c r="CJ112" s="128" t="s">
        <v>285</v>
      </c>
      <c r="CK112" s="128" t="s">
        <v>285</v>
      </c>
      <c r="CL112" s="128" t="s">
        <v>285</v>
      </c>
      <c r="CM112" s="128" t="s">
        <v>285</v>
      </c>
      <c r="CN112" s="128" t="s">
        <v>285</v>
      </c>
      <c r="CO112" s="128" t="s">
        <v>285</v>
      </c>
      <c r="CP112" s="128" t="s">
        <v>285</v>
      </c>
      <c r="CQ112" s="128" t="s">
        <v>285</v>
      </c>
      <c r="CR112" s="128" t="s">
        <v>285</v>
      </c>
      <c r="CS112" s="128" t="s">
        <v>285</v>
      </c>
      <c r="CT112" s="128" t="s">
        <v>285</v>
      </c>
      <c r="CU112" s="128" t="s">
        <v>285</v>
      </c>
      <c r="CV112" s="128" t="s">
        <v>285</v>
      </c>
      <c r="CW112" s="128" t="s">
        <v>285</v>
      </c>
      <c r="CX112" s="128" t="s">
        <v>285</v>
      </c>
      <c r="CY112" s="128" t="s">
        <v>285</v>
      </c>
      <c r="CZ112" s="128" t="s">
        <v>285</v>
      </c>
      <c r="DA112" s="128" t="s">
        <v>285</v>
      </c>
      <c r="DB112" s="128" t="s">
        <v>285</v>
      </c>
      <c r="DC112" s="128" t="s">
        <v>285</v>
      </c>
      <c r="DD112" s="128" t="s">
        <v>285</v>
      </c>
      <c r="DE112" s="128" t="s">
        <v>285</v>
      </c>
      <c r="DF112" s="128" t="s">
        <v>285</v>
      </c>
      <c r="DG112" s="128" t="s">
        <v>285</v>
      </c>
      <c r="DH112" s="128" t="s">
        <v>285</v>
      </c>
      <c r="DI112" s="128" t="s">
        <v>285</v>
      </c>
      <c r="DJ112" s="128" t="s">
        <v>285</v>
      </c>
      <c r="DK112" s="128" t="s">
        <v>285</v>
      </c>
      <c r="DL112" s="128" t="s">
        <v>285</v>
      </c>
      <c r="DM112" s="128" t="s">
        <v>285</v>
      </c>
      <c r="DN112" s="128" t="s">
        <v>285</v>
      </c>
      <c r="DO112" s="128" t="s">
        <v>285</v>
      </c>
      <c r="DP112" s="128" t="s">
        <v>285</v>
      </c>
      <c r="DQ112" s="128" t="s">
        <v>285</v>
      </c>
      <c r="DR112" s="128" t="s">
        <v>285</v>
      </c>
      <c r="DS112" s="128" t="s">
        <v>285</v>
      </c>
      <c r="DT112" s="128" t="s">
        <v>285</v>
      </c>
      <c r="DU112" s="128" t="s">
        <v>285</v>
      </c>
      <c r="DV112" s="128" t="s">
        <v>285</v>
      </c>
      <c r="DW112" s="128" t="s">
        <v>285</v>
      </c>
      <c r="DX112" s="128" t="s">
        <v>285</v>
      </c>
      <c r="DY112" s="128" t="s">
        <v>285</v>
      </c>
      <c r="DZ112" s="128" t="s">
        <v>285</v>
      </c>
      <c r="EA112" s="128" t="s">
        <v>285</v>
      </c>
      <c r="EB112" s="128" t="s">
        <v>285</v>
      </c>
      <c r="EC112" s="128" t="s">
        <v>285</v>
      </c>
      <c r="ED112" s="128" t="s">
        <v>285</v>
      </c>
      <c r="EE112" s="128" t="s">
        <v>285</v>
      </c>
      <c r="EF112" s="128" t="s">
        <v>285</v>
      </c>
      <c r="EG112" s="128" t="s">
        <v>285</v>
      </c>
      <c r="EH112" s="128" t="s">
        <v>285</v>
      </c>
      <c r="EI112" s="128" t="s">
        <v>285</v>
      </c>
      <c r="EJ112" s="128" t="s">
        <v>285</v>
      </c>
      <c r="EK112" s="128" t="s">
        <v>285</v>
      </c>
      <c r="EL112" s="128" t="s">
        <v>285</v>
      </c>
      <c r="EM112" s="128" t="s">
        <v>285</v>
      </c>
      <c r="EN112" s="128" t="s">
        <v>285</v>
      </c>
      <c r="EO112" s="128" t="s">
        <v>285</v>
      </c>
      <c r="EP112" s="128" t="s">
        <v>285</v>
      </c>
      <c r="EQ112" s="128" t="s">
        <v>285</v>
      </c>
      <c r="ER112" s="128" t="s">
        <v>285</v>
      </c>
      <c r="ES112" s="128" t="s">
        <v>285</v>
      </c>
      <c r="ET112" s="128" t="s">
        <v>285</v>
      </c>
      <c r="EU112" s="128" t="s">
        <v>285</v>
      </c>
      <c r="EV112" s="128" t="s">
        <v>285</v>
      </c>
      <c r="EW112" s="128" t="s">
        <v>285</v>
      </c>
      <c r="EX112" s="128" t="s">
        <v>285</v>
      </c>
      <c r="EY112" s="128" t="s">
        <v>285</v>
      </c>
      <c r="EZ112" s="128" t="s">
        <v>285</v>
      </c>
      <c r="FA112" s="128" t="s">
        <v>285</v>
      </c>
      <c r="FB112" s="128" t="s">
        <v>285</v>
      </c>
      <c r="FC112" s="128" t="s">
        <v>285</v>
      </c>
      <c r="FD112" s="128" t="s">
        <v>285</v>
      </c>
      <c r="FE112" s="128" t="s">
        <v>285</v>
      </c>
      <c r="FF112" s="128" t="s">
        <v>285</v>
      </c>
      <c r="FG112" s="128" t="s">
        <v>285</v>
      </c>
      <c r="FH112" s="128" t="s">
        <v>285</v>
      </c>
      <c r="FI112" s="128" t="s">
        <v>285</v>
      </c>
      <c r="FJ112" s="128" t="s">
        <v>285</v>
      </c>
      <c r="FK112" s="128" t="s">
        <v>285</v>
      </c>
      <c r="FL112" s="128" t="s">
        <v>285</v>
      </c>
      <c r="FM112" s="128" t="s">
        <v>285</v>
      </c>
      <c r="FN112" s="128" t="s">
        <v>285</v>
      </c>
      <c r="FO112" s="128" t="s">
        <v>285</v>
      </c>
      <c r="FP112" s="128" t="s">
        <v>285</v>
      </c>
      <c r="FQ112" s="128" t="s">
        <v>285</v>
      </c>
      <c r="FR112" s="128" t="s">
        <v>285</v>
      </c>
      <c r="FS112" s="128" t="s">
        <v>285</v>
      </c>
      <c r="FT112" s="128" t="s">
        <v>285</v>
      </c>
      <c r="FU112" s="128" t="s">
        <v>285</v>
      </c>
      <c r="FV112" s="128" t="s">
        <v>285</v>
      </c>
      <c r="FW112" s="128" t="s">
        <v>285</v>
      </c>
      <c r="FX112" s="128" t="s">
        <v>285</v>
      </c>
      <c r="FY112" s="128" t="s">
        <v>285</v>
      </c>
      <c r="FZ112" s="128" t="s">
        <v>285</v>
      </c>
      <c r="GA112" s="128" t="s">
        <v>285</v>
      </c>
      <c r="GB112" s="128" t="s">
        <v>285</v>
      </c>
      <c r="GC112" s="128" t="s">
        <v>285</v>
      </c>
      <c r="GD112" s="128" t="s">
        <v>285</v>
      </c>
      <c r="GE112" s="128" t="s">
        <v>285</v>
      </c>
      <c r="GF112" s="128" t="s">
        <v>285</v>
      </c>
      <c r="GG112" s="128" t="s">
        <v>285</v>
      </c>
      <c r="GH112" s="128" t="s">
        <v>285</v>
      </c>
      <c r="GI112" s="128" t="s">
        <v>285</v>
      </c>
      <c r="GJ112" s="128" t="s">
        <v>285</v>
      </c>
      <c r="GK112" s="128" t="s">
        <v>285</v>
      </c>
      <c r="GL112" s="128" t="s">
        <v>285</v>
      </c>
      <c r="GM112" s="128" t="s">
        <v>285</v>
      </c>
      <c r="GN112" s="128" t="s">
        <v>285</v>
      </c>
      <c r="GO112" s="128" t="s">
        <v>285</v>
      </c>
      <c r="GP112" s="128" t="s">
        <v>285</v>
      </c>
      <c r="GQ112" s="128" t="s">
        <v>285</v>
      </c>
      <c r="GR112" s="128" t="s">
        <v>285</v>
      </c>
      <c r="GS112" s="128" t="s">
        <v>285</v>
      </c>
      <c r="GT112" s="128" t="s">
        <v>285</v>
      </c>
      <c r="GU112" s="128" t="s">
        <v>285</v>
      </c>
      <c r="GV112" s="128" t="s">
        <v>285</v>
      </c>
      <c r="GW112" s="128" t="s">
        <v>285</v>
      </c>
      <c r="GX112" s="128" t="s">
        <v>285</v>
      </c>
      <c r="GY112" s="128" t="s">
        <v>285</v>
      </c>
      <c r="GZ112" s="128" t="s">
        <v>285</v>
      </c>
      <c r="HA112" s="128" t="s">
        <v>285</v>
      </c>
      <c r="HB112" s="128" t="s">
        <v>285</v>
      </c>
      <c r="HC112" s="128" t="s">
        <v>285</v>
      </c>
      <c r="HD112" s="128" t="s">
        <v>285</v>
      </c>
      <c r="HE112" s="128" t="s">
        <v>285</v>
      </c>
      <c r="HF112" s="128" t="s">
        <v>285</v>
      </c>
      <c r="HG112" s="128" t="s">
        <v>285</v>
      </c>
      <c r="HH112" s="128" t="s">
        <v>285</v>
      </c>
      <c r="HI112" s="128" t="s">
        <v>285</v>
      </c>
      <c r="HJ112" s="128" t="s">
        <v>285</v>
      </c>
      <c r="HK112" s="128" t="s">
        <v>285</v>
      </c>
      <c r="HL112" s="128" t="s">
        <v>285</v>
      </c>
      <c r="HM112" s="128" t="s">
        <v>285</v>
      </c>
      <c r="HN112" s="128" t="s">
        <v>285</v>
      </c>
      <c r="HO112" s="128" t="s">
        <v>285</v>
      </c>
      <c r="HP112" s="128" t="s">
        <v>285</v>
      </c>
      <c r="HQ112" s="128" t="s">
        <v>285</v>
      </c>
      <c r="HR112" s="128" t="s">
        <v>285</v>
      </c>
      <c r="HS112" s="128" t="s">
        <v>285</v>
      </c>
      <c r="HT112" s="128" t="s">
        <v>285</v>
      </c>
    </row>
    <row r="113" spans="1:230" x14ac:dyDescent="0.2">
      <c r="HI113" s="122"/>
      <c r="HJ113" s="122"/>
      <c r="HK113" s="122"/>
      <c r="HL113" s="122"/>
    </row>
    <row r="114" spans="1:230" x14ac:dyDescent="0.2">
      <c r="B114" s="93" t="s">
        <v>214</v>
      </c>
      <c r="C114" s="129">
        <v>48804</v>
      </c>
      <c r="D114" s="129">
        <v>48388</v>
      </c>
      <c r="E114" s="129">
        <v>48465</v>
      </c>
      <c r="F114" s="129">
        <v>48566</v>
      </c>
      <c r="G114" s="130">
        <v>50074</v>
      </c>
      <c r="H114" s="129">
        <v>20228</v>
      </c>
      <c r="I114" s="129">
        <v>20252</v>
      </c>
      <c r="J114" s="129">
        <v>20248</v>
      </c>
      <c r="K114" s="129">
        <v>20327</v>
      </c>
      <c r="L114" s="130">
        <v>20572</v>
      </c>
      <c r="M114" s="122">
        <v>29.114664586583462</v>
      </c>
      <c r="N114" s="122">
        <v>29.245807316355553</v>
      </c>
      <c r="O114" s="122">
        <v>29.442702208284334</v>
      </c>
      <c r="P114" s="122">
        <v>29.320997852304643</v>
      </c>
      <c r="Q114" s="131">
        <v>28.076825073257741</v>
      </c>
      <c r="R114" s="123">
        <v>29.504680187207487</v>
      </c>
      <c r="S114" s="123">
        <v>28.941776455588609</v>
      </c>
      <c r="T114" s="123">
        <v>28.877564353848165</v>
      </c>
      <c r="U114" s="123">
        <v>31.148190979679498</v>
      </c>
      <c r="V114" s="122">
        <v>31.414829914638808</v>
      </c>
      <c r="W114" s="123">
        <v>58.619344773790949</v>
      </c>
      <c r="X114" s="123">
        <v>58.187583771944162</v>
      </c>
      <c r="Y114" s="123">
        <v>58.320266562132495</v>
      </c>
      <c r="Z114" s="123">
        <v>60.469188831984141</v>
      </c>
      <c r="AA114" s="122">
        <v>59.491654987896545</v>
      </c>
      <c r="AB114" s="123">
        <v>3.478321483340304</v>
      </c>
      <c r="AC114" s="123">
        <v>4.004347978540622</v>
      </c>
      <c r="AD114" s="123">
        <v>4.5796521258972946</v>
      </c>
      <c r="AE114" s="123">
        <v>6.1145720476706389</v>
      </c>
      <c r="AF114" s="122">
        <v>5.5395268320830926</v>
      </c>
      <c r="AG114" s="129">
        <v>885.33333333333326</v>
      </c>
      <c r="AH114" s="129">
        <v>920.91666666666663</v>
      </c>
      <c r="AI114" s="129">
        <v>969.75</v>
      </c>
      <c r="AJ114" s="129">
        <v>1244.5</v>
      </c>
      <c r="AK114" s="123">
        <v>1484.6666666666665</v>
      </c>
      <c r="AL114" s="129">
        <v>47166</v>
      </c>
      <c r="AM114" s="129">
        <v>385</v>
      </c>
      <c r="AN114" s="129">
        <v>298</v>
      </c>
      <c r="AO114" s="129">
        <v>591</v>
      </c>
      <c r="AP114" s="129">
        <v>0</v>
      </c>
      <c r="AQ114" s="129">
        <v>1529</v>
      </c>
      <c r="AR114" s="129">
        <v>46547</v>
      </c>
      <c r="AS114" s="129">
        <v>676</v>
      </c>
      <c r="AT114" s="129">
        <v>234</v>
      </c>
      <c r="AU114" s="129">
        <v>849</v>
      </c>
      <c r="AV114" s="129">
        <v>698</v>
      </c>
      <c r="AW114" s="129">
        <v>2210</v>
      </c>
      <c r="AX114" s="132">
        <v>32872.221537450183</v>
      </c>
      <c r="AY114" s="132">
        <v>34029.727005287088</v>
      </c>
      <c r="AZ114" s="132">
        <v>36244.283324037926</v>
      </c>
      <c r="BA114" s="132">
        <v>39785.552629413214</v>
      </c>
      <c r="BB114" s="132">
        <v>39214.018037310052</v>
      </c>
      <c r="BC114" s="93" t="s">
        <v>217</v>
      </c>
      <c r="BD114" s="93" t="s">
        <v>217</v>
      </c>
      <c r="BE114" s="93" t="s">
        <v>217</v>
      </c>
      <c r="BF114" s="93" t="s">
        <v>217</v>
      </c>
      <c r="BG114" s="132" t="s">
        <v>217</v>
      </c>
      <c r="BH114" s="122">
        <v>9.2730765342230317</v>
      </c>
      <c r="BI114" s="122">
        <v>9.6221621178591921</v>
      </c>
      <c r="BJ114" s="122">
        <v>10.593535587335703</v>
      </c>
      <c r="BK114" s="122">
        <v>9.8008872382131429</v>
      </c>
      <c r="BL114" s="122">
        <v>10.49499649960878</v>
      </c>
      <c r="BM114" s="122">
        <v>11.156986879530232</v>
      </c>
      <c r="BN114" s="122">
        <v>11.666962857650613</v>
      </c>
      <c r="BO114" s="122">
        <v>12.255125284738041</v>
      </c>
      <c r="BP114" s="122">
        <v>11.9919443427316</v>
      </c>
      <c r="BQ114" s="122">
        <v>13.400802652242191</v>
      </c>
      <c r="BR114" s="129">
        <v>8068</v>
      </c>
      <c r="BS114" s="129">
        <v>7918</v>
      </c>
      <c r="BT114" s="129">
        <v>7893</v>
      </c>
      <c r="BU114" s="130">
        <v>7878</v>
      </c>
      <c r="BV114" s="122">
        <v>35.138820029747151</v>
      </c>
      <c r="BW114" s="122">
        <v>35.94342005556959</v>
      </c>
      <c r="BX114" s="122">
        <v>38.743190168503737</v>
      </c>
      <c r="BY114" s="122">
        <v>39.832444782939831</v>
      </c>
      <c r="BZ114" s="122">
        <v>6.3460585027268221</v>
      </c>
      <c r="CA114" s="122">
        <v>5.9105834806769391</v>
      </c>
      <c r="CB114" s="122">
        <v>5.9166349930318001</v>
      </c>
      <c r="CC114" s="122">
        <v>6.9306930693069306</v>
      </c>
      <c r="CD114" s="122">
        <v>14.340604858701042</v>
      </c>
      <c r="CE114" s="122">
        <v>15.382672392018186</v>
      </c>
      <c r="CF114" s="122">
        <v>16.43228176865577</v>
      </c>
      <c r="CG114" s="122">
        <v>17.022086824067021</v>
      </c>
      <c r="CH114" s="122">
        <v>86.334610472541513</v>
      </c>
      <c r="CI114" s="123">
        <v>86.490250696378837</v>
      </c>
      <c r="CJ114" s="122">
        <v>86.221009549795355</v>
      </c>
      <c r="CK114" s="122" t="s">
        <v>217</v>
      </c>
      <c r="CL114" s="129">
        <v>683</v>
      </c>
      <c r="CM114" s="129">
        <v>676</v>
      </c>
      <c r="CN114" s="129">
        <v>648</v>
      </c>
      <c r="CO114" s="129">
        <v>676</v>
      </c>
      <c r="CP114" s="130">
        <v>619</v>
      </c>
      <c r="CQ114" s="122">
        <v>13.994754528317351</v>
      </c>
      <c r="CR114" s="122">
        <v>13.970405885756799</v>
      </c>
      <c r="CS114" s="122">
        <v>13.370473537604457</v>
      </c>
      <c r="CT114" s="122">
        <v>13.919202734423259</v>
      </c>
      <c r="CU114" s="122">
        <v>12.361704677077924</v>
      </c>
      <c r="CV114" s="122">
        <v>3.7</v>
      </c>
      <c r="CW114" s="122">
        <v>5.5</v>
      </c>
      <c r="CX114" s="122">
        <v>3.9</v>
      </c>
      <c r="CY114" s="122">
        <v>4.4000000000000004</v>
      </c>
      <c r="CZ114" s="122">
        <v>6</v>
      </c>
      <c r="DA114" s="122">
        <v>5.786618444846293</v>
      </c>
      <c r="DB114" s="122">
        <v>9.3862815884476536</v>
      </c>
      <c r="DC114" s="122">
        <v>10.256410256410257</v>
      </c>
      <c r="DD114" s="122">
        <v>10.963455149501661</v>
      </c>
      <c r="DE114" s="122">
        <v>9.23</v>
      </c>
      <c r="DF114" s="122">
        <v>84.337349397590359</v>
      </c>
      <c r="DG114" s="122">
        <v>82.537313432835816</v>
      </c>
      <c r="DH114" s="122">
        <v>85.44</v>
      </c>
      <c r="DI114" s="122">
        <v>81.969696969696969</v>
      </c>
      <c r="DJ114" s="122">
        <v>82.89</v>
      </c>
      <c r="DK114" s="122">
        <v>30.893118594436309</v>
      </c>
      <c r="DL114" s="122">
        <v>32.840236686390533</v>
      </c>
      <c r="DM114" s="122">
        <v>32.561728395061728</v>
      </c>
      <c r="DN114" s="122">
        <v>31.360946745562131</v>
      </c>
      <c r="DO114" s="122">
        <v>29.821717990275527</v>
      </c>
      <c r="DP114" s="122">
        <v>30.893118594436309</v>
      </c>
      <c r="DQ114" s="122">
        <v>32.840236686390533</v>
      </c>
      <c r="DR114" s="122">
        <v>32.561728395061728</v>
      </c>
      <c r="DS114" s="122">
        <v>31.360946745562131</v>
      </c>
      <c r="DT114" s="122">
        <v>31.5</v>
      </c>
      <c r="DU114" s="129">
        <v>2</v>
      </c>
      <c r="DV114" s="129">
        <v>5</v>
      </c>
      <c r="DW114" s="129">
        <v>4</v>
      </c>
      <c r="DX114" s="129">
        <v>3</v>
      </c>
      <c r="DY114" s="129">
        <v>4</v>
      </c>
      <c r="DZ114" s="122">
        <v>89.233038348082601</v>
      </c>
      <c r="EA114" s="122">
        <v>2.0648967551622417</v>
      </c>
      <c r="EB114" s="122">
        <v>0.88495575221238942</v>
      </c>
      <c r="EC114" s="122">
        <v>1.4749262536873156</v>
      </c>
      <c r="ED114" s="122">
        <v>6.2314540059347179</v>
      </c>
      <c r="EE114" s="122">
        <v>83.844911147011302</v>
      </c>
      <c r="EF114" s="122">
        <v>3.0694668820678515</v>
      </c>
      <c r="EG114" s="122">
        <v>0.80775444264943452</v>
      </c>
      <c r="EH114" s="122">
        <v>3.7156704361873989</v>
      </c>
      <c r="EI114" s="122">
        <v>10.696920583468396</v>
      </c>
      <c r="EJ114" s="122">
        <v>25.641025641025642</v>
      </c>
      <c r="EK114" s="122">
        <v>23.4375</v>
      </c>
      <c r="EL114" s="129">
        <v>505</v>
      </c>
      <c r="EM114" s="129">
        <v>540</v>
      </c>
      <c r="EN114" s="129">
        <v>564</v>
      </c>
      <c r="EO114" s="129">
        <v>530</v>
      </c>
      <c r="EP114" s="130">
        <v>491</v>
      </c>
      <c r="EQ114" s="123">
        <v>1034.7512498975493</v>
      </c>
      <c r="ER114" s="123">
        <v>1115.9791683888568</v>
      </c>
      <c r="ES114" s="123">
        <v>1163.7264004952028</v>
      </c>
      <c r="ET114" s="123">
        <v>1091.2984392373264</v>
      </c>
      <c r="EU114" s="122">
        <v>980.54878779406476</v>
      </c>
      <c r="EV114" s="123">
        <v>644.16434699000001</v>
      </c>
      <c r="EW114" s="123">
        <v>683.69345884999996</v>
      </c>
      <c r="EX114" s="123">
        <v>709.58223549000002</v>
      </c>
      <c r="EY114" s="123">
        <v>679.51615597</v>
      </c>
      <c r="EZ114" s="122">
        <v>615.17901486564483</v>
      </c>
      <c r="FA114" s="129">
        <v>102</v>
      </c>
      <c r="FB114" s="129">
        <v>128</v>
      </c>
      <c r="FC114" s="129">
        <v>118</v>
      </c>
      <c r="FD114" s="129">
        <v>126</v>
      </c>
      <c r="FE114" s="130">
        <v>105</v>
      </c>
      <c r="FF114" s="129">
        <v>117</v>
      </c>
      <c r="FG114" s="129">
        <v>130</v>
      </c>
      <c r="FH114" s="129">
        <v>135</v>
      </c>
      <c r="FI114" s="129">
        <v>132</v>
      </c>
      <c r="FJ114" s="130">
        <v>108</v>
      </c>
      <c r="FK114" s="129">
        <v>31</v>
      </c>
      <c r="FL114" s="129">
        <v>42</v>
      </c>
      <c r="FM114" s="129">
        <v>44</v>
      </c>
      <c r="FN114" s="129">
        <v>38</v>
      </c>
      <c r="FO114" s="130">
        <v>35</v>
      </c>
      <c r="FP114" s="129">
        <v>34</v>
      </c>
      <c r="FQ114" s="129">
        <v>25</v>
      </c>
      <c r="FR114" s="129">
        <v>27</v>
      </c>
      <c r="FS114" s="129">
        <v>21</v>
      </c>
      <c r="FT114" s="130">
        <v>20</v>
      </c>
      <c r="FU114" s="123">
        <v>121.44140256999999</v>
      </c>
      <c r="FV114" s="123">
        <v>150.20695645000001</v>
      </c>
      <c r="FW114" s="123">
        <v>134.01105196</v>
      </c>
      <c r="FX114" s="123">
        <v>154.97313922999999</v>
      </c>
      <c r="FY114" s="131">
        <v>118.70431157461987</v>
      </c>
      <c r="FZ114" s="123">
        <v>164.93903864000001</v>
      </c>
      <c r="GA114" s="123">
        <v>185.25292952000001</v>
      </c>
      <c r="GB114" s="123">
        <v>188.55335518999999</v>
      </c>
      <c r="GC114" s="123">
        <v>182.71015894000001</v>
      </c>
      <c r="GD114" s="131">
        <v>144.70465326914101</v>
      </c>
      <c r="GE114" s="123">
        <v>33.424718159999998</v>
      </c>
      <c r="GF114" s="123">
        <v>46.218844789999999</v>
      </c>
      <c r="GG114" s="123">
        <v>47.776822520000003</v>
      </c>
      <c r="GH114" s="123">
        <v>39.71086536</v>
      </c>
      <c r="GI114" s="131">
        <v>41.828653297317551</v>
      </c>
      <c r="GJ114" s="123">
        <v>50.431418729999997</v>
      </c>
      <c r="GK114" s="123">
        <v>44.901312009999998</v>
      </c>
      <c r="GL114" s="123">
        <v>49.84251733</v>
      </c>
      <c r="GM114" s="123">
        <v>34.745445359999998</v>
      </c>
      <c r="GN114" s="131" t="s">
        <v>46</v>
      </c>
      <c r="GO114" s="123">
        <v>773.53033072999995</v>
      </c>
      <c r="GP114" s="123">
        <v>801.86367928000004</v>
      </c>
      <c r="GQ114" s="123">
        <v>790.25701804000005</v>
      </c>
      <c r="GR114" s="123">
        <v>877.45789361000004</v>
      </c>
      <c r="GS114" s="122">
        <v>753.96155853309665</v>
      </c>
      <c r="GT114" s="123">
        <v>544.72222947</v>
      </c>
      <c r="GU114" s="123">
        <v>599.22678859999996</v>
      </c>
      <c r="GV114" s="123">
        <v>631.15807219999897</v>
      </c>
      <c r="GW114" s="123">
        <v>535.34951976000002</v>
      </c>
      <c r="GX114" s="131">
        <v>515.267057257754</v>
      </c>
      <c r="GY114" s="119">
        <v>494</v>
      </c>
      <c r="GZ114" s="119">
        <v>3</v>
      </c>
      <c r="HA114" s="119">
        <v>0</v>
      </c>
      <c r="HB114" s="119">
        <v>6</v>
      </c>
      <c r="HC114" s="119">
        <v>2</v>
      </c>
      <c r="HD114" s="119">
        <v>489</v>
      </c>
      <c r="HE114" s="119">
        <v>1</v>
      </c>
      <c r="HF114" s="119">
        <v>1</v>
      </c>
      <c r="HG114" s="119">
        <v>0</v>
      </c>
      <c r="HH114" s="119">
        <v>1</v>
      </c>
      <c r="HI114" s="122">
        <v>25.201778949102291</v>
      </c>
      <c r="HJ114" s="122">
        <v>25.139664804469273</v>
      </c>
      <c r="HK114" s="122">
        <v>23.17320703653586</v>
      </c>
      <c r="HL114" s="129">
        <v>25</v>
      </c>
      <c r="HM114" s="129">
        <v>36</v>
      </c>
      <c r="HN114" s="129">
        <v>25</v>
      </c>
      <c r="HO114" s="129">
        <v>29</v>
      </c>
      <c r="HP114" s="130">
        <v>36</v>
      </c>
      <c r="HQ114" s="129">
        <v>32</v>
      </c>
      <c r="HR114" s="129">
        <v>52</v>
      </c>
      <c r="HS114" s="129">
        <v>56</v>
      </c>
      <c r="HT114" s="129">
        <v>66</v>
      </c>
      <c r="HU114" s="130">
        <v>53</v>
      </c>
    </row>
    <row r="115" spans="1:230" x14ac:dyDescent="0.2">
      <c r="B115" s="93" t="s">
        <v>216</v>
      </c>
      <c r="C115" s="130">
        <v>32322</v>
      </c>
      <c r="D115" s="130">
        <v>31651</v>
      </c>
      <c r="E115" s="130">
        <v>31354</v>
      </c>
      <c r="F115" s="130">
        <v>31182</v>
      </c>
      <c r="G115" s="130">
        <v>31789</v>
      </c>
      <c r="H115" s="130">
        <v>13388</v>
      </c>
      <c r="I115" s="130">
        <v>13391</v>
      </c>
      <c r="J115" s="130">
        <v>13355</v>
      </c>
      <c r="K115" s="130">
        <v>13281</v>
      </c>
      <c r="L115" s="130">
        <v>13144</v>
      </c>
      <c r="M115" s="130">
        <v>30.255745550625655</v>
      </c>
      <c r="N115" s="130">
        <v>30.274208236365475</v>
      </c>
      <c r="O115" s="130">
        <v>30.394265232974909</v>
      </c>
      <c r="P115" s="130">
        <v>31.648235913638757</v>
      </c>
      <c r="Q115" s="130">
        <v>32.16431827600497</v>
      </c>
      <c r="R115" s="130">
        <v>30.878907223690113</v>
      </c>
      <c r="S115" s="130">
        <v>29.854295254477385</v>
      </c>
      <c r="T115" s="130">
        <v>30.148489503328214</v>
      </c>
      <c r="U115" s="130">
        <v>32.553975776724592</v>
      </c>
      <c r="V115" s="130">
        <v>32.511396601740572</v>
      </c>
      <c r="W115" s="130">
        <v>61.134652774315768</v>
      </c>
      <c r="X115" s="130">
        <v>60.12850349084286</v>
      </c>
      <c r="Y115" s="130">
        <v>60.542754736303124</v>
      </c>
      <c r="Z115" s="130">
        <v>64.202211690363356</v>
      </c>
      <c r="AA115" s="130">
        <v>64.675714877745548</v>
      </c>
      <c r="AB115" s="130">
        <v>4.4909090909090912</v>
      </c>
      <c r="AC115" s="130">
        <v>5.0597538498127115</v>
      </c>
      <c r="AD115" s="130">
        <v>5.5476360180565454</v>
      </c>
      <c r="AE115" s="130">
        <v>7.591122443066582</v>
      </c>
      <c r="AF115" s="130">
        <v>7.1201157742402312</v>
      </c>
      <c r="AG115" s="130">
        <v>628.33333333333326</v>
      </c>
      <c r="AH115" s="130">
        <v>638.91666666666663</v>
      </c>
      <c r="AI115" s="130">
        <v>662.83333333333326</v>
      </c>
      <c r="AJ115" s="130">
        <v>836</v>
      </c>
      <c r="AK115" s="130">
        <v>981.83333333333337</v>
      </c>
      <c r="AL115" s="130">
        <v>30762</v>
      </c>
      <c r="AM115" s="130">
        <v>93</v>
      </c>
      <c r="AN115" s="130">
        <v>721</v>
      </c>
      <c r="AO115" s="130">
        <v>438</v>
      </c>
      <c r="AP115" s="130">
        <v>0</v>
      </c>
      <c r="AQ115" s="130">
        <v>1260</v>
      </c>
      <c r="AR115" s="130">
        <v>29319</v>
      </c>
      <c r="AS115" s="130">
        <v>119</v>
      </c>
      <c r="AT115" s="130">
        <v>887</v>
      </c>
      <c r="AU115" s="130">
        <v>569</v>
      </c>
      <c r="AV115" s="130">
        <v>480</v>
      </c>
      <c r="AW115" s="130">
        <v>1381</v>
      </c>
      <c r="AX115" s="130">
        <v>30884.149176922838</v>
      </c>
      <c r="AY115" s="130">
        <v>32138.394251796315</v>
      </c>
      <c r="AZ115" s="130">
        <v>34382.618012226631</v>
      </c>
      <c r="BA115" s="130">
        <v>40097.220455412797</v>
      </c>
      <c r="BB115" s="130">
        <v>38404.688602398819</v>
      </c>
      <c r="BC115" s="130" t="s">
        <v>217</v>
      </c>
      <c r="BD115" s="130" t="s">
        <v>217</v>
      </c>
      <c r="BE115" s="130" t="s">
        <v>217</v>
      </c>
      <c r="BF115" s="130" t="s">
        <v>217</v>
      </c>
      <c r="BG115" s="130" t="s">
        <v>217</v>
      </c>
      <c r="BH115" s="130">
        <v>9.2821105099993915</v>
      </c>
      <c r="BI115" s="130">
        <v>10.101478868881877</v>
      </c>
      <c r="BJ115" s="130">
        <v>9.0328899560835367</v>
      </c>
      <c r="BK115" s="130">
        <v>10.193276774893155</v>
      </c>
      <c r="BL115" s="130">
        <v>10.124430761336669</v>
      </c>
      <c r="BM115" s="130">
        <v>11.968564802885854</v>
      </c>
      <c r="BN115" s="130">
        <v>13.402462734931952</v>
      </c>
      <c r="BO115" s="130">
        <v>12.547169811320755</v>
      </c>
      <c r="BP115" s="130">
        <v>13.41295991213619</v>
      </c>
      <c r="BQ115" s="130">
        <v>14.127130963393682</v>
      </c>
      <c r="BR115" s="130">
        <v>4261</v>
      </c>
      <c r="BS115" s="130">
        <v>4245</v>
      </c>
      <c r="BT115" s="130">
        <v>4159</v>
      </c>
      <c r="BU115" s="130">
        <v>4013</v>
      </c>
      <c r="BV115" s="130">
        <v>35.954001408120156</v>
      </c>
      <c r="BW115" s="130">
        <v>36.607773851590103</v>
      </c>
      <c r="BX115" s="130">
        <v>38.759317143544123</v>
      </c>
      <c r="BY115" s="130">
        <v>38.97333665586843</v>
      </c>
      <c r="BZ115" s="130">
        <v>5.6559493076742546</v>
      </c>
      <c r="CA115" s="130">
        <v>5.3239104829210833</v>
      </c>
      <c r="CB115" s="130">
        <v>4.6405385910074539</v>
      </c>
      <c r="CC115" s="130">
        <v>4.9838026414153997</v>
      </c>
      <c r="CD115" s="130">
        <v>14.832199014315888</v>
      </c>
      <c r="CE115" s="130">
        <v>15.005889281507656</v>
      </c>
      <c r="CF115" s="130">
        <v>15.027650877614811</v>
      </c>
      <c r="CG115" s="130">
        <v>15.723897333665587</v>
      </c>
      <c r="CH115" s="130">
        <v>87.387387387387392</v>
      </c>
      <c r="CI115" s="130">
        <v>85.681293302540411</v>
      </c>
      <c r="CJ115" s="130">
        <v>86.111111111111114</v>
      </c>
      <c r="CK115" s="130" t="s">
        <v>217</v>
      </c>
      <c r="CL115" s="130">
        <v>453</v>
      </c>
      <c r="CM115" s="130">
        <v>372</v>
      </c>
      <c r="CN115" s="130">
        <v>392</v>
      </c>
      <c r="CO115" s="130">
        <v>378</v>
      </c>
      <c r="CP115" s="130">
        <v>384</v>
      </c>
      <c r="CQ115" s="130">
        <v>14.015221830332282</v>
      </c>
      <c r="CR115" s="130">
        <v>11.753183153770813</v>
      </c>
      <c r="CS115" s="130">
        <v>12.502392039293232</v>
      </c>
      <c r="CT115" s="130">
        <v>12.122378295170291</v>
      </c>
      <c r="CU115" s="130">
        <v>12.079650193463147</v>
      </c>
      <c r="CV115" s="130">
        <v>3.8548752834467122</v>
      </c>
      <c r="CW115" s="130">
        <v>4.1436464088397793</v>
      </c>
      <c r="CX115" s="130">
        <v>5.3475935828877006</v>
      </c>
      <c r="CY115" s="130">
        <v>4.0650406504065044</v>
      </c>
      <c r="CZ115" s="130">
        <v>3.75</v>
      </c>
      <c r="DA115" s="130">
        <v>6.7010309278350517</v>
      </c>
      <c r="DB115" s="130">
        <v>6.0509554140127388</v>
      </c>
      <c r="DC115" s="130">
        <v>8.6053412462908003</v>
      </c>
      <c r="DD115" s="130">
        <v>7.4404761904761907</v>
      </c>
      <c r="DE115" s="130">
        <v>6.94</v>
      </c>
      <c r="DF115" s="130">
        <v>83.370786516853926</v>
      </c>
      <c r="DG115" s="130">
        <v>85.597826086956516</v>
      </c>
      <c r="DH115" s="130">
        <v>85.128205128205124</v>
      </c>
      <c r="DI115" s="130">
        <v>84.656084656084658</v>
      </c>
      <c r="DJ115" s="130">
        <v>84.6</v>
      </c>
      <c r="DK115" s="130">
        <v>29.580573951434879</v>
      </c>
      <c r="DL115" s="130">
        <v>31.182795698924732</v>
      </c>
      <c r="DM115" s="130">
        <v>29.846938775510203</v>
      </c>
      <c r="DN115" s="130">
        <v>33.06878306878307</v>
      </c>
      <c r="DO115" s="130">
        <v>27.93733681462141</v>
      </c>
      <c r="DP115" s="130">
        <v>29.580573951434879</v>
      </c>
      <c r="DQ115" s="130">
        <v>31.182795698924732</v>
      </c>
      <c r="DR115" s="130">
        <v>29.846938775510203</v>
      </c>
      <c r="DS115" s="130">
        <v>33.06878306878307</v>
      </c>
      <c r="DT115" s="130">
        <v>38.28</v>
      </c>
      <c r="DU115" s="130">
        <v>0</v>
      </c>
      <c r="DV115" s="130">
        <v>0</v>
      </c>
      <c r="DW115" s="130">
        <v>1</v>
      </c>
      <c r="DX115" s="130">
        <v>0</v>
      </c>
      <c r="DY115" s="130">
        <v>2</v>
      </c>
      <c r="DZ115" s="130">
        <v>84.768211920529808</v>
      </c>
      <c r="EA115" s="130">
        <v>0.66225165562913912</v>
      </c>
      <c r="EB115" s="130">
        <v>7.7262693156732896</v>
      </c>
      <c r="EC115" s="130">
        <v>3.9735099337748343</v>
      </c>
      <c r="ED115" s="130">
        <v>7.7777777777777777</v>
      </c>
      <c r="EE115" s="130">
        <v>86.458333333333329</v>
      </c>
      <c r="EF115" s="130">
        <v>0.26041666666666669</v>
      </c>
      <c r="EG115" s="130">
        <v>4.166666666666667</v>
      </c>
      <c r="EH115" s="130">
        <v>5.208333333333333</v>
      </c>
      <c r="EI115" s="130">
        <v>9.6605744125326378</v>
      </c>
      <c r="EJ115" s="130">
        <v>29.123328380386329</v>
      </c>
      <c r="EK115" s="130">
        <v>36.854228364593617</v>
      </c>
      <c r="EL115" s="130">
        <v>398</v>
      </c>
      <c r="EM115" s="130">
        <v>371</v>
      </c>
      <c r="EN115" s="130">
        <v>410</v>
      </c>
      <c r="EO115" s="130">
        <v>369</v>
      </c>
      <c r="EP115" s="130">
        <v>397</v>
      </c>
      <c r="EQ115" s="93">
        <v>1231.3594455788627</v>
      </c>
      <c r="ER115" s="93">
        <v>1172.158857540046</v>
      </c>
      <c r="ES115" s="93">
        <v>1307.6481469668943</v>
      </c>
      <c r="ET115" s="93">
        <v>1183.3750240523379</v>
      </c>
      <c r="EU115" s="93">
        <v>1248.859668438768</v>
      </c>
      <c r="EV115" s="93">
        <v>742.91349446000004</v>
      </c>
      <c r="EW115" s="93">
        <v>709.07130220999898</v>
      </c>
      <c r="EX115" s="93">
        <v>793.55151335999994</v>
      </c>
      <c r="EY115" s="93">
        <v>702.99386504999995</v>
      </c>
      <c r="EZ115" s="93">
        <v>742.90019260749455</v>
      </c>
      <c r="FA115" s="93">
        <v>91</v>
      </c>
      <c r="FB115" s="93">
        <v>94</v>
      </c>
      <c r="FC115" s="93">
        <v>99</v>
      </c>
      <c r="FD115" s="93">
        <v>79</v>
      </c>
      <c r="FE115" s="93">
        <v>72</v>
      </c>
      <c r="FF115" s="93">
        <v>83</v>
      </c>
      <c r="FG115" s="93">
        <v>78</v>
      </c>
      <c r="FH115" s="93">
        <v>94</v>
      </c>
      <c r="FI115" s="93">
        <v>82</v>
      </c>
      <c r="FJ115" s="93">
        <v>100</v>
      </c>
      <c r="FK115" s="93">
        <v>30</v>
      </c>
      <c r="FL115" s="93">
        <v>15</v>
      </c>
      <c r="FM115" s="93">
        <v>20</v>
      </c>
      <c r="FN115" s="93">
        <v>25</v>
      </c>
      <c r="FO115" s="93">
        <v>34</v>
      </c>
      <c r="FP115" s="93">
        <v>11</v>
      </c>
      <c r="FQ115" s="93">
        <v>19</v>
      </c>
      <c r="FR115" s="93">
        <v>18</v>
      </c>
      <c r="FS115" s="93">
        <v>21</v>
      </c>
      <c r="FT115" s="93">
        <v>17</v>
      </c>
      <c r="FU115" s="93">
        <v>157.03258468999999</v>
      </c>
      <c r="FV115" s="93">
        <v>157.45389953</v>
      </c>
      <c r="FW115" s="93">
        <v>185.73889908000001</v>
      </c>
      <c r="FX115" s="93">
        <v>137.69516059</v>
      </c>
      <c r="FY115" s="93">
        <v>126.15018818657266</v>
      </c>
      <c r="FZ115" s="93">
        <v>163.68650235999999</v>
      </c>
      <c r="GA115" s="93">
        <v>158.54292045</v>
      </c>
      <c r="GB115" s="93">
        <v>196.01693420000001</v>
      </c>
      <c r="GC115" s="93">
        <v>176.17343030000001</v>
      </c>
      <c r="GD115" s="93">
        <v>210.87423744627225</v>
      </c>
      <c r="GE115" s="93">
        <v>48.074107140000002</v>
      </c>
      <c r="GF115" s="93">
        <v>0</v>
      </c>
      <c r="GG115" s="93">
        <v>0</v>
      </c>
      <c r="GH115" s="93">
        <v>43.381688439999998</v>
      </c>
      <c r="GI115" s="93">
        <v>54.602359713014032</v>
      </c>
      <c r="GJ115" s="93">
        <v>0</v>
      </c>
      <c r="GK115" s="93">
        <v>0</v>
      </c>
      <c r="GL115" s="93">
        <v>0</v>
      </c>
      <c r="GM115" s="93">
        <v>52.433918890000001</v>
      </c>
      <c r="GN115" s="93" t="s">
        <v>46</v>
      </c>
      <c r="GO115" s="93">
        <v>863.72504542000001</v>
      </c>
      <c r="GP115" s="93">
        <v>894.25823814</v>
      </c>
      <c r="GQ115" s="93">
        <v>1010.16800157</v>
      </c>
      <c r="GR115" s="93">
        <v>800.05769886999997</v>
      </c>
      <c r="GS115" s="93">
        <v>930.9671279256313</v>
      </c>
      <c r="GT115" s="93">
        <v>634.00972741999999</v>
      </c>
      <c r="GU115" s="93">
        <v>560.40596574000006</v>
      </c>
      <c r="GV115" s="93">
        <v>613.09862362000001</v>
      </c>
      <c r="GW115" s="93">
        <v>635.38589323999997</v>
      </c>
      <c r="GX115" s="93">
        <v>590.69259954459108</v>
      </c>
      <c r="GY115" s="93">
        <v>393</v>
      </c>
      <c r="GZ115" s="93">
        <v>0</v>
      </c>
      <c r="HA115" s="93">
        <v>3</v>
      </c>
      <c r="HB115" s="93">
        <v>1</v>
      </c>
      <c r="HC115" s="93">
        <v>0</v>
      </c>
      <c r="HD115" s="93">
        <v>381</v>
      </c>
      <c r="HE115" s="93">
        <v>2</v>
      </c>
      <c r="HF115" s="93">
        <v>11</v>
      </c>
      <c r="HG115" s="93">
        <v>2</v>
      </c>
      <c r="HH115" s="93">
        <v>1</v>
      </c>
      <c r="HI115" s="122">
        <v>32.928942807625653</v>
      </c>
      <c r="HJ115" s="122">
        <v>33.695652173913047</v>
      </c>
      <c r="HK115" s="122">
        <v>27.455919395465994</v>
      </c>
      <c r="HL115" s="122">
        <v>17</v>
      </c>
      <c r="HM115" s="93">
        <v>15</v>
      </c>
      <c r="HN115" s="93">
        <v>20</v>
      </c>
      <c r="HO115" s="93">
        <v>15</v>
      </c>
      <c r="HP115" s="93">
        <v>14</v>
      </c>
      <c r="HQ115" s="93">
        <v>26</v>
      </c>
      <c r="HR115" s="93">
        <v>19</v>
      </c>
      <c r="HS115" s="93">
        <v>29</v>
      </c>
      <c r="HT115" s="93">
        <v>25</v>
      </c>
      <c r="HU115" s="93">
        <v>24</v>
      </c>
    </row>
    <row r="116" spans="1:230" x14ac:dyDescent="0.2">
      <c r="C116" s="129">
        <f>C110-C115</f>
        <v>0</v>
      </c>
      <c r="D116" s="129">
        <f t="shared" ref="D116:BO116" si="0">D110-D115</f>
        <v>0</v>
      </c>
      <c r="E116" s="129">
        <f t="shared" si="0"/>
        <v>0</v>
      </c>
      <c r="F116" s="129">
        <f t="shared" si="0"/>
        <v>0</v>
      </c>
      <c r="G116" s="129">
        <f t="shared" si="0"/>
        <v>0</v>
      </c>
      <c r="H116" s="129">
        <f t="shared" si="0"/>
        <v>0</v>
      </c>
      <c r="I116" s="129">
        <f t="shared" si="0"/>
        <v>0</v>
      </c>
      <c r="J116" s="129">
        <f t="shared" si="0"/>
        <v>0</v>
      </c>
      <c r="K116" s="129">
        <f t="shared" si="0"/>
        <v>0</v>
      </c>
      <c r="L116" s="129">
        <f t="shared" si="0"/>
        <v>0</v>
      </c>
      <c r="M116" s="129">
        <f t="shared" si="0"/>
        <v>0</v>
      </c>
      <c r="N116" s="129">
        <f t="shared" si="0"/>
        <v>0</v>
      </c>
      <c r="O116" s="129">
        <f t="shared" si="0"/>
        <v>0</v>
      </c>
      <c r="P116" s="129">
        <f t="shared" si="0"/>
        <v>0</v>
      </c>
      <c r="Q116" s="129">
        <f t="shared" si="0"/>
        <v>0</v>
      </c>
      <c r="R116" s="129">
        <f t="shared" si="0"/>
        <v>0</v>
      </c>
      <c r="S116" s="129">
        <f t="shared" si="0"/>
        <v>0</v>
      </c>
      <c r="T116" s="129">
        <f t="shared" si="0"/>
        <v>0</v>
      </c>
      <c r="U116" s="129">
        <f t="shared" si="0"/>
        <v>0</v>
      </c>
      <c r="V116" s="129">
        <f t="shared" si="0"/>
        <v>0</v>
      </c>
      <c r="W116" s="129">
        <f t="shared" si="0"/>
        <v>0</v>
      </c>
      <c r="X116" s="129">
        <f t="shared" si="0"/>
        <v>0</v>
      </c>
      <c r="Y116" s="129">
        <f t="shared" si="0"/>
        <v>0</v>
      </c>
      <c r="Z116" s="129">
        <f t="shared" si="0"/>
        <v>0</v>
      </c>
      <c r="AA116" s="129">
        <f t="shared" si="0"/>
        <v>0</v>
      </c>
      <c r="AB116" s="129">
        <f t="shared" si="0"/>
        <v>0</v>
      </c>
      <c r="AC116" s="129">
        <f t="shared" si="0"/>
        <v>0</v>
      </c>
      <c r="AD116" s="129">
        <f t="shared" si="0"/>
        <v>0</v>
      </c>
      <c r="AE116" s="129">
        <f t="shared" si="0"/>
        <v>0</v>
      </c>
      <c r="AF116" s="129">
        <f t="shared" si="0"/>
        <v>0</v>
      </c>
      <c r="AG116" s="129">
        <f t="shared" si="0"/>
        <v>0</v>
      </c>
      <c r="AH116" s="129">
        <f t="shared" si="0"/>
        <v>0</v>
      </c>
      <c r="AI116" s="129">
        <f t="shared" si="0"/>
        <v>0</v>
      </c>
      <c r="AJ116" s="129">
        <f t="shared" si="0"/>
        <v>0</v>
      </c>
      <c r="AK116" s="129">
        <f t="shared" si="0"/>
        <v>0</v>
      </c>
      <c r="AL116" s="129">
        <f t="shared" si="0"/>
        <v>0</v>
      </c>
      <c r="AM116" s="129">
        <f t="shared" si="0"/>
        <v>0</v>
      </c>
      <c r="AN116" s="129">
        <f t="shared" si="0"/>
        <v>0</v>
      </c>
      <c r="AO116" s="129">
        <f t="shared" si="0"/>
        <v>0</v>
      </c>
      <c r="AP116" s="129">
        <f t="shared" si="0"/>
        <v>0</v>
      </c>
      <c r="AQ116" s="129">
        <f t="shared" si="0"/>
        <v>0</v>
      </c>
      <c r="AR116" s="129">
        <f t="shared" si="0"/>
        <v>0</v>
      </c>
      <c r="AS116" s="129">
        <f t="shared" si="0"/>
        <v>0</v>
      </c>
      <c r="AT116" s="129">
        <f t="shared" si="0"/>
        <v>0</v>
      </c>
      <c r="AU116" s="129">
        <f t="shared" si="0"/>
        <v>0</v>
      </c>
      <c r="AV116" s="129">
        <f t="shared" si="0"/>
        <v>0</v>
      </c>
      <c r="AW116" s="129">
        <f t="shared" si="0"/>
        <v>0</v>
      </c>
      <c r="AX116" s="129">
        <f t="shared" si="0"/>
        <v>0</v>
      </c>
      <c r="AY116" s="129">
        <f t="shared" si="0"/>
        <v>0</v>
      </c>
      <c r="AZ116" s="129">
        <f t="shared" si="0"/>
        <v>0</v>
      </c>
      <c r="BA116" s="129">
        <f t="shared" si="0"/>
        <v>0</v>
      </c>
      <c r="BB116" s="129">
        <f t="shared" si="0"/>
        <v>0</v>
      </c>
      <c r="BC116" s="129" t="e">
        <f t="shared" si="0"/>
        <v>#VALUE!</v>
      </c>
      <c r="BD116" s="129" t="e">
        <f t="shared" si="0"/>
        <v>#VALUE!</v>
      </c>
      <c r="BE116" s="129" t="e">
        <f t="shared" si="0"/>
        <v>#VALUE!</v>
      </c>
      <c r="BF116" s="129" t="e">
        <f t="shared" si="0"/>
        <v>#VALUE!</v>
      </c>
      <c r="BG116" s="129" t="e">
        <f t="shared" si="0"/>
        <v>#VALUE!</v>
      </c>
      <c r="BH116" s="129">
        <f t="shared" si="0"/>
        <v>0</v>
      </c>
      <c r="BI116" s="129">
        <f t="shared" si="0"/>
        <v>0</v>
      </c>
      <c r="BJ116" s="129">
        <f t="shared" si="0"/>
        <v>0</v>
      </c>
      <c r="BK116" s="129">
        <f t="shared" si="0"/>
        <v>0</v>
      </c>
      <c r="BL116" s="129">
        <f t="shared" si="0"/>
        <v>0</v>
      </c>
      <c r="BM116" s="129">
        <f t="shared" si="0"/>
        <v>0</v>
      </c>
      <c r="BN116" s="129">
        <f t="shared" si="0"/>
        <v>0</v>
      </c>
      <c r="BO116" s="129">
        <f t="shared" si="0"/>
        <v>0</v>
      </c>
      <c r="BP116" s="129">
        <f t="shared" ref="BP116:EA116" si="1">BP110-BP115</f>
        <v>0</v>
      </c>
      <c r="BQ116" s="129">
        <f t="shared" si="1"/>
        <v>0</v>
      </c>
      <c r="BR116" s="129">
        <f t="shared" si="1"/>
        <v>0</v>
      </c>
      <c r="BS116" s="129">
        <f t="shared" si="1"/>
        <v>0</v>
      </c>
      <c r="BT116" s="129">
        <f t="shared" si="1"/>
        <v>0</v>
      </c>
      <c r="BU116" s="129">
        <f t="shared" si="1"/>
        <v>0</v>
      </c>
      <c r="BV116" s="129">
        <f t="shared" si="1"/>
        <v>0</v>
      </c>
      <c r="BW116" s="129">
        <f t="shared" si="1"/>
        <v>0</v>
      </c>
      <c r="BX116" s="129">
        <f t="shared" si="1"/>
        <v>0</v>
      </c>
      <c r="BY116" s="129">
        <f t="shared" si="1"/>
        <v>0</v>
      </c>
      <c r="BZ116" s="129">
        <f t="shared" si="1"/>
        <v>0</v>
      </c>
      <c r="CA116" s="129">
        <f t="shared" si="1"/>
        <v>0</v>
      </c>
      <c r="CB116" s="129">
        <f t="shared" si="1"/>
        <v>0</v>
      </c>
      <c r="CC116" s="129">
        <f t="shared" si="1"/>
        <v>0</v>
      </c>
      <c r="CD116" s="129">
        <f t="shared" si="1"/>
        <v>0</v>
      </c>
      <c r="CE116" s="129">
        <f t="shared" si="1"/>
        <v>0</v>
      </c>
      <c r="CF116" s="129">
        <f t="shared" si="1"/>
        <v>0</v>
      </c>
      <c r="CG116" s="129">
        <f t="shared" si="1"/>
        <v>0</v>
      </c>
      <c r="CH116" s="129">
        <f t="shared" si="1"/>
        <v>0</v>
      </c>
      <c r="CI116" s="129">
        <f t="shared" si="1"/>
        <v>0</v>
      </c>
      <c r="CJ116" s="129">
        <f t="shared" si="1"/>
        <v>0</v>
      </c>
      <c r="CK116" s="129" t="e">
        <f t="shared" si="1"/>
        <v>#VALUE!</v>
      </c>
      <c r="CL116" s="129">
        <f t="shared" si="1"/>
        <v>1633</v>
      </c>
      <c r="CM116" s="129">
        <f t="shared" si="1"/>
        <v>1601</v>
      </c>
      <c r="CN116" s="129">
        <f t="shared" si="1"/>
        <v>1585</v>
      </c>
      <c r="CO116" s="129">
        <f t="shared" si="1"/>
        <v>1601</v>
      </c>
      <c r="CP116" s="129">
        <f t="shared" si="1"/>
        <v>-384</v>
      </c>
      <c r="CQ116" s="129">
        <f t="shared" si="1"/>
        <v>-1.9318547068224277</v>
      </c>
      <c r="CR116" s="129">
        <f t="shared" si="1"/>
        <v>-2.9024732045762391E-2</v>
      </c>
      <c r="CS116" s="129">
        <f t="shared" si="1"/>
        <v>-0.57003888509608558</v>
      </c>
      <c r="CT116" s="129">
        <f t="shared" si="1"/>
        <v>0.37935893461151338</v>
      </c>
      <c r="CU116" s="129">
        <f t="shared" si="1"/>
        <v>-12.079650193463147</v>
      </c>
      <c r="CV116" s="129">
        <f t="shared" si="1"/>
        <v>-0.7114568158632153</v>
      </c>
      <c r="CW116" s="129">
        <f t="shared" si="1"/>
        <v>-0.44572974217311279</v>
      </c>
      <c r="CX116" s="129">
        <f t="shared" si="1"/>
        <v>-1.3350870690784253</v>
      </c>
      <c r="CY116" s="129">
        <f t="shared" si="1"/>
        <v>0.15590776022403219</v>
      </c>
      <c r="CZ116" s="129">
        <f t="shared" si="1"/>
        <v>-3.75</v>
      </c>
      <c r="DA116" s="129">
        <f t="shared" si="1"/>
        <v>-0.31805220443079651</v>
      </c>
      <c r="DB116" s="129">
        <f t="shared" si="1"/>
        <v>0.90413768565867425</v>
      </c>
      <c r="DC116" s="129">
        <f t="shared" si="1"/>
        <v>-3.8198887717832974E-3</v>
      </c>
      <c r="DD116" s="129">
        <f t="shared" si="1"/>
        <v>-0.29346863672836943</v>
      </c>
      <c r="DE116" s="129">
        <f t="shared" si="1"/>
        <v>-6.94</v>
      </c>
      <c r="DF116" s="129">
        <f t="shared" si="1"/>
        <v>3.2496297368626301</v>
      </c>
      <c r="DG116" s="129">
        <f t="shared" si="1"/>
        <v>0.4474609061977759</v>
      </c>
      <c r="DH116" s="129">
        <f t="shared" si="1"/>
        <v>0.27362600099121437</v>
      </c>
      <c r="DI116" s="129">
        <f t="shared" si="1"/>
        <v>-3.2866733477732168E-2</v>
      </c>
      <c r="DJ116" s="129">
        <f t="shared" si="1"/>
        <v>-84.6</v>
      </c>
      <c r="DK116" s="129">
        <f t="shared" si="1"/>
        <v>-15.416117718013128</v>
      </c>
      <c r="DL116" s="129">
        <f t="shared" si="1"/>
        <v>-16.522301871764238</v>
      </c>
      <c r="DM116" s="129">
        <f t="shared" si="1"/>
        <v>-14.242655246698373</v>
      </c>
      <c r="DN116" s="129">
        <f t="shared" si="1"/>
        <v>-16.216556348135295</v>
      </c>
      <c r="DO116" s="129">
        <f t="shared" si="1"/>
        <v>-27.93733681462141</v>
      </c>
      <c r="DP116" s="129">
        <f t="shared" si="1"/>
        <v>-9.5422230406007458</v>
      </c>
      <c r="DQ116" s="129">
        <f t="shared" si="1"/>
        <v>-7.146284542738119</v>
      </c>
      <c r="DR116" s="129">
        <f t="shared" si="1"/>
        <v>-0.66130397530787732</v>
      </c>
      <c r="DS116" s="129">
        <f t="shared" si="1"/>
        <v>4.3743700388470472</v>
      </c>
      <c r="DT116" s="129">
        <f t="shared" si="1"/>
        <v>-38.28</v>
      </c>
      <c r="DU116" s="129">
        <f t="shared" si="1"/>
        <v>12</v>
      </c>
      <c r="DV116" s="129">
        <f t="shared" si="1"/>
        <v>12</v>
      </c>
      <c r="DW116" s="129">
        <f t="shared" si="1"/>
        <v>6</v>
      </c>
      <c r="DX116" s="129">
        <f t="shared" si="1"/>
        <v>3</v>
      </c>
      <c r="DY116" s="129">
        <f t="shared" si="1"/>
        <v>-2</v>
      </c>
      <c r="DZ116" s="129">
        <f t="shared" si="1"/>
        <v>-80.488932641250528</v>
      </c>
      <c r="EA116" s="129">
        <f t="shared" si="1"/>
        <v>4.8804735175810228</v>
      </c>
      <c r="EB116" s="129">
        <f t="shared" ref="EB116:GM116" si="2">EB110-EB115</f>
        <v>-4.6959662853702593</v>
      </c>
      <c r="EC116" s="129">
        <f t="shared" si="2"/>
        <v>-0.98437949899222543</v>
      </c>
      <c r="ED116" s="129">
        <f t="shared" si="2"/>
        <v>-7.7777777777777777</v>
      </c>
      <c r="EE116" s="129">
        <f t="shared" si="2"/>
        <v>0</v>
      </c>
      <c r="EF116" s="129">
        <f t="shared" si="2"/>
        <v>0</v>
      </c>
      <c r="EG116" s="129">
        <f t="shared" si="2"/>
        <v>0</v>
      </c>
      <c r="EH116" s="129">
        <f t="shared" si="2"/>
        <v>0</v>
      </c>
      <c r="EI116" s="129">
        <f t="shared" si="2"/>
        <v>0</v>
      </c>
      <c r="EJ116" s="129">
        <f t="shared" si="2"/>
        <v>5.4521614390527766</v>
      </c>
      <c r="EK116" s="129">
        <f t="shared" si="2"/>
        <v>-36.854228364593617</v>
      </c>
      <c r="EL116" s="129">
        <f t="shared" si="2"/>
        <v>1778</v>
      </c>
      <c r="EM116" s="129">
        <f t="shared" si="2"/>
        <v>1802</v>
      </c>
      <c r="EN116" s="129">
        <f t="shared" si="2"/>
        <v>1662</v>
      </c>
      <c r="EO116" s="129">
        <f t="shared" si="2"/>
        <v>1576</v>
      </c>
      <c r="EP116" s="129">
        <f t="shared" si="2"/>
        <v>-397</v>
      </c>
      <c r="EQ116" s="129">
        <f t="shared" si="2"/>
        <v>29.110681974226509</v>
      </c>
      <c r="ER116" s="129">
        <f t="shared" si="2"/>
        <v>119.1029899211062</v>
      </c>
      <c r="ES116" s="129">
        <f t="shared" si="2"/>
        <v>-57.074766314568251</v>
      </c>
      <c r="ET116" s="129">
        <f t="shared" si="2"/>
        <v>45.320221623539283</v>
      </c>
      <c r="EU116" s="129">
        <f t="shared" si="2"/>
        <v>-1248.859668438768</v>
      </c>
      <c r="EV116" s="129">
        <f t="shared" si="2"/>
        <v>55.611505539999939</v>
      </c>
      <c r="EW116" s="129">
        <f t="shared" si="2"/>
        <v>104.20669779000093</v>
      </c>
      <c r="EX116" s="129">
        <f t="shared" si="2"/>
        <v>-35.833513359999984</v>
      </c>
      <c r="EY116" s="129">
        <f t="shared" si="2"/>
        <v>41.753134950000003</v>
      </c>
      <c r="EZ116" s="129">
        <f t="shared" si="2"/>
        <v>-742.90019260749455</v>
      </c>
      <c r="FA116" s="129">
        <f t="shared" si="2"/>
        <v>646</v>
      </c>
      <c r="FB116" s="129">
        <f t="shared" si="2"/>
        <v>544</v>
      </c>
      <c r="FC116" s="129">
        <f t="shared" si="2"/>
        <v>443</v>
      </c>
      <c r="FD116" s="129">
        <f t="shared" si="2"/>
        <v>357</v>
      </c>
      <c r="FE116" s="129">
        <f t="shared" si="2"/>
        <v>-72</v>
      </c>
      <c r="FF116" s="129">
        <f t="shared" si="2"/>
        <v>398</v>
      </c>
      <c r="FG116" s="129">
        <f t="shared" si="2"/>
        <v>406</v>
      </c>
      <c r="FH116" s="129">
        <f t="shared" si="2"/>
        <v>371</v>
      </c>
      <c r="FI116" s="129">
        <f t="shared" si="2"/>
        <v>355</v>
      </c>
      <c r="FJ116" s="129">
        <f t="shared" si="2"/>
        <v>-100</v>
      </c>
      <c r="FK116" s="129">
        <f t="shared" si="2"/>
        <v>193</v>
      </c>
      <c r="FL116" s="129">
        <f t="shared" si="2"/>
        <v>211</v>
      </c>
      <c r="FM116" s="129">
        <f t="shared" si="2"/>
        <v>141</v>
      </c>
      <c r="FN116" s="129">
        <f t="shared" si="2"/>
        <v>99</v>
      </c>
      <c r="FO116" s="129">
        <f t="shared" si="2"/>
        <v>-34</v>
      </c>
      <c r="FP116" s="129">
        <f t="shared" si="2"/>
        <v>83</v>
      </c>
      <c r="FQ116" s="129">
        <f t="shared" si="2"/>
        <v>81</v>
      </c>
      <c r="FR116" s="129">
        <f t="shared" si="2"/>
        <v>79</v>
      </c>
      <c r="FS116" s="129">
        <f t="shared" si="2"/>
        <v>65</v>
      </c>
      <c r="FT116" s="129">
        <f t="shared" si="2"/>
        <v>-17</v>
      </c>
      <c r="FU116" s="129">
        <f t="shared" si="2"/>
        <v>96.80341531000002</v>
      </c>
      <c r="FV116" s="129">
        <f t="shared" si="2"/>
        <v>70.706100469999967</v>
      </c>
      <c r="FW116" s="129">
        <f t="shared" si="2"/>
        <v>0.84710092000000259</v>
      </c>
      <c r="FX116" s="129">
        <f t="shared" si="2"/>
        <v>16.534839410000018</v>
      </c>
      <c r="FY116" s="129">
        <f t="shared" si="2"/>
        <v>-126.15018818657266</v>
      </c>
      <c r="FZ116" s="129">
        <f t="shared" si="2"/>
        <v>22.544497640000003</v>
      </c>
      <c r="GA116" s="129">
        <f t="shared" si="2"/>
        <v>33.467079549999994</v>
      </c>
      <c r="GB116" s="129">
        <f t="shared" si="2"/>
        <v>-10.581934200000006</v>
      </c>
      <c r="GC116" s="129">
        <f t="shared" si="2"/>
        <v>8.3295697000000075</v>
      </c>
      <c r="GD116" s="129">
        <f t="shared" si="2"/>
        <v>-210.87423744627225</v>
      </c>
      <c r="GE116" s="129">
        <f t="shared" si="2"/>
        <v>25.569892860000003</v>
      </c>
      <c r="GF116" s="129">
        <f t="shared" si="2"/>
        <v>75.829000000000008</v>
      </c>
      <c r="GG116" s="129">
        <f t="shared" si="2"/>
        <v>50.93</v>
      </c>
      <c r="GH116" s="129">
        <f t="shared" si="2"/>
        <v>-2.1976884400000003</v>
      </c>
      <c r="GI116" s="129">
        <f t="shared" si="2"/>
        <v>-54.602359713014032</v>
      </c>
      <c r="GJ116" s="129">
        <f t="shared" si="2"/>
        <v>48.769868718532223</v>
      </c>
      <c r="GK116" s="129">
        <f t="shared" si="2"/>
        <v>54.891370551366322</v>
      </c>
      <c r="GL116" s="129">
        <f t="shared" si="2"/>
        <v>47.179201456524886</v>
      </c>
      <c r="GM116" s="129">
        <f t="shared" si="2"/>
        <v>-8.115340048356849</v>
      </c>
      <c r="GN116" s="129" t="e">
        <f t="shared" ref="GN116:HU116" si="3">GN110-GN115</f>
        <v>#VALUE!</v>
      </c>
      <c r="GO116" s="129">
        <f t="shared" si="3"/>
        <v>151.78095457999996</v>
      </c>
      <c r="GP116" s="129">
        <f t="shared" si="3"/>
        <v>154.61076185999991</v>
      </c>
      <c r="GQ116" s="129">
        <f t="shared" si="3"/>
        <v>-69.642001570000048</v>
      </c>
      <c r="GR116" s="129">
        <f t="shared" si="3"/>
        <v>108.82230112999991</v>
      </c>
      <c r="GS116" s="129">
        <f t="shared" si="3"/>
        <v>-930.9671279256313</v>
      </c>
      <c r="GT116" s="129">
        <f t="shared" si="3"/>
        <v>-3.9017274200000429</v>
      </c>
      <c r="GU116" s="129">
        <f t="shared" si="3"/>
        <v>65.022034259999941</v>
      </c>
      <c r="GV116" s="129">
        <f t="shared" si="3"/>
        <v>-1.7596236200000703</v>
      </c>
      <c r="GW116" s="129">
        <f t="shared" si="3"/>
        <v>-26.177893240000003</v>
      </c>
      <c r="GX116" s="129">
        <f t="shared" si="3"/>
        <v>-590.69259954459108</v>
      </c>
      <c r="GY116" s="129">
        <f t="shared" si="3"/>
        <v>-393</v>
      </c>
      <c r="GZ116" s="129">
        <f t="shared" si="3"/>
        <v>0</v>
      </c>
      <c r="HA116" s="129">
        <f t="shared" si="3"/>
        <v>-3</v>
      </c>
      <c r="HB116" s="129">
        <f t="shared" si="3"/>
        <v>-1</v>
      </c>
      <c r="HC116" s="129">
        <f t="shared" si="3"/>
        <v>0</v>
      </c>
      <c r="HD116" s="129">
        <f t="shared" si="3"/>
        <v>0</v>
      </c>
      <c r="HE116" s="129">
        <f t="shared" si="3"/>
        <v>0</v>
      </c>
      <c r="HF116" s="129">
        <f t="shared" si="3"/>
        <v>0</v>
      </c>
      <c r="HG116" s="129">
        <f t="shared" si="3"/>
        <v>0</v>
      </c>
      <c r="HH116" s="129">
        <f t="shared" si="3"/>
        <v>0</v>
      </c>
      <c r="HI116" s="129">
        <f t="shared" si="3"/>
        <v>1.710466618836584</v>
      </c>
      <c r="HJ116" s="129">
        <f t="shared" si="3"/>
        <v>0.84607149229762513</v>
      </c>
      <c r="HK116" s="129">
        <f t="shared" si="3"/>
        <v>-0.37452044777178273</v>
      </c>
      <c r="HL116" s="129">
        <f t="shared" si="3"/>
        <v>47</v>
      </c>
      <c r="HM116" s="129">
        <f t="shared" si="3"/>
        <v>56</v>
      </c>
      <c r="HN116" s="129">
        <f t="shared" si="3"/>
        <v>57</v>
      </c>
      <c r="HO116" s="129">
        <f t="shared" si="3"/>
        <v>66</v>
      </c>
      <c r="HP116" s="129">
        <f t="shared" si="3"/>
        <v>-14</v>
      </c>
      <c r="HQ116" s="129">
        <f t="shared" si="3"/>
        <v>97</v>
      </c>
      <c r="HR116" s="129">
        <f t="shared" si="3"/>
        <v>108</v>
      </c>
      <c r="HS116" s="129">
        <f t="shared" si="3"/>
        <v>118</v>
      </c>
      <c r="HT116" s="129">
        <f t="shared" si="3"/>
        <v>98</v>
      </c>
      <c r="HU116" s="129">
        <f t="shared" si="3"/>
        <v>-24</v>
      </c>
      <c r="HV116" s="129">
        <f>SUM(GO116:HU116)</f>
        <v>-928.7229038268606</v>
      </c>
    </row>
    <row r="117" spans="1:230" x14ac:dyDescent="0.2">
      <c r="C117" s="123">
        <f t="shared" ref="C117:BN117" si="4">C105-C114</f>
        <v>9535</v>
      </c>
      <c r="D117" s="123">
        <f t="shared" si="4"/>
        <v>9498</v>
      </c>
      <c r="E117" s="123">
        <f t="shared" si="4"/>
        <v>9476</v>
      </c>
      <c r="F117" s="123">
        <f t="shared" si="4"/>
        <v>9483</v>
      </c>
      <c r="G117" s="123">
        <f t="shared" si="4"/>
        <v>9687</v>
      </c>
      <c r="H117" s="123">
        <f t="shared" si="4"/>
        <v>3907</v>
      </c>
      <c r="I117" s="123">
        <f t="shared" si="4"/>
        <v>3918</v>
      </c>
      <c r="J117" s="123">
        <f t="shared" si="4"/>
        <v>3923</v>
      </c>
      <c r="K117" s="123">
        <f t="shared" si="4"/>
        <v>3945</v>
      </c>
      <c r="L117" s="123">
        <f t="shared" si="4"/>
        <v>3918</v>
      </c>
      <c r="M117" s="123">
        <f t="shared" si="4"/>
        <v>0.27751314752500278</v>
      </c>
      <c r="N117" s="123">
        <f t="shared" si="4"/>
        <v>0.28804213184078975</v>
      </c>
      <c r="O117" s="123">
        <f t="shared" si="4"/>
        <v>0.34681197065609126</v>
      </c>
      <c r="P117" s="123">
        <f t="shared" si="4"/>
        <v>0.27824568859142573</v>
      </c>
      <c r="Q117" s="123">
        <f t="shared" si="4"/>
        <v>0.56837786388419431</v>
      </c>
      <c r="R117" s="123">
        <f t="shared" si="4"/>
        <v>0.32964935235418125</v>
      </c>
      <c r="S117" s="123">
        <f t="shared" si="4"/>
        <v>0.43833665043456094</v>
      </c>
      <c r="T117" s="123">
        <f t="shared" si="4"/>
        <v>0.54648488774339299</v>
      </c>
      <c r="U117" s="123">
        <f t="shared" si="4"/>
        <v>0.69261887653765086</v>
      </c>
      <c r="V117" s="123">
        <f t="shared" si="4"/>
        <v>0.67855613662668901</v>
      </c>
      <c r="W117" s="123">
        <f t="shared" si="4"/>
        <v>0.60716249987918047</v>
      </c>
      <c r="X117" s="123">
        <f t="shared" si="4"/>
        <v>0.72637878227535424</v>
      </c>
      <c r="Y117" s="123">
        <f t="shared" si="4"/>
        <v>0.8932968583994878</v>
      </c>
      <c r="Z117" s="123">
        <f t="shared" si="4"/>
        <v>0.9708645651290766</v>
      </c>
      <c r="AA117" s="123">
        <f t="shared" si="4"/>
        <v>1.2469340005108904</v>
      </c>
      <c r="AB117" s="123">
        <f t="shared" si="4"/>
        <v>-9.7797338859254346E-2</v>
      </c>
      <c r="AC117" s="123">
        <f t="shared" si="4"/>
        <v>-0.11716879780621081</v>
      </c>
      <c r="AD117" s="123">
        <f t="shared" si="4"/>
        <v>-0.11013148714180687</v>
      </c>
      <c r="AE117" s="123">
        <f t="shared" si="4"/>
        <v>-8.5321801991697477E-2</v>
      </c>
      <c r="AF117" s="123">
        <f t="shared" si="4"/>
        <v>-3.95268320830926E-2</v>
      </c>
      <c r="AG117" s="123">
        <f t="shared" si="4"/>
        <v>122.41666666666663</v>
      </c>
      <c r="AH117" s="123">
        <f t="shared" si="4"/>
        <v>118.83333333333337</v>
      </c>
      <c r="AI117" s="123">
        <f t="shared" si="4"/>
        <v>130.58333333333326</v>
      </c>
      <c r="AJ117" s="123">
        <f t="shared" si="4"/>
        <v>174.58333333333326</v>
      </c>
      <c r="AK117" s="123">
        <f t="shared" si="4"/>
        <v>238.33333333333326</v>
      </c>
      <c r="AL117" s="123">
        <f t="shared" si="4"/>
        <v>9276</v>
      </c>
      <c r="AM117" s="123">
        <f t="shared" si="4"/>
        <v>78</v>
      </c>
      <c r="AN117" s="123">
        <f t="shared" si="4"/>
        <v>49</v>
      </c>
      <c r="AO117" s="123">
        <f t="shared" si="4"/>
        <v>81</v>
      </c>
      <c r="AP117" s="123">
        <f t="shared" si="4"/>
        <v>0</v>
      </c>
      <c r="AQ117" s="123">
        <f t="shared" si="4"/>
        <v>163</v>
      </c>
      <c r="AR117" s="123">
        <f t="shared" si="4"/>
        <v>9365</v>
      </c>
      <c r="AS117" s="123">
        <f t="shared" si="4"/>
        <v>59</v>
      </c>
      <c r="AT117" s="123">
        <f t="shared" si="4"/>
        <v>34</v>
      </c>
      <c r="AU117" s="123">
        <f t="shared" si="4"/>
        <v>54</v>
      </c>
      <c r="AV117" s="123">
        <f t="shared" si="4"/>
        <v>119</v>
      </c>
      <c r="AW117" s="123">
        <f t="shared" si="4"/>
        <v>197</v>
      </c>
      <c r="AX117" s="123">
        <f t="shared" si="4"/>
        <v>-3.8235819542896934</v>
      </c>
      <c r="AY117" s="123">
        <f t="shared" si="4"/>
        <v>-172.46100180451322</v>
      </c>
      <c r="AZ117" s="123">
        <f t="shared" si="4"/>
        <v>-141.4046565879471</v>
      </c>
      <c r="BA117" s="123">
        <f t="shared" si="4"/>
        <v>27.768761633516988</v>
      </c>
      <c r="BB117" s="123">
        <f t="shared" si="4"/>
        <v>-338.98143030562642</v>
      </c>
      <c r="BC117" s="123" t="e">
        <f t="shared" si="4"/>
        <v>#VALUE!</v>
      </c>
      <c r="BD117" s="123" t="e">
        <f t="shared" si="4"/>
        <v>#VALUE!</v>
      </c>
      <c r="BE117" s="123" t="e">
        <f t="shared" si="4"/>
        <v>#VALUE!</v>
      </c>
      <c r="BF117" s="123" t="e">
        <f t="shared" si="4"/>
        <v>#VALUE!</v>
      </c>
      <c r="BG117" s="123" t="e">
        <f t="shared" si="4"/>
        <v>#VALUE!</v>
      </c>
      <c r="BH117" s="123">
        <f t="shared" si="4"/>
        <v>-0.23760544976322961</v>
      </c>
      <c r="BI117" s="123">
        <f t="shared" si="4"/>
        <v>-0.13279822749425563</v>
      </c>
      <c r="BJ117" s="123">
        <f t="shared" si="4"/>
        <v>-0.31989429237664524</v>
      </c>
      <c r="BK117" s="123">
        <f t="shared" si="4"/>
        <v>-0.16867516040985997</v>
      </c>
      <c r="BL117" s="123">
        <f t="shared" si="4"/>
        <v>-0.29499649960878038</v>
      </c>
      <c r="BM117" s="123">
        <f t="shared" si="4"/>
        <v>-0.21877177655540336</v>
      </c>
      <c r="BN117" s="123">
        <f t="shared" si="4"/>
        <v>-6.2261845011098771E-2</v>
      </c>
      <c r="BO117" s="123">
        <f t="shared" ref="BO117:DZ117" si="5">BO105-BO114</f>
        <v>-0.22885320260003716</v>
      </c>
      <c r="BP117" s="123">
        <f t="shared" si="5"/>
        <v>-0.15802905504373044</v>
      </c>
      <c r="BQ117" s="123">
        <f t="shared" si="5"/>
        <v>-0.40080265224219147</v>
      </c>
      <c r="BR117" s="123">
        <f t="shared" si="5"/>
        <v>1557</v>
      </c>
      <c r="BS117" s="123">
        <f t="shared" si="5"/>
        <v>1555</v>
      </c>
      <c r="BT117" s="123">
        <f t="shared" si="5"/>
        <v>1568</v>
      </c>
      <c r="BU117" s="123">
        <f t="shared" si="5"/>
        <v>1584</v>
      </c>
      <c r="BV117" s="123">
        <f t="shared" si="5"/>
        <v>-0.66609275701987514</v>
      </c>
      <c r="BW117" s="123">
        <f t="shared" si="5"/>
        <v>-1.0759018459211163</v>
      </c>
      <c r="BX117" s="123">
        <f t="shared" si="5"/>
        <v>-0.87192920243249716</v>
      </c>
      <c r="BY117" s="123">
        <f t="shared" si="5"/>
        <v>-0.73244478293982951</v>
      </c>
      <c r="BZ117" s="123">
        <f t="shared" si="5"/>
        <v>-0.73566889233721167</v>
      </c>
      <c r="CA117" s="123">
        <f t="shared" si="5"/>
        <v>-0.67464977435370432</v>
      </c>
      <c r="CB117" s="123">
        <f t="shared" si="5"/>
        <v>-0.71633904122966463</v>
      </c>
      <c r="CC117" s="123">
        <f t="shared" si="5"/>
        <v>-0.83069306930693099</v>
      </c>
      <c r="CD117" s="123">
        <f t="shared" si="5"/>
        <v>0.12173280363662009</v>
      </c>
      <c r="CE117" s="123">
        <f t="shared" si="5"/>
        <v>0.11400236782558082</v>
      </c>
      <c r="CF117" s="123">
        <f t="shared" si="5"/>
        <v>-0.37689650282763409</v>
      </c>
      <c r="CG117" s="123">
        <f t="shared" si="5"/>
        <v>-0.32208682406702138</v>
      </c>
      <c r="CH117" s="123">
        <f t="shared" si="5"/>
        <v>-0.63461047254151026</v>
      </c>
      <c r="CI117" s="123">
        <f t="shared" si="5"/>
        <v>-0.99025069637883689</v>
      </c>
      <c r="CJ117" s="123">
        <f t="shared" si="5"/>
        <v>-0.12100954979536027</v>
      </c>
      <c r="CK117" s="123" t="e">
        <f t="shared" si="5"/>
        <v>#VALUE!</v>
      </c>
      <c r="CL117" s="123">
        <f t="shared" si="5"/>
        <v>3221</v>
      </c>
      <c r="CM117" s="123">
        <f t="shared" si="5"/>
        <v>2955</v>
      </c>
      <c r="CN117" s="123">
        <f t="shared" si="5"/>
        <v>2983</v>
      </c>
      <c r="CO117" s="123">
        <f t="shared" si="5"/>
        <v>3267</v>
      </c>
      <c r="CP117" s="123">
        <f t="shared" si="5"/>
        <v>-619</v>
      </c>
      <c r="CQ117" s="123">
        <f t="shared" si="5"/>
        <v>-1.3085147440874128</v>
      </c>
      <c r="CR117" s="123">
        <f t="shared" si="5"/>
        <v>-1.9601122934518553</v>
      </c>
      <c r="CS117" s="123">
        <f t="shared" si="5"/>
        <v>-1.1426610733853746</v>
      </c>
      <c r="CT117" s="123">
        <f t="shared" si="5"/>
        <v>-0.41466811513948088</v>
      </c>
      <c r="CU117" s="123">
        <f t="shared" si="5"/>
        <v>-12.361704677077924</v>
      </c>
      <c r="CV117" s="123">
        <f t="shared" si="5"/>
        <v>-0.40879410215903134</v>
      </c>
      <c r="CW117" s="123">
        <f t="shared" si="5"/>
        <v>-1.5612071408330972</v>
      </c>
      <c r="CX117" s="123">
        <f t="shared" si="5"/>
        <v>1.0194232400339271</v>
      </c>
      <c r="CY117" s="123">
        <f t="shared" si="5"/>
        <v>0.26875326030255575</v>
      </c>
      <c r="CZ117" s="123">
        <f t="shared" si="5"/>
        <v>-6</v>
      </c>
      <c r="DA117" s="123">
        <f t="shared" si="5"/>
        <v>1.5612575597461298</v>
      </c>
      <c r="DB117" s="123">
        <f t="shared" si="5"/>
        <v>-0.11019258813427157</v>
      </c>
      <c r="DC117" s="123">
        <f t="shared" si="5"/>
        <v>-0.7725794106391124</v>
      </c>
      <c r="DD117" s="123">
        <f t="shared" si="5"/>
        <v>-1.624248101043511</v>
      </c>
      <c r="DE117" s="123">
        <f t="shared" si="5"/>
        <v>-9.23</v>
      </c>
      <c r="DF117" s="123">
        <f t="shared" si="5"/>
        <v>-0.56601371620320151</v>
      </c>
      <c r="DG117" s="123">
        <f t="shared" si="5"/>
        <v>0.76134927147325016</v>
      </c>
      <c r="DH117" s="123">
        <f t="shared" si="5"/>
        <v>-3.4472362927915299</v>
      </c>
      <c r="DI117" s="123">
        <f t="shared" si="5"/>
        <v>1.984457758096724</v>
      </c>
      <c r="DJ117" s="123">
        <f t="shared" si="5"/>
        <v>-82.89</v>
      </c>
      <c r="DK117" s="123">
        <f t="shared" si="5"/>
        <v>-20.280982801867477</v>
      </c>
      <c r="DL117" s="123">
        <f t="shared" si="5"/>
        <v>-20.500403817309753</v>
      </c>
      <c r="DM117" s="123">
        <f t="shared" si="5"/>
        <v>-20.193161709948278</v>
      </c>
      <c r="DN117" s="123">
        <f t="shared" si="5"/>
        <v>-17.932665972418693</v>
      </c>
      <c r="DO117" s="123">
        <f t="shared" si="5"/>
        <v>-29.821717990275527</v>
      </c>
      <c r="DP117" s="123">
        <f t="shared" si="5"/>
        <v>-10.417970110535091</v>
      </c>
      <c r="DQ117" s="123">
        <f t="shared" si="5"/>
        <v>-12.25605371587524</v>
      </c>
      <c r="DR117" s="123">
        <f t="shared" si="5"/>
        <v>-9.1246587172870086</v>
      </c>
      <c r="DS117" s="123">
        <f t="shared" si="5"/>
        <v>-0.46292543658191931</v>
      </c>
      <c r="DT117" s="123">
        <f t="shared" si="5"/>
        <v>-31.5</v>
      </c>
      <c r="DU117" s="123">
        <f t="shared" si="5"/>
        <v>17</v>
      </c>
      <c r="DV117" s="123">
        <f t="shared" si="5"/>
        <v>15</v>
      </c>
      <c r="DW117" s="123">
        <f t="shared" si="5"/>
        <v>17</v>
      </c>
      <c r="DX117" s="123">
        <f t="shared" si="5"/>
        <v>16</v>
      </c>
      <c r="DY117" s="123">
        <f t="shared" si="5"/>
        <v>-4</v>
      </c>
      <c r="DZ117" s="123">
        <f t="shared" si="5"/>
        <v>-85.739588566423208</v>
      </c>
      <c r="EA117" s="123">
        <f t="shared" ref="EA117:GL117" si="6">EA105-EA114</f>
        <v>1.0564905280747525</v>
      </c>
      <c r="EB117" s="123">
        <f t="shared" si="6"/>
        <v>1.0987081917782757</v>
      </c>
      <c r="EC117" s="123">
        <f t="shared" si="6"/>
        <v>1.3575860615836204</v>
      </c>
      <c r="ED117" s="123">
        <f t="shared" si="6"/>
        <v>-6.2314540059347179</v>
      </c>
      <c r="EE117" s="123">
        <f t="shared" si="6"/>
        <v>1.8693745672744058</v>
      </c>
      <c r="EF117" s="123">
        <f t="shared" si="6"/>
        <v>-0.34837844669370188</v>
      </c>
      <c r="EG117" s="123">
        <f t="shared" si="6"/>
        <v>-0.12748233380589713</v>
      </c>
      <c r="EH117" s="123">
        <f t="shared" si="6"/>
        <v>-0.17825547020100441</v>
      </c>
      <c r="EI117" s="123">
        <f t="shared" si="6"/>
        <v>-1.1471252219404278</v>
      </c>
      <c r="EJ117" s="123">
        <f t="shared" si="6"/>
        <v>-0.91548864818554776</v>
      </c>
      <c r="EK117" s="123">
        <f t="shared" si="6"/>
        <v>-23.4375</v>
      </c>
      <c r="EL117" s="123">
        <f t="shared" si="6"/>
        <v>2890</v>
      </c>
      <c r="EM117" s="123">
        <f t="shared" si="6"/>
        <v>2828</v>
      </c>
      <c r="EN117" s="123">
        <f t="shared" si="6"/>
        <v>2893</v>
      </c>
      <c r="EO117" s="123">
        <f t="shared" si="6"/>
        <v>2733</v>
      </c>
      <c r="EP117" s="123">
        <f t="shared" si="6"/>
        <v>-491</v>
      </c>
      <c r="EQ117" s="123">
        <f t="shared" si="6"/>
        <v>68.470678059946522</v>
      </c>
      <c r="ER117" s="123">
        <f t="shared" si="6"/>
        <v>-1.9425718897366551</v>
      </c>
      <c r="ES117" s="123">
        <f t="shared" si="6"/>
        <v>0.45833342948390055</v>
      </c>
      <c r="ET117" s="123">
        <f t="shared" si="6"/>
        <v>26.25916823726061</v>
      </c>
      <c r="EU117" s="123">
        <f t="shared" si="6"/>
        <v>-980.54878779406476</v>
      </c>
      <c r="EV117" s="123">
        <f t="shared" si="6"/>
        <v>112.86765301000003</v>
      </c>
      <c r="EW117" s="123">
        <f t="shared" si="6"/>
        <v>50.974541149999936</v>
      </c>
      <c r="EX117" s="123">
        <f t="shared" si="6"/>
        <v>13.204764510000018</v>
      </c>
      <c r="EY117" s="123">
        <f t="shared" si="6"/>
        <v>-2.0631559700000253</v>
      </c>
      <c r="EZ117" s="123">
        <f t="shared" si="6"/>
        <v>-615.17901486564483</v>
      </c>
      <c r="FA117" s="123">
        <f t="shared" si="6"/>
        <v>1005</v>
      </c>
      <c r="FB117" s="123">
        <f t="shared" si="6"/>
        <v>895</v>
      </c>
      <c r="FC117" s="123">
        <f t="shared" si="6"/>
        <v>742</v>
      </c>
      <c r="FD117" s="123">
        <f t="shared" si="6"/>
        <v>604</v>
      </c>
      <c r="FE117" s="123">
        <f t="shared" si="6"/>
        <v>-105</v>
      </c>
      <c r="FF117" s="123">
        <f t="shared" si="6"/>
        <v>704</v>
      </c>
      <c r="FG117" s="123">
        <f t="shared" si="6"/>
        <v>604</v>
      </c>
      <c r="FH117" s="123">
        <f t="shared" si="6"/>
        <v>665</v>
      </c>
      <c r="FI117" s="123">
        <f t="shared" si="6"/>
        <v>621</v>
      </c>
      <c r="FJ117" s="123">
        <f t="shared" si="6"/>
        <v>-108</v>
      </c>
      <c r="FK117" s="123">
        <f t="shared" si="6"/>
        <v>309</v>
      </c>
      <c r="FL117" s="123">
        <f t="shared" si="6"/>
        <v>326</v>
      </c>
      <c r="FM117" s="123">
        <f t="shared" si="6"/>
        <v>262</v>
      </c>
      <c r="FN117" s="123">
        <f t="shared" si="6"/>
        <v>191</v>
      </c>
      <c r="FO117" s="123">
        <f t="shared" si="6"/>
        <v>-35</v>
      </c>
      <c r="FP117" s="123">
        <f t="shared" si="6"/>
        <v>102</v>
      </c>
      <c r="FQ117" s="123">
        <f t="shared" si="6"/>
        <v>129</v>
      </c>
      <c r="FR117" s="123">
        <f t="shared" si="6"/>
        <v>132</v>
      </c>
      <c r="FS117" s="123">
        <f t="shared" si="6"/>
        <v>144</v>
      </c>
      <c r="FT117" s="123">
        <f t="shared" si="6"/>
        <v>-20</v>
      </c>
      <c r="FU117" s="123">
        <f t="shared" si="6"/>
        <v>113.65559742999999</v>
      </c>
      <c r="FV117" s="123">
        <f t="shared" si="6"/>
        <v>62.272043549999978</v>
      </c>
      <c r="FW117" s="123">
        <f t="shared" si="6"/>
        <v>32.926948039999985</v>
      </c>
      <c r="FX117" s="123">
        <f t="shared" si="6"/>
        <v>-15.522139229999993</v>
      </c>
      <c r="FY117" s="123">
        <f t="shared" si="6"/>
        <v>-118.70431157461987</v>
      </c>
      <c r="FZ117" s="123">
        <f t="shared" si="6"/>
        <v>30.236961360000009</v>
      </c>
      <c r="GA117" s="123">
        <f t="shared" si="6"/>
        <v>-15.214929519999998</v>
      </c>
      <c r="GB117" s="123">
        <f t="shared" si="6"/>
        <v>-4.2103551899999729</v>
      </c>
      <c r="GC117" s="123">
        <f t="shared" si="6"/>
        <v>-9.9031589400000257</v>
      </c>
      <c r="GD117" s="123">
        <f t="shared" si="6"/>
        <v>-144.70465326914101</v>
      </c>
      <c r="GE117" s="123">
        <f t="shared" si="6"/>
        <v>33.874281840000009</v>
      </c>
      <c r="GF117" s="123">
        <f t="shared" si="6"/>
        <v>26.224155209999999</v>
      </c>
      <c r="GG117" s="123">
        <f t="shared" si="6"/>
        <v>7.5261774799999941</v>
      </c>
      <c r="GH117" s="123">
        <f t="shared" si="6"/>
        <v>1.9401346400000037</v>
      </c>
      <c r="GI117" s="123">
        <f t="shared" si="6"/>
        <v>-41.828653297317551</v>
      </c>
      <c r="GJ117" s="123">
        <f t="shared" si="6"/>
        <v>-11.231697579201203</v>
      </c>
      <c r="GK117" s="123">
        <f t="shared" si="6"/>
        <v>0.70751042872386449</v>
      </c>
      <c r="GL117" s="123">
        <f t="shared" si="6"/>
        <v>-7.5139027735110986</v>
      </c>
      <c r="GM117" s="123">
        <f t="shared" ref="GM117:HU117" si="7">GM105-GM114</f>
        <v>10.002777745304115</v>
      </c>
      <c r="GN117" s="123" t="e">
        <f t="shared" si="7"/>
        <v>#VALUE!</v>
      </c>
      <c r="GO117" s="123">
        <f t="shared" si="7"/>
        <v>207.86666926999999</v>
      </c>
      <c r="GP117" s="123">
        <f t="shared" si="7"/>
        <v>124.32332071999986</v>
      </c>
      <c r="GQ117" s="123">
        <f t="shared" si="7"/>
        <v>153.3029819599999</v>
      </c>
      <c r="GR117" s="123">
        <f t="shared" si="7"/>
        <v>-30.47889361</v>
      </c>
      <c r="GS117" s="123">
        <f t="shared" si="7"/>
        <v>-753.96155853309665</v>
      </c>
      <c r="GT117" s="123">
        <f t="shared" si="7"/>
        <v>52.765770529999941</v>
      </c>
      <c r="GU117" s="123">
        <f t="shared" si="7"/>
        <v>-10.848788599999921</v>
      </c>
      <c r="GV117" s="123">
        <f t="shared" si="7"/>
        <v>-73.809072199999036</v>
      </c>
      <c r="GW117" s="123">
        <f t="shared" si="7"/>
        <v>14.433480239999994</v>
      </c>
      <c r="GX117" s="123">
        <f t="shared" si="7"/>
        <v>-515.267057257754</v>
      </c>
      <c r="GY117" s="123">
        <f t="shared" si="7"/>
        <v>-494</v>
      </c>
      <c r="GZ117" s="123">
        <f t="shared" si="7"/>
        <v>-3</v>
      </c>
      <c r="HA117" s="123">
        <f t="shared" si="7"/>
        <v>0</v>
      </c>
      <c r="HB117" s="123">
        <f t="shared" si="7"/>
        <v>-6</v>
      </c>
      <c r="HC117" s="123">
        <f t="shared" si="7"/>
        <v>-2</v>
      </c>
      <c r="HD117" s="123">
        <f t="shared" si="7"/>
        <v>151</v>
      </c>
      <c r="HE117" s="123">
        <f t="shared" si="7"/>
        <v>0</v>
      </c>
      <c r="HF117" s="123">
        <f t="shared" si="7"/>
        <v>0</v>
      </c>
      <c r="HG117" s="123">
        <f t="shared" si="7"/>
        <v>1</v>
      </c>
      <c r="HH117" s="123">
        <f t="shared" si="7"/>
        <v>1</v>
      </c>
      <c r="HI117" s="123">
        <f t="shared" si="7"/>
        <v>4.133234098679587</v>
      </c>
      <c r="HJ117" s="123">
        <f t="shared" si="7"/>
        <v>1.2479603092704892</v>
      </c>
      <c r="HK117" s="123">
        <f t="shared" si="7"/>
        <v>1.0140491403171943</v>
      </c>
      <c r="HL117" s="123">
        <f t="shared" si="7"/>
        <v>100</v>
      </c>
      <c r="HM117" s="123">
        <f t="shared" si="7"/>
        <v>103</v>
      </c>
      <c r="HN117" s="123">
        <f t="shared" si="7"/>
        <v>149</v>
      </c>
      <c r="HO117" s="123">
        <f t="shared" si="7"/>
        <v>150</v>
      </c>
      <c r="HP117" s="123">
        <f t="shared" si="7"/>
        <v>-36</v>
      </c>
      <c r="HQ117" s="123">
        <f t="shared" si="7"/>
        <v>224</v>
      </c>
      <c r="HR117" s="123">
        <f t="shared" si="7"/>
        <v>244</v>
      </c>
      <c r="HS117" s="123">
        <f t="shared" si="7"/>
        <v>249</v>
      </c>
      <c r="HT117" s="123">
        <f t="shared" si="7"/>
        <v>252</v>
      </c>
      <c r="HU117" s="123">
        <f t="shared" si="7"/>
        <v>-53</v>
      </c>
    </row>
    <row r="118" spans="1:230" x14ac:dyDescent="0.2">
      <c r="HI118" s="122"/>
      <c r="HJ118" s="122"/>
      <c r="HK118" s="122"/>
      <c r="HL118" s="122"/>
    </row>
    <row r="119" spans="1:230" x14ac:dyDescent="0.2">
      <c r="HI119" s="122"/>
      <c r="HJ119" s="122"/>
      <c r="HK119" s="122"/>
      <c r="HL119" s="122"/>
    </row>
    <row r="120" spans="1:230" x14ac:dyDescent="0.2">
      <c r="HI120" s="122"/>
      <c r="HJ120" s="122"/>
      <c r="HK120" s="122"/>
      <c r="HL120" s="122"/>
    </row>
    <row r="121" spans="1:230" x14ac:dyDescent="0.2">
      <c r="HI121" s="122"/>
      <c r="HJ121" s="122"/>
      <c r="HK121" s="122"/>
      <c r="HL121" s="122"/>
    </row>
    <row r="122" spans="1:230" x14ac:dyDescent="0.2">
      <c r="HI122" s="122"/>
      <c r="HJ122" s="122"/>
      <c r="HK122" s="122"/>
      <c r="HL122" s="122"/>
    </row>
    <row r="123" spans="1:230" x14ac:dyDescent="0.2">
      <c r="HI123" s="122"/>
      <c r="HJ123" s="122"/>
      <c r="HK123" s="122"/>
      <c r="HL123" s="122"/>
    </row>
    <row r="124" spans="1:230" x14ac:dyDescent="0.2">
      <c r="HI124" s="122"/>
      <c r="HJ124" s="122"/>
      <c r="HK124" s="122"/>
      <c r="HL124" s="122"/>
    </row>
    <row r="125" spans="1:230" x14ac:dyDescent="0.2">
      <c r="HI125" s="122"/>
      <c r="HJ125" s="122"/>
      <c r="HK125" s="122"/>
      <c r="HL125" s="122"/>
    </row>
    <row r="126" spans="1:230" x14ac:dyDescent="0.2">
      <c r="HI126" s="122"/>
      <c r="HJ126" s="122"/>
      <c r="HK126" s="122"/>
      <c r="HL126" s="122"/>
    </row>
    <row r="127" spans="1:230" x14ac:dyDescent="0.2">
      <c r="A127" s="93">
        <v>1</v>
      </c>
      <c r="B127" s="93">
        <v>2</v>
      </c>
      <c r="D127" s="93">
        <v>3</v>
      </c>
      <c r="E127" s="133">
        <v>4</v>
      </c>
      <c r="F127" s="133">
        <v>5</v>
      </c>
      <c r="G127" s="133">
        <v>6</v>
      </c>
      <c r="H127" s="133">
        <v>7</v>
      </c>
      <c r="I127" s="93">
        <v>8</v>
      </c>
      <c r="J127" s="93">
        <v>9</v>
      </c>
      <c r="K127" s="93">
        <v>10</v>
      </c>
      <c r="L127" s="133">
        <v>11</v>
      </c>
      <c r="M127" s="133">
        <v>12</v>
      </c>
      <c r="N127" s="133">
        <v>13</v>
      </c>
      <c r="O127" s="133">
        <v>14</v>
      </c>
      <c r="P127" s="93">
        <v>15</v>
      </c>
      <c r="Q127" s="93">
        <v>16</v>
      </c>
      <c r="R127" s="93">
        <v>17</v>
      </c>
      <c r="S127" s="133">
        <v>18</v>
      </c>
      <c r="T127" s="133">
        <v>19</v>
      </c>
      <c r="U127" s="133">
        <v>20</v>
      </c>
      <c r="V127" s="133">
        <v>21</v>
      </c>
      <c r="W127" s="93">
        <v>22</v>
      </c>
      <c r="X127" s="93">
        <v>23</v>
      </c>
      <c r="Y127" s="93">
        <v>24</v>
      </c>
      <c r="Z127" s="133">
        <v>25</v>
      </c>
      <c r="AA127" s="133">
        <v>26</v>
      </c>
      <c r="AB127" s="133">
        <v>27</v>
      </c>
      <c r="AC127" s="133">
        <v>28</v>
      </c>
      <c r="AD127" s="93">
        <v>29</v>
      </c>
      <c r="AE127" s="93">
        <v>30</v>
      </c>
      <c r="AF127" s="93">
        <v>31</v>
      </c>
      <c r="AG127" s="133">
        <v>32</v>
      </c>
      <c r="AH127" s="133">
        <v>33</v>
      </c>
      <c r="AI127" s="133">
        <v>34</v>
      </c>
      <c r="AJ127" s="133">
        <v>35</v>
      </c>
      <c r="AK127" s="93">
        <v>36</v>
      </c>
      <c r="AL127" s="93">
        <v>37</v>
      </c>
      <c r="AM127" s="93">
        <v>38</v>
      </c>
      <c r="AN127" s="133">
        <v>39</v>
      </c>
      <c r="AO127" s="133">
        <v>40</v>
      </c>
      <c r="AP127" s="133">
        <v>41</v>
      </c>
      <c r="AQ127" s="133">
        <v>42</v>
      </c>
      <c r="AR127" s="93">
        <v>43</v>
      </c>
      <c r="AS127" s="93">
        <v>44</v>
      </c>
      <c r="AT127" s="93">
        <v>45</v>
      </c>
      <c r="AU127" s="133">
        <v>46</v>
      </c>
      <c r="AV127" s="133">
        <v>47</v>
      </c>
      <c r="AW127" s="133">
        <v>48</v>
      </c>
      <c r="AX127" s="133">
        <v>49</v>
      </c>
      <c r="AY127" s="93">
        <v>50</v>
      </c>
      <c r="AZ127" s="93">
        <v>51</v>
      </c>
      <c r="BA127" s="93">
        <v>52</v>
      </c>
      <c r="BB127" s="133">
        <v>53</v>
      </c>
      <c r="BC127" s="133">
        <v>54</v>
      </c>
      <c r="BD127" s="133">
        <v>55</v>
      </c>
      <c r="BE127" s="133">
        <v>56</v>
      </c>
      <c r="BF127" s="93">
        <v>57</v>
      </c>
      <c r="BG127" s="93">
        <v>58</v>
      </c>
      <c r="BH127" s="93">
        <v>59</v>
      </c>
      <c r="BI127" s="133">
        <v>60</v>
      </c>
      <c r="BJ127" s="133">
        <v>61</v>
      </c>
      <c r="BK127" s="133">
        <v>62</v>
      </c>
      <c r="BL127" s="133">
        <v>63</v>
      </c>
      <c r="BM127" s="93">
        <v>64</v>
      </c>
      <c r="BN127" s="93">
        <v>65</v>
      </c>
      <c r="BO127" s="93">
        <v>66</v>
      </c>
      <c r="BP127" s="133">
        <v>67</v>
      </c>
      <c r="BQ127" s="133">
        <v>68</v>
      </c>
      <c r="BR127" s="133">
        <v>69</v>
      </c>
      <c r="BS127" s="133">
        <v>70</v>
      </c>
      <c r="BT127" s="93">
        <v>71</v>
      </c>
      <c r="BU127" s="93">
        <v>72</v>
      </c>
      <c r="BV127" s="93">
        <v>73</v>
      </c>
      <c r="BW127" s="133">
        <v>74</v>
      </c>
      <c r="BX127" s="133">
        <v>75</v>
      </c>
      <c r="BY127" s="133">
        <v>76</v>
      </c>
      <c r="BZ127" s="133">
        <v>77</v>
      </c>
      <c r="CA127" s="93">
        <v>78</v>
      </c>
      <c r="CB127" s="93">
        <v>79</v>
      </c>
      <c r="CC127" s="93">
        <v>80</v>
      </c>
      <c r="CD127" s="133">
        <v>81</v>
      </c>
      <c r="CE127" s="133">
        <v>82</v>
      </c>
      <c r="CF127" s="133">
        <v>83</v>
      </c>
      <c r="CG127" s="133">
        <v>84</v>
      </c>
      <c r="CH127" s="93">
        <v>85</v>
      </c>
      <c r="CI127" s="93">
        <v>86</v>
      </c>
      <c r="CJ127" s="93">
        <v>87</v>
      </c>
      <c r="CK127" s="133">
        <v>88</v>
      </c>
      <c r="CL127" s="133">
        <v>89</v>
      </c>
      <c r="CM127" s="133">
        <v>90</v>
      </c>
      <c r="CN127" s="133">
        <v>91</v>
      </c>
      <c r="CO127" s="93">
        <v>92</v>
      </c>
      <c r="CP127" s="93">
        <v>93</v>
      </c>
      <c r="CQ127" s="93">
        <v>94</v>
      </c>
      <c r="CR127" s="133">
        <v>95</v>
      </c>
      <c r="CS127" s="133">
        <v>96</v>
      </c>
      <c r="CT127" s="133">
        <v>97</v>
      </c>
      <c r="CU127" s="133">
        <v>98</v>
      </c>
      <c r="CV127" s="93">
        <v>99</v>
      </c>
      <c r="CW127" s="93">
        <v>100</v>
      </c>
      <c r="CX127" s="93">
        <v>101</v>
      </c>
      <c r="CY127" s="133">
        <v>102</v>
      </c>
      <c r="CZ127" s="133">
        <v>103</v>
      </c>
      <c r="DA127" s="133">
        <v>104</v>
      </c>
      <c r="DB127" s="133">
        <v>105</v>
      </c>
      <c r="DC127" s="93">
        <v>106</v>
      </c>
      <c r="DD127" s="93">
        <v>107</v>
      </c>
      <c r="DE127" s="93">
        <v>108</v>
      </c>
      <c r="DF127" s="133">
        <v>109</v>
      </c>
      <c r="DG127" s="133">
        <v>110</v>
      </c>
      <c r="DH127" s="133">
        <v>111</v>
      </c>
      <c r="DI127" s="133">
        <v>112</v>
      </c>
      <c r="DJ127" s="93">
        <v>113</v>
      </c>
      <c r="DK127" s="93">
        <v>114</v>
      </c>
      <c r="DL127" s="93">
        <v>115</v>
      </c>
      <c r="DM127" s="133">
        <v>116</v>
      </c>
      <c r="DN127" s="133">
        <v>117</v>
      </c>
      <c r="DO127" s="133">
        <v>118</v>
      </c>
      <c r="DP127" s="133">
        <v>119</v>
      </c>
      <c r="DQ127" s="93">
        <v>120</v>
      </c>
      <c r="DR127" s="93">
        <v>121</v>
      </c>
      <c r="DS127" s="93">
        <v>122</v>
      </c>
      <c r="DT127" s="133">
        <v>123</v>
      </c>
      <c r="DU127" s="133">
        <v>124</v>
      </c>
      <c r="DV127" s="133">
        <v>125</v>
      </c>
      <c r="DW127" s="133">
        <v>126</v>
      </c>
      <c r="DX127" s="93">
        <v>127</v>
      </c>
      <c r="DY127" s="93">
        <v>128</v>
      </c>
      <c r="DZ127" s="93">
        <v>129</v>
      </c>
      <c r="EA127" s="133">
        <v>130</v>
      </c>
      <c r="EB127" s="133">
        <v>131</v>
      </c>
      <c r="EC127" s="133">
        <v>132</v>
      </c>
      <c r="ED127" s="133">
        <v>133</v>
      </c>
      <c r="EE127" s="93">
        <v>134</v>
      </c>
      <c r="EF127" s="93">
        <v>135</v>
      </c>
      <c r="EG127" s="93">
        <v>136</v>
      </c>
      <c r="EH127" s="133">
        <v>137</v>
      </c>
      <c r="EI127" s="133">
        <v>138</v>
      </c>
      <c r="EJ127" s="133">
        <v>139</v>
      </c>
      <c r="EK127" s="133">
        <v>140</v>
      </c>
      <c r="EL127" s="93">
        <v>141</v>
      </c>
      <c r="EM127" s="93">
        <v>142</v>
      </c>
      <c r="EN127" s="93">
        <v>143</v>
      </c>
      <c r="EO127" s="133">
        <v>144</v>
      </c>
      <c r="EP127" s="133">
        <v>145</v>
      </c>
      <c r="EQ127" s="133">
        <v>146</v>
      </c>
      <c r="ER127" s="133">
        <v>147</v>
      </c>
      <c r="ES127" s="93">
        <v>148</v>
      </c>
      <c r="ET127" s="93">
        <v>149</v>
      </c>
      <c r="EU127" s="93">
        <v>150</v>
      </c>
      <c r="EV127" s="133">
        <v>151</v>
      </c>
      <c r="EW127" s="133">
        <v>152</v>
      </c>
      <c r="EX127" s="133">
        <v>153</v>
      </c>
      <c r="EY127" s="133">
        <v>154</v>
      </c>
      <c r="EZ127" s="93">
        <v>155</v>
      </c>
      <c r="FA127" s="93">
        <v>156</v>
      </c>
      <c r="FB127" s="93">
        <v>157</v>
      </c>
      <c r="FC127" s="133">
        <v>158</v>
      </c>
      <c r="FD127" s="133">
        <v>159</v>
      </c>
      <c r="FE127" s="133">
        <v>160</v>
      </c>
      <c r="FF127" s="133">
        <v>161</v>
      </c>
      <c r="FG127" s="93">
        <v>162</v>
      </c>
      <c r="FH127" s="93">
        <v>163</v>
      </c>
      <c r="FI127" s="93">
        <v>164</v>
      </c>
      <c r="FJ127" s="133">
        <v>165</v>
      </c>
      <c r="FK127" s="133">
        <v>166</v>
      </c>
      <c r="FL127" s="133">
        <v>167</v>
      </c>
      <c r="FM127" s="133">
        <v>168</v>
      </c>
      <c r="FN127" s="93">
        <v>169</v>
      </c>
      <c r="FO127" s="93">
        <v>170</v>
      </c>
      <c r="FP127" s="93">
        <v>171</v>
      </c>
      <c r="FQ127" s="133">
        <v>172</v>
      </c>
      <c r="FR127" s="133">
        <v>173</v>
      </c>
      <c r="FS127" s="133">
        <v>174</v>
      </c>
      <c r="FT127" s="133">
        <v>175</v>
      </c>
      <c r="FU127" s="93">
        <v>176</v>
      </c>
      <c r="FV127" s="93">
        <v>177</v>
      </c>
      <c r="FW127" s="93">
        <v>178</v>
      </c>
      <c r="FX127" s="133">
        <v>179</v>
      </c>
      <c r="FY127" s="133">
        <v>180</v>
      </c>
      <c r="FZ127" s="133">
        <v>181</v>
      </c>
      <c r="GA127" s="133">
        <v>182</v>
      </c>
      <c r="GB127" s="93">
        <v>183</v>
      </c>
      <c r="GC127" s="93">
        <v>184</v>
      </c>
      <c r="GD127" s="93">
        <v>185</v>
      </c>
      <c r="GE127" s="133">
        <v>186</v>
      </c>
      <c r="GF127" s="133">
        <v>187</v>
      </c>
      <c r="GG127" s="133">
        <v>188</v>
      </c>
      <c r="GH127" s="133">
        <v>189</v>
      </c>
      <c r="GI127" s="93">
        <v>190</v>
      </c>
      <c r="GJ127" s="93">
        <v>191</v>
      </c>
      <c r="GK127" s="93">
        <v>192</v>
      </c>
      <c r="GL127" s="133">
        <v>193</v>
      </c>
      <c r="GM127" s="133">
        <v>194</v>
      </c>
      <c r="GN127" s="133">
        <v>195</v>
      </c>
      <c r="GO127" s="133">
        <v>196</v>
      </c>
      <c r="GP127" s="93">
        <v>197</v>
      </c>
      <c r="GQ127" s="93">
        <v>198</v>
      </c>
      <c r="GR127" s="93">
        <v>199</v>
      </c>
      <c r="GS127" s="133">
        <v>200</v>
      </c>
      <c r="GT127" s="133">
        <v>201</v>
      </c>
      <c r="GU127" s="133">
        <v>202</v>
      </c>
      <c r="GV127" s="133">
        <v>203</v>
      </c>
      <c r="GW127" s="93">
        <v>204</v>
      </c>
      <c r="GX127" s="93">
        <v>205</v>
      </c>
      <c r="GY127" s="93">
        <v>206</v>
      </c>
      <c r="GZ127" s="133">
        <v>207</v>
      </c>
      <c r="HA127" s="133">
        <v>208</v>
      </c>
      <c r="HB127" s="133">
        <v>209</v>
      </c>
      <c r="HC127" s="133">
        <v>210</v>
      </c>
      <c r="HD127" s="93">
        <v>211</v>
      </c>
      <c r="HE127" s="93">
        <v>212</v>
      </c>
      <c r="HF127" s="93">
        <v>213</v>
      </c>
      <c r="HG127" s="133">
        <v>214</v>
      </c>
      <c r="HH127" s="133">
        <v>215</v>
      </c>
      <c r="HI127" s="122"/>
      <c r="HJ127" s="122"/>
      <c r="HK127" s="122"/>
      <c r="HL127" s="122"/>
      <c r="HM127" s="133">
        <v>220</v>
      </c>
      <c r="HN127" s="133">
        <v>221</v>
      </c>
      <c r="HO127" s="133">
        <v>222</v>
      </c>
      <c r="HP127" s="133">
        <v>223</v>
      </c>
      <c r="HQ127" s="133">
        <v>224</v>
      </c>
      <c r="HR127" s="133">
        <v>225</v>
      </c>
      <c r="HS127" s="133">
        <v>226</v>
      </c>
      <c r="HT127" s="133">
        <v>227</v>
      </c>
      <c r="HU127" s="133">
        <v>228</v>
      </c>
    </row>
    <row r="128" spans="1:230" x14ac:dyDescent="0.2">
      <c r="HI128" s="122"/>
      <c r="HJ128" s="122"/>
      <c r="HK128" s="122"/>
      <c r="HL128" s="122"/>
    </row>
    <row r="129" spans="217:220" x14ac:dyDescent="0.2">
      <c r="HI129" s="122"/>
      <c r="HJ129" s="122"/>
      <c r="HK129" s="122"/>
      <c r="HL129" s="122"/>
    </row>
    <row r="130" spans="217:220" x14ac:dyDescent="0.2">
      <c r="HI130" s="122"/>
      <c r="HJ130" s="122"/>
      <c r="HK130" s="122"/>
      <c r="HL130" s="122"/>
    </row>
    <row r="131" spans="217:220" x14ac:dyDescent="0.2">
      <c r="HI131" s="122"/>
      <c r="HJ131" s="122"/>
      <c r="HK131" s="122"/>
      <c r="HL131" s="122"/>
    </row>
    <row r="132" spans="217:220" x14ac:dyDescent="0.2">
      <c r="HI132" s="122"/>
      <c r="HJ132" s="122"/>
      <c r="HK132" s="122"/>
      <c r="HL132" s="122"/>
    </row>
    <row r="133" spans="217:220" x14ac:dyDescent="0.2">
      <c r="HI133" s="122"/>
      <c r="HJ133" s="122"/>
      <c r="HK133" s="122"/>
      <c r="HL133" s="122"/>
    </row>
    <row r="134" spans="217:220" x14ac:dyDescent="0.2">
      <c r="HI134" s="122"/>
      <c r="HJ134" s="122"/>
      <c r="HK134" s="122"/>
      <c r="HL134" s="122"/>
    </row>
    <row r="135" spans="217:220" x14ac:dyDescent="0.2">
      <c r="HI135" s="122"/>
      <c r="HJ135" s="122"/>
      <c r="HK135" s="122"/>
      <c r="HL135" s="122"/>
    </row>
    <row r="136" spans="217:220" x14ac:dyDescent="0.2">
      <c r="HI136" s="122"/>
      <c r="HJ136" s="122"/>
      <c r="HK136" s="122"/>
      <c r="HL136" s="122"/>
    </row>
    <row r="137" spans="217:220" x14ac:dyDescent="0.2">
      <c r="HI137" s="122"/>
      <c r="HJ137" s="122"/>
      <c r="HK137" s="122"/>
      <c r="HL137" s="122"/>
    </row>
    <row r="138" spans="217:220" x14ac:dyDescent="0.2">
      <c r="HI138" s="122"/>
      <c r="HJ138" s="122"/>
      <c r="HK138" s="122"/>
      <c r="HL138" s="122"/>
    </row>
    <row r="139" spans="217:220" x14ac:dyDescent="0.2">
      <c r="HI139" s="122"/>
      <c r="HJ139" s="122"/>
      <c r="HK139" s="122"/>
      <c r="HL139" s="122"/>
    </row>
    <row r="140" spans="217:220" x14ac:dyDescent="0.2">
      <c r="HI140" s="122"/>
      <c r="HJ140" s="122"/>
      <c r="HK140" s="122"/>
      <c r="HL140" s="122"/>
    </row>
    <row r="141" spans="217:220" x14ac:dyDescent="0.2">
      <c r="HI141" s="122"/>
      <c r="HJ141" s="122"/>
      <c r="HK141" s="122"/>
      <c r="HL141" s="122"/>
    </row>
    <row r="142" spans="217:220" x14ac:dyDescent="0.2">
      <c r="HI142" s="122"/>
      <c r="HJ142" s="122"/>
      <c r="HK142" s="122"/>
      <c r="HL142" s="122"/>
    </row>
    <row r="143" spans="217:220" x14ac:dyDescent="0.2">
      <c r="HI143" s="122"/>
      <c r="HJ143" s="122"/>
      <c r="HK143" s="122"/>
      <c r="HL143" s="122"/>
    </row>
    <row r="144" spans="217:220" x14ac:dyDescent="0.2">
      <c r="HI144" s="122"/>
      <c r="HJ144" s="122"/>
      <c r="HK144" s="122"/>
      <c r="HL144" s="122"/>
    </row>
    <row r="145" spans="217:220" x14ac:dyDescent="0.2">
      <c r="HI145" s="122"/>
      <c r="HJ145" s="122"/>
      <c r="HK145" s="122"/>
      <c r="HL145" s="122"/>
    </row>
    <row r="146" spans="217:220" x14ac:dyDescent="0.2">
      <c r="HI146" s="122"/>
      <c r="HJ146" s="122"/>
      <c r="HK146" s="122"/>
      <c r="HL146" s="122"/>
    </row>
    <row r="147" spans="217:220" x14ac:dyDescent="0.2">
      <c r="HI147" s="122"/>
      <c r="HJ147" s="122"/>
      <c r="HK147" s="122"/>
      <c r="HL147" s="122"/>
    </row>
    <row r="148" spans="217:220" x14ac:dyDescent="0.2">
      <c r="HI148" s="122"/>
      <c r="HJ148" s="122"/>
      <c r="HK148" s="122"/>
      <c r="HL148" s="122"/>
    </row>
    <row r="149" spans="217:220" x14ac:dyDescent="0.2">
      <c r="HI149" s="122"/>
      <c r="HJ149" s="122"/>
      <c r="HK149" s="122"/>
      <c r="HL149" s="122"/>
    </row>
    <row r="150" spans="217:220" x14ac:dyDescent="0.2">
      <c r="HI150" s="122"/>
      <c r="HJ150" s="122"/>
      <c r="HK150" s="122"/>
      <c r="HL150" s="122"/>
    </row>
    <row r="151" spans="217:220" x14ac:dyDescent="0.2">
      <c r="HI151" s="122"/>
      <c r="HJ151" s="122"/>
      <c r="HK151" s="122"/>
      <c r="HL151" s="122"/>
    </row>
    <row r="152" spans="217:220" x14ac:dyDescent="0.2">
      <c r="HI152" s="122"/>
      <c r="HJ152" s="122"/>
      <c r="HK152" s="122"/>
      <c r="HL152" s="122"/>
    </row>
    <row r="153" spans="217:220" x14ac:dyDescent="0.2">
      <c r="HI153" s="122"/>
      <c r="HJ153" s="122"/>
      <c r="HK153" s="122"/>
      <c r="HL153" s="122"/>
    </row>
    <row r="154" spans="217:220" x14ac:dyDescent="0.2">
      <c r="HI154" s="122"/>
      <c r="HJ154" s="122"/>
      <c r="HK154" s="122"/>
      <c r="HL154" s="122"/>
    </row>
    <row r="155" spans="217:220" x14ac:dyDescent="0.2">
      <c r="HI155" s="122"/>
      <c r="HJ155" s="122"/>
      <c r="HK155" s="122"/>
      <c r="HL155" s="122"/>
    </row>
    <row r="156" spans="217:220" x14ac:dyDescent="0.2">
      <c r="HI156" s="122"/>
      <c r="HJ156" s="122"/>
      <c r="HK156" s="122"/>
      <c r="HL156" s="122"/>
    </row>
    <row r="157" spans="217:220" x14ac:dyDescent="0.2">
      <c r="HI157" s="122"/>
      <c r="HJ157" s="122"/>
      <c r="HK157" s="122"/>
      <c r="HL157" s="122"/>
    </row>
    <row r="158" spans="217:220" x14ac:dyDescent="0.2">
      <c r="HI158" s="122"/>
      <c r="HJ158" s="122"/>
      <c r="HK158" s="122"/>
      <c r="HL158" s="122"/>
    </row>
    <row r="159" spans="217:220" x14ac:dyDescent="0.2">
      <c r="HI159" s="122"/>
      <c r="HJ159" s="122"/>
      <c r="HK159" s="122"/>
      <c r="HL159" s="122"/>
    </row>
    <row r="160" spans="217:220" x14ac:dyDescent="0.2">
      <c r="HI160" s="122"/>
      <c r="HJ160" s="122"/>
      <c r="HK160" s="122"/>
      <c r="HL160" s="122"/>
    </row>
    <row r="161" spans="217:220" x14ac:dyDescent="0.2">
      <c r="HI161" s="122"/>
      <c r="HJ161" s="122"/>
      <c r="HK161" s="122"/>
      <c r="HL161" s="122"/>
    </row>
    <row r="162" spans="217:220" x14ac:dyDescent="0.2">
      <c r="HI162" s="122"/>
      <c r="HJ162" s="122"/>
      <c r="HK162" s="122"/>
      <c r="HL162" s="122"/>
    </row>
    <row r="163" spans="217:220" x14ac:dyDescent="0.2">
      <c r="HI163" s="122"/>
      <c r="HJ163" s="122"/>
      <c r="HK163" s="122"/>
      <c r="HL163" s="122"/>
    </row>
    <row r="164" spans="217:220" x14ac:dyDescent="0.2">
      <c r="HI164" s="122"/>
      <c r="HJ164" s="122"/>
      <c r="HK164" s="122"/>
      <c r="HL164" s="122"/>
    </row>
    <row r="165" spans="217:220" x14ac:dyDescent="0.2">
      <c r="HI165" s="122"/>
      <c r="HJ165" s="122"/>
      <c r="HK165" s="122"/>
      <c r="HL165" s="122"/>
    </row>
    <row r="166" spans="217:220" x14ac:dyDescent="0.2">
      <c r="HI166" s="122"/>
      <c r="HJ166" s="122"/>
      <c r="HK166" s="122"/>
      <c r="HL166" s="122"/>
    </row>
    <row r="167" spans="217:220" x14ac:dyDescent="0.2">
      <c r="HI167" s="122"/>
      <c r="HJ167" s="122"/>
      <c r="HK167" s="122"/>
      <c r="HL167" s="122"/>
    </row>
    <row r="168" spans="217:220" x14ac:dyDescent="0.2">
      <c r="HI168" s="122"/>
      <c r="HJ168" s="122"/>
      <c r="HK168" s="122"/>
      <c r="HL168" s="122"/>
    </row>
    <row r="169" spans="217:220" x14ac:dyDescent="0.2">
      <c r="HI169" s="122"/>
      <c r="HJ169" s="122"/>
      <c r="HK169" s="122"/>
      <c r="HL169" s="122"/>
    </row>
    <row r="170" spans="217:220" x14ac:dyDescent="0.2">
      <c r="HI170" s="122"/>
      <c r="HJ170" s="122"/>
      <c r="HK170" s="122"/>
      <c r="HL170" s="122"/>
    </row>
    <row r="171" spans="217:220" x14ac:dyDescent="0.2">
      <c r="HI171" s="122"/>
      <c r="HJ171" s="122"/>
      <c r="HK171" s="122"/>
      <c r="HL171" s="122"/>
    </row>
    <row r="172" spans="217:220" x14ac:dyDescent="0.2">
      <c r="HI172" s="122"/>
      <c r="HJ172" s="122"/>
      <c r="HK172" s="122"/>
      <c r="HL172" s="122"/>
    </row>
    <row r="173" spans="217:220" x14ac:dyDescent="0.2">
      <c r="HI173" s="122"/>
      <c r="HJ173" s="122"/>
      <c r="HK173" s="122"/>
      <c r="HL173" s="122"/>
    </row>
    <row r="174" spans="217:220" x14ac:dyDescent="0.2">
      <c r="HI174" s="122"/>
      <c r="HJ174" s="122"/>
      <c r="HK174" s="122"/>
      <c r="HL174" s="122"/>
    </row>
    <row r="175" spans="217:220" x14ac:dyDescent="0.2">
      <c r="HI175" s="122"/>
      <c r="HJ175" s="122"/>
      <c r="HK175" s="122"/>
      <c r="HL175" s="122"/>
    </row>
    <row r="176" spans="217:220" x14ac:dyDescent="0.2">
      <c r="HI176" s="122"/>
      <c r="HJ176" s="122"/>
      <c r="HK176" s="122"/>
      <c r="HL176" s="122"/>
    </row>
    <row r="177" spans="217:220" x14ac:dyDescent="0.2">
      <c r="HI177" s="122"/>
      <c r="HJ177" s="122"/>
      <c r="HK177" s="122"/>
      <c r="HL177" s="122"/>
    </row>
    <row r="178" spans="217:220" x14ac:dyDescent="0.2">
      <c r="HI178" s="122"/>
      <c r="HJ178" s="122"/>
      <c r="HK178" s="122"/>
      <c r="HL178" s="122"/>
    </row>
  </sheetData>
  <mergeCells count="46">
    <mergeCell ref="EJ1:EK1"/>
    <mergeCell ref="C1:G1"/>
    <mergeCell ref="H1:L1"/>
    <mergeCell ref="CQ1:CU1"/>
    <mergeCell ref="EE1:EI1"/>
    <mergeCell ref="BM1:BQ1"/>
    <mergeCell ref="BR1:BU1"/>
    <mergeCell ref="BV1:BY1"/>
    <mergeCell ref="BC1:BG1"/>
    <mergeCell ref="BH1:BL1"/>
    <mergeCell ref="CH1:CK1"/>
    <mergeCell ref="AX1:BB1"/>
    <mergeCell ref="DU1:DX1"/>
    <mergeCell ref="M1:Q1"/>
    <mergeCell ref="AB1:AF1"/>
    <mergeCell ref="AG1:AK1"/>
    <mergeCell ref="AL1:AP1"/>
    <mergeCell ref="W1:AA1"/>
    <mergeCell ref="R1:V1"/>
    <mergeCell ref="AR1:AV1"/>
    <mergeCell ref="BZ1:CC1"/>
    <mergeCell ref="CD1:CG1"/>
    <mergeCell ref="CL1:CP1"/>
    <mergeCell ref="DP1:DT1"/>
    <mergeCell ref="DA1:DE1"/>
    <mergeCell ref="DF1:DJ1"/>
    <mergeCell ref="DK1:DO1"/>
    <mergeCell ref="CV1:CZ1"/>
    <mergeCell ref="EL1:EP1"/>
    <mergeCell ref="EQ1:EU1"/>
    <mergeCell ref="EV1:EZ1"/>
    <mergeCell ref="FA1:FE1"/>
    <mergeCell ref="GO1:GS1"/>
    <mergeCell ref="FF1:FJ1"/>
    <mergeCell ref="FK1:FO1"/>
    <mergeCell ref="FP1:FT1"/>
    <mergeCell ref="FU1:FY1"/>
    <mergeCell ref="FZ1:GD1"/>
    <mergeCell ref="GJ1:GN1"/>
    <mergeCell ref="GE1:GI1"/>
    <mergeCell ref="HL1:HP1"/>
    <mergeCell ref="HQ1:HU1"/>
    <mergeCell ref="GT1:GX1"/>
    <mergeCell ref="GY1:HC1"/>
    <mergeCell ref="HD1:HH1"/>
    <mergeCell ref="HI1:HK1"/>
  </mergeCells>
  <phoneticPr fontId="0" type="noConversion"/>
  <hyperlinks>
    <hyperlink ref="EJ1:EK1" location="TeenCont" display="TeenCont"/>
  </hyperlinks>
  <pageMargins left="0.75" right="0.75" top="1" bottom="1" header="0.5" footer="0.5"/>
  <pageSetup orientation="portrait" r:id="rId1"/>
  <headerFooter alignWithMargins="0">
    <oddHeader>&amp;LDemographics</oddHeader>
    <oddFooter>&amp;L&amp;8Center for Health Statistics
Minnesota Department of Health&amp;R&amp;8&amp;P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1"/>
  <sheetViews>
    <sheetView showGridLines="0" zoomScale="85" zoomScaleNormal="85" zoomScaleSheetLayoutView="100" workbookViewId="0"/>
  </sheetViews>
  <sheetFormatPr defaultRowHeight="12.75" x14ac:dyDescent="0.2"/>
  <sheetData>
    <row r="2" spans="1:10" ht="18.75" customHeight="1" x14ac:dyDescent="0.2">
      <c r="B2" s="7"/>
      <c r="C2" s="7"/>
      <c r="D2" s="7"/>
      <c r="E2" s="7"/>
      <c r="F2" s="7"/>
      <c r="G2" s="7"/>
      <c r="H2" s="7"/>
    </row>
    <row r="3" spans="1:10" ht="18.75" customHeight="1" x14ac:dyDescent="0.2">
      <c r="B3" s="7"/>
      <c r="C3" s="7"/>
      <c r="D3" s="7"/>
      <c r="E3" s="7"/>
      <c r="F3" s="7"/>
      <c r="G3" s="7"/>
      <c r="H3" s="7"/>
    </row>
    <row r="4" spans="1:10" ht="18.75" customHeight="1" x14ac:dyDescent="0.2">
      <c r="B4" s="7"/>
      <c r="C4" s="7"/>
      <c r="D4" s="7"/>
      <c r="E4" s="7"/>
      <c r="F4" s="7"/>
      <c r="G4" s="7"/>
      <c r="H4" s="7"/>
    </row>
    <row r="5" spans="1:10" ht="18.75" x14ac:dyDescent="0.2">
      <c r="B5" s="7"/>
    </row>
    <row r="6" spans="1:10" ht="18.75" x14ac:dyDescent="0.2">
      <c r="B6" s="7"/>
    </row>
    <row r="7" spans="1:10" ht="15.75" x14ac:dyDescent="0.25">
      <c r="A7" s="1"/>
    </row>
    <row r="8" spans="1:10" ht="15.75" x14ac:dyDescent="0.25">
      <c r="A8" s="1"/>
    </row>
    <row r="9" spans="1:10" ht="15.75" x14ac:dyDescent="0.25">
      <c r="A9" s="1"/>
    </row>
    <row r="10" spans="1:10" ht="15.75" x14ac:dyDescent="0.25">
      <c r="A10" s="1"/>
    </row>
    <row r="11" spans="1:10" ht="15.75" x14ac:dyDescent="0.25">
      <c r="A11" s="1"/>
    </row>
    <row r="12" spans="1:10" ht="13.5" customHeight="1" x14ac:dyDescent="0.25">
      <c r="A12" s="1"/>
    </row>
    <row r="13" spans="1:10" ht="15.75" customHeight="1" x14ac:dyDescent="0.2">
      <c r="A13" s="156" t="s">
        <v>288</v>
      </c>
      <c r="B13" s="157"/>
      <c r="C13" s="157"/>
      <c r="D13" s="157"/>
      <c r="E13" s="157"/>
      <c r="F13" s="157"/>
      <c r="G13" s="157"/>
      <c r="H13" s="157"/>
      <c r="I13" s="157"/>
      <c r="J13" s="157"/>
    </row>
    <row r="14" spans="1:10" ht="15.75" customHeight="1" x14ac:dyDescent="0.2">
      <c r="A14" s="157"/>
      <c r="B14" s="157"/>
      <c r="C14" s="157"/>
      <c r="D14" s="157"/>
      <c r="E14" s="157"/>
      <c r="F14" s="157"/>
      <c r="G14" s="157"/>
      <c r="H14" s="157"/>
      <c r="I14" s="157"/>
      <c r="J14" s="157"/>
    </row>
    <row r="15" spans="1:10" ht="15.75" customHeight="1" x14ac:dyDescent="0.2">
      <c r="A15" s="157"/>
      <c r="B15" s="157"/>
      <c r="C15" s="157"/>
      <c r="D15" s="157"/>
      <c r="E15" s="157"/>
      <c r="F15" s="157"/>
      <c r="G15" s="157"/>
      <c r="H15" s="157"/>
      <c r="I15" s="157"/>
      <c r="J15" s="157"/>
    </row>
    <row r="16" spans="1:10" ht="15.75" customHeight="1" x14ac:dyDescent="0.2">
      <c r="A16" s="157"/>
      <c r="B16" s="157"/>
      <c r="C16" s="157"/>
      <c r="D16" s="157"/>
      <c r="E16" s="157"/>
      <c r="F16" s="157"/>
      <c r="G16" s="157"/>
      <c r="H16" s="157"/>
      <c r="I16" s="157"/>
      <c r="J16" s="157"/>
    </row>
    <row r="17" spans="1:10" ht="15.75" customHeight="1" x14ac:dyDescent="0.2">
      <c r="A17" s="157"/>
      <c r="B17" s="157"/>
      <c r="C17" s="157"/>
      <c r="D17" s="157"/>
      <c r="E17" s="157"/>
      <c r="F17" s="157"/>
      <c r="G17" s="157"/>
      <c r="H17" s="157"/>
      <c r="I17" s="157"/>
      <c r="J17" s="157"/>
    </row>
    <row r="18" spans="1:10" ht="15.75" customHeight="1" x14ac:dyDescent="0.2">
      <c r="A18" s="157"/>
      <c r="B18" s="157"/>
      <c r="C18" s="157"/>
      <c r="D18" s="157"/>
      <c r="E18" s="157"/>
      <c r="F18" s="157"/>
      <c r="G18" s="157"/>
      <c r="H18" s="157"/>
      <c r="I18" s="157"/>
      <c r="J18" s="157"/>
    </row>
    <row r="19" spans="1:10" ht="15.75" customHeight="1" x14ac:dyDescent="0.2">
      <c r="A19" s="157"/>
      <c r="B19" s="157"/>
      <c r="C19" s="157"/>
      <c r="D19" s="157"/>
      <c r="E19" s="157"/>
      <c r="F19" s="157"/>
      <c r="G19" s="157"/>
      <c r="H19" s="157"/>
      <c r="I19" s="157"/>
      <c r="J19" s="157"/>
    </row>
    <row r="20" spans="1:10" ht="15" customHeight="1" x14ac:dyDescent="0.2">
      <c r="A20" s="157"/>
      <c r="B20" s="157"/>
      <c r="C20" s="157"/>
      <c r="D20" s="157"/>
      <c r="E20" s="157"/>
      <c r="F20" s="157"/>
      <c r="G20" s="157"/>
      <c r="H20" s="157"/>
      <c r="I20" s="157"/>
      <c r="J20" s="157"/>
    </row>
    <row r="21" spans="1:10" ht="15.75" x14ac:dyDescent="0.25">
      <c r="A21" s="2"/>
    </row>
    <row r="22" spans="1:10" ht="15.75" x14ac:dyDescent="0.25">
      <c r="A22" s="2"/>
    </row>
    <row r="23" spans="1:10" ht="15.75" x14ac:dyDescent="0.25">
      <c r="A23" s="2"/>
    </row>
    <row r="24" spans="1:10" ht="15.75" x14ac:dyDescent="0.25">
      <c r="A24" s="2"/>
    </row>
    <row r="25" spans="1:10" ht="15.75" x14ac:dyDescent="0.25">
      <c r="A25" s="2"/>
    </row>
    <row r="26" spans="1:10" ht="15.75" x14ac:dyDescent="0.25">
      <c r="A26" s="2"/>
    </row>
    <row r="27" spans="1:10" ht="15.75" x14ac:dyDescent="0.25">
      <c r="A27" s="2"/>
    </row>
    <row r="28" spans="1:10" ht="15.75" x14ac:dyDescent="0.25">
      <c r="A28" s="2"/>
    </row>
    <row r="29" spans="1:10" ht="15.75" x14ac:dyDescent="0.25">
      <c r="A29" s="2"/>
    </row>
    <row r="30" spans="1:10" ht="15.75" x14ac:dyDescent="0.25">
      <c r="A30" s="2"/>
    </row>
    <row r="31" spans="1:10" ht="15.75" x14ac:dyDescent="0.25">
      <c r="A31" s="2"/>
    </row>
    <row r="32" spans="1:10" ht="15.75" x14ac:dyDescent="0.25">
      <c r="A32" s="2"/>
    </row>
    <row r="33" spans="1:10" ht="15.75" x14ac:dyDescent="0.25">
      <c r="A33" s="158" t="s">
        <v>284</v>
      </c>
      <c r="B33" s="158"/>
      <c r="C33" s="158"/>
      <c r="D33" s="158"/>
      <c r="E33" s="158"/>
      <c r="F33" s="158"/>
      <c r="G33" s="158"/>
      <c r="H33" s="158"/>
      <c r="I33" s="158"/>
      <c r="J33" s="158"/>
    </row>
    <row r="34" spans="1:10" ht="15.75" x14ac:dyDescent="0.25">
      <c r="A34" s="3"/>
    </row>
    <row r="35" spans="1:10" ht="15.75" x14ac:dyDescent="0.25">
      <c r="A35" s="159" t="s">
        <v>159</v>
      </c>
      <c r="B35" s="159"/>
      <c r="C35" s="159"/>
      <c r="D35" s="159"/>
      <c r="E35" s="159"/>
      <c r="F35" s="159"/>
      <c r="G35" s="159"/>
      <c r="H35" s="159"/>
      <c r="I35" s="159"/>
      <c r="J35" s="159"/>
    </row>
    <row r="36" spans="1:10" ht="15.75" x14ac:dyDescent="0.25">
      <c r="A36" s="159" t="s">
        <v>160</v>
      </c>
      <c r="B36" s="159"/>
      <c r="C36" s="159"/>
      <c r="D36" s="159"/>
      <c r="E36" s="159"/>
      <c r="F36" s="159"/>
      <c r="G36" s="159"/>
      <c r="H36" s="159"/>
      <c r="I36" s="159"/>
      <c r="J36" s="159"/>
    </row>
    <row r="37" spans="1:10" ht="15.75" x14ac:dyDescent="0.25">
      <c r="A37" s="159" t="s">
        <v>161</v>
      </c>
      <c r="B37" s="159"/>
      <c r="C37" s="159"/>
      <c r="D37" s="159"/>
      <c r="E37" s="159"/>
      <c r="F37" s="159"/>
      <c r="G37" s="159"/>
      <c r="H37" s="159"/>
      <c r="I37" s="159"/>
      <c r="J37" s="159"/>
    </row>
    <row r="38" spans="1:10" ht="15.75" x14ac:dyDescent="0.25">
      <c r="A38" s="159" t="s">
        <v>162</v>
      </c>
      <c r="B38" s="159"/>
      <c r="C38" s="159"/>
      <c r="D38" s="159"/>
      <c r="E38" s="159"/>
      <c r="F38" s="159"/>
      <c r="G38" s="159"/>
      <c r="H38" s="159"/>
      <c r="I38" s="159"/>
      <c r="J38" s="159"/>
    </row>
    <row r="39" spans="1:10" x14ac:dyDescent="0.2">
      <c r="A39" s="154" t="s">
        <v>163</v>
      </c>
      <c r="B39" s="154"/>
      <c r="C39" s="154"/>
      <c r="D39" s="154"/>
      <c r="E39" s="154"/>
      <c r="F39" s="154"/>
      <c r="G39" s="154"/>
      <c r="H39" s="154"/>
      <c r="I39" s="154"/>
      <c r="J39" s="154"/>
    </row>
    <row r="40" spans="1:10" x14ac:dyDescent="0.2">
      <c r="A40" s="155" t="s">
        <v>197</v>
      </c>
      <c r="B40" s="154"/>
      <c r="C40" s="154"/>
      <c r="D40" s="154"/>
      <c r="E40" s="154"/>
      <c r="F40" s="154"/>
      <c r="G40" s="154"/>
      <c r="H40" s="154"/>
      <c r="I40" s="154"/>
      <c r="J40" s="154"/>
    </row>
    <row r="41" spans="1:10" ht="15.75" x14ac:dyDescent="0.25">
      <c r="A41" s="2"/>
    </row>
  </sheetData>
  <mergeCells count="8">
    <mergeCell ref="A39:J39"/>
    <mergeCell ref="A40:J40"/>
    <mergeCell ref="A13:J20"/>
    <mergeCell ref="A33:J33"/>
    <mergeCell ref="A35:J35"/>
    <mergeCell ref="A36:J36"/>
    <mergeCell ref="A37:J37"/>
    <mergeCell ref="A38:J38"/>
  </mergeCells>
  <hyperlinks>
    <hyperlink ref="A39" r:id="rId1"/>
    <hyperlink ref="A40" r:id="rId2" display="mailto:healthstats@health.state.mn.us"/>
  </hyperlinks>
  <pageMargins left="0.75" right="0.75" top="0.5" bottom="0.5" header="0.5" footer="0.5"/>
  <pageSetup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J224"/>
  <sheetViews>
    <sheetView showGridLines="0" topLeftCell="A67" zoomScaleNormal="100" zoomScaleSheetLayoutView="70" workbookViewId="0">
      <selection activeCell="N83" sqref="N83"/>
    </sheetView>
  </sheetViews>
  <sheetFormatPr defaultRowHeight="12.75" x14ac:dyDescent="0.2"/>
  <sheetData>
    <row r="2" spans="1:10" ht="18.75" customHeight="1" x14ac:dyDescent="0.2">
      <c r="B2" s="7"/>
      <c r="C2" s="7"/>
      <c r="D2" s="7"/>
      <c r="E2" s="7"/>
      <c r="F2" s="7"/>
      <c r="G2" s="7"/>
      <c r="H2" s="7"/>
    </row>
    <row r="3" spans="1:10" ht="18.75" customHeight="1" x14ac:dyDescent="0.2">
      <c r="B3" s="7"/>
      <c r="C3" s="7"/>
      <c r="D3" s="7"/>
      <c r="E3" s="7"/>
      <c r="F3" s="7"/>
      <c r="G3" s="7"/>
      <c r="H3" s="7"/>
    </row>
    <row r="4" spans="1:10" ht="18.75" customHeight="1" x14ac:dyDescent="0.2">
      <c r="B4" s="7"/>
      <c r="C4" s="7"/>
      <c r="D4" s="7"/>
      <c r="E4" s="7"/>
      <c r="F4" s="7"/>
      <c r="G4" s="7"/>
      <c r="H4" s="7"/>
    </row>
    <row r="5" spans="1:10" ht="18.75" x14ac:dyDescent="0.2">
      <c r="B5" s="7"/>
    </row>
    <row r="7" spans="1:10" ht="15.75" x14ac:dyDescent="0.25">
      <c r="A7" s="3"/>
    </row>
    <row r="8" spans="1:10" s="38" customFormat="1" ht="15.75" x14ac:dyDescent="0.25">
      <c r="A8" s="84" t="s">
        <v>289</v>
      </c>
    </row>
    <row r="9" spans="1:10" ht="15.75" x14ac:dyDescent="0.25">
      <c r="A9" s="4"/>
    </row>
    <row r="10" spans="1:10" ht="15.75" x14ac:dyDescent="0.25">
      <c r="A10" s="4"/>
    </row>
    <row r="11" spans="1:10" ht="15.75" x14ac:dyDescent="0.25">
      <c r="A11" s="4"/>
    </row>
    <row r="12" spans="1:10" ht="15.75" x14ac:dyDescent="0.25">
      <c r="A12" s="4"/>
    </row>
    <row r="13" spans="1:10" ht="15.75" x14ac:dyDescent="0.25">
      <c r="A13" s="4"/>
      <c r="J13" s="11"/>
    </row>
    <row r="14" spans="1:10" ht="15" x14ac:dyDescent="0.2">
      <c r="A14" s="5"/>
    </row>
    <row r="15" spans="1:10" ht="15.75" x14ac:dyDescent="0.25">
      <c r="A15" s="3"/>
    </row>
    <row r="17" spans="1:2" ht="15.75" x14ac:dyDescent="0.25">
      <c r="A17" s="3"/>
    </row>
    <row r="19" spans="1:2" ht="15.75" x14ac:dyDescent="0.25">
      <c r="A19" s="4"/>
    </row>
    <row r="20" spans="1:2" ht="15.75" x14ac:dyDescent="0.25">
      <c r="A20" s="3"/>
    </row>
    <row r="21" spans="1:2" ht="15.75" x14ac:dyDescent="0.2">
      <c r="A21" s="8"/>
      <c r="B21" s="160"/>
    </row>
    <row r="22" spans="1:2" ht="15.75" x14ac:dyDescent="0.2">
      <c r="A22" s="8"/>
      <c r="B22" s="160"/>
    </row>
    <row r="23" spans="1:2" ht="15.75" x14ac:dyDescent="0.2">
      <c r="A23" s="8"/>
      <c r="B23" s="160"/>
    </row>
    <row r="24" spans="1:2" ht="15.75" x14ac:dyDescent="0.2">
      <c r="A24" s="8"/>
      <c r="B24" s="160"/>
    </row>
    <row r="25" spans="1:2" ht="15.75" x14ac:dyDescent="0.2">
      <c r="A25" s="8"/>
      <c r="B25" s="160"/>
    </row>
    <row r="26" spans="1:2" ht="15.75" x14ac:dyDescent="0.25">
      <c r="A26" s="3"/>
    </row>
    <row r="27" spans="1:2" ht="15.75" x14ac:dyDescent="0.25">
      <c r="A27" s="4"/>
    </row>
    <row r="28" spans="1:2" ht="15.75" x14ac:dyDescent="0.25">
      <c r="A28" s="3"/>
    </row>
    <row r="29" spans="1:2" ht="15.75" x14ac:dyDescent="0.25">
      <c r="A29" s="3"/>
    </row>
    <row r="30" spans="1:2" ht="15.75" x14ac:dyDescent="0.25">
      <c r="A30" s="3"/>
    </row>
    <row r="31" spans="1:2" ht="15.75" x14ac:dyDescent="0.25">
      <c r="A31" s="3"/>
    </row>
    <row r="32" spans="1:2" ht="15.75" x14ac:dyDescent="0.25">
      <c r="A32" s="3"/>
    </row>
    <row r="33" spans="1:1" ht="15.75" x14ac:dyDescent="0.25">
      <c r="A33" s="3"/>
    </row>
    <row r="34" spans="1:1" ht="15.75" x14ac:dyDescent="0.25">
      <c r="A34" s="3"/>
    </row>
    <row r="35" spans="1:1" ht="15.75" x14ac:dyDescent="0.25">
      <c r="A35" s="3"/>
    </row>
    <row r="36" spans="1:1" ht="15.75" x14ac:dyDescent="0.25">
      <c r="A36" s="3"/>
    </row>
    <row r="37" spans="1:1" ht="15.75" x14ac:dyDescent="0.25">
      <c r="A37" s="3"/>
    </row>
    <row r="38" spans="1:1" ht="15.75" x14ac:dyDescent="0.25">
      <c r="A38" s="3"/>
    </row>
    <row r="39" spans="1:1" ht="15.75" x14ac:dyDescent="0.25">
      <c r="A39" s="3"/>
    </row>
    <row r="40" spans="1:1" ht="15.75" x14ac:dyDescent="0.25">
      <c r="A40" s="4"/>
    </row>
    <row r="42" spans="1:1" ht="15.75" x14ac:dyDescent="0.25">
      <c r="A42" s="3"/>
    </row>
    <row r="43" spans="1:1" ht="15.75" x14ac:dyDescent="0.25">
      <c r="A43" s="4"/>
    </row>
    <row r="44" spans="1:1" ht="15.75" x14ac:dyDescent="0.25">
      <c r="A44" s="3"/>
    </row>
    <row r="45" spans="1:1" ht="15.75" x14ac:dyDescent="0.25">
      <c r="A45" s="3"/>
    </row>
    <row r="46" spans="1:1" ht="15.75" x14ac:dyDescent="0.25">
      <c r="A46" s="4"/>
    </row>
    <row r="47" spans="1:1" ht="15.75" x14ac:dyDescent="0.25">
      <c r="A47" s="3"/>
    </row>
    <row r="48" spans="1:1" ht="15.75" x14ac:dyDescent="0.25">
      <c r="A48" s="3"/>
    </row>
    <row r="49" spans="1:10" ht="15.75" x14ac:dyDescent="0.25">
      <c r="A49" s="3"/>
    </row>
    <row r="50" spans="1:10" ht="15.75" x14ac:dyDescent="0.25">
      <c r="A50" s="3"/>
    </row>
    <row r="51" spans="1:10" ht="15.75" x14ac:dyDescent="0.25">
      <c r="A51" s="4"/>
    </row>
    <row r="52" spans="1:10" ht="15.75" x14ac:dyDescent="0.25">
      <c r="A52" s="3"/>
    </row>
    <row r="53" spans="1:10" ht="15.75" x14ac:dyDescent="0.25">
      <c r="A53" s="3"/>
    </row>
    <row r="54" spans="1:10" ht="15.75" x14ac:dyDescent="0.25">
      <c r="A54" s="3"/>
    </row>
    <row r="55" spans="1:10" ht="15.75" x14ac:dyDescent="0.2">
      <c r="A55" s="8"/>
      <c r="B55" s="160"/>
      <c r="C55" s="9"/>
      <c r="D55" s="9"/>
    </row>
    <row r="56" spans="1:10" ht="15.75" x14ac:dyDescent="0.2">
      <c r="A56" s="8"/>
      <c r="B56" s="160"/>
      <c r="C56" s="9"/>
      <c r="D56" s="9"/>
    </row>
    <row r="57" spans="1:10" ht="15.75" x14ac:dyDescent="0.2">
      <c r="A57" s="8"/>
      <c r="B57" s="160"/>
      <c r="C57" s="9"/>
      <c r="D57" s="9"/>
    </row>
    <row r="58" spans="1:10" ht="15.75" x14ac:dyDescent="0.2">
      <c r="A58" s="8"/>
      <c r="B58" s="160"/>
      <c r="C58" s="9"/>
      <c r="D58" s="9"/>
    </row>
    <row r="59" spans="1:10" ht="15.75" x14ac:dyDescent="0.2">
      <c r="A59" s="8"/>
      <c r="B59" s="160"/>
      <c r="C59" s="9"/>
      <c r="D59" s="9"/>
      <c r="J59" s="11"/>
    </row>
    <row r="60" spans="1:10" ht="15.75" x14ac:dyDescent="0.25">
      <c r="A60" s="10"/>
      <c r="B60" s="9"/>
      <c r="C60" s="9"/>
      <c r="D60" s="9"/>
    </row>
    <row r="61" spans="1:10" ht="15.75" x14ac:dyDescent="0.25">
      <c r="A61" s="10"/>
      <c r="B61" s="9"/>
      <c r="C61" s="9"/>
      <c r="D61" s="9"/>
    </row>
    <row r="62" spans="1:10" ht="15.75" x14ac:dyDescent="0.25">
      <c r="A62" s="10"/>
      <c r="B62" s="9"/>
      <c r="C62" s="9"/>
      <c r="D62" s="9"/>
    </row>
    <row r="63" spans="1:10" ht="15.75" x14ac:dyDescent="0.2">
      <c r="A63" s="8"/>
      <c r="B63" s="160"/>
      <c r="C63" s="9"/>
      <c r="D63" s="9"/>
    </row>
    <row r="64" spans="1:10" ht="15.75" x14ac:dyDescent="0.2">
      <c r="A64" s="8"/>
      <c r="B64" s="160"/>
      <c r="C64" s="9"/>
      <c r="D64" s="9"/>
    </row>
    <row r="65" spans="1:4" ht="15.75" x14ac:dyDescent="0.2">
      <c r="A65" s="8"/>
      <c r="B65" s="160"/>
      <c r="C65" s="9"/>
      <c r="D65" s="9"/>
    </row>
    <row r="66" spans="1:4" ht="15.75" x14ac:dyDescent="0.2">
      <c r="A66" s="8"/>
      <c r="B66" s="160"/>
      <c r="C66" s="9"/>
      <c r="D66" s="9"/>
    </row>
    <row r="67" spans="1:4" ht="15.75" x14ac:dyDescent="0.2">
      <c r="A67" s="8"/>
      <c r="B67" s="160"/>
      <c r="C67" s="9"/>
      <c r="D67" s="9"/>
    </row>
    <row r="68" spans="1:4" ht="15.75" x14ac:dyDescent="0.2">
      <c r="A68" s="8"/>
      <c r="B68" s="160"/>
      <c r="C68" s="9"/>
      <c r="D68" s="9"/>
    </row>
    <row r="69" spans="1:4" ht="15.75" x14ac:dyDescent="0.25">
      <c r="A69" s="3"/>
    </row>
    <row r="70" spans="1:4" ht="15.75" x14ac:dyDescent="0.25">
      <c r="A70" s="3"/>
    </row>
    <row r="71" spans="1:4" ht="15.75" x14ac:dyDescent="0.25">
      <c r="A71" s="3"/>
    </row>
    <row r="72" spans="1:4" x14ac:dyDescent="0.2">
      <c r="A72" s="6"/>
    </row>
    <row r="73" spans="1:4" x14ac:dyDescent="0.2">
      <c r="A73" s="6"/>
    </row>
    <row r="74" spans="1:4" x14ac:dyDescent="0.2">
      <c r="A74" s="6"/>
    </row>
    <row r="75" spans="1:4" x14ac:dyDescent="0.2">
      <c r="A75" s="6"/>
    </row>
    <row r="76" spans="1:4" x14ac:dyDescent="0.2">
      <c r="A76" s="6"/>
    </row>
    <row r="77" spans="1:4" x14ac:dyDescent="0.2">
      <c r="A77" s="6"/>
    </row>
    <row r="78" spans="1:4" x14ac:dyDescent="0.2">
      <c r="A78" s="6"/>
    </row>
    <row r="79" spans="1:4" x14ac:dyDescent="0.2">
      <c r="A79" s="6"/>
    </row>
    <row r="80" spans="1:4" x14ac:dyDescent="0.2">
      <c r="A80" s="6"/>
    </row>
    <row r="81" spans="1:1" ht="15.75" x14ac:dyDescent="0.2">
      <c r="A81" s="82"/>
    </row>
    <row r="82" spans="1:1" ht="15.75" x14ac:dyDescent="0.2">
      <c r="A82" s="83"/>
    </row>
    <row r="112" spans="10:10" x14ac:dyDescent="0.2">
      <c r="J112" s="11"/>
    </row>
    <row r="116" spans="10:10" x14ac:dyDescent="0.2">
      <c r="J116" s="11"/>
    </row>
    <row r="168" spans="10:10" x14ac:dyDescent="0.2">
      <c r="J168" s="11">
        <v>5</v>
      </c>
    </row>
    <row r="172" spans="10:10" ht="14.25" customHeight="1" x14ac:dyDescent="0.2"/>
    <row r="224" spans="10:10" x14ac:dyDescent="0.2">
      <c r="J224" s="11"/>
    </row>
  </sheetData>
  <mergeCells count="3">
    <mergeCell ref="B63:B68"/>
    <mergeCell ref="B21:B25"/>
    <mergeCell ref="B55:B59"/>
  </mergeCells>
  <phoneticPr fontId="5" type="noConversion"/>
  <pageMargins left="0.75" right="0.75" top="0.5" bottom="0.5" header="0.5" footer="0.5"/>
  <pageSetup orientation="portrait" r:id="rId1"/>
  <headerFooter alignWithMargins="0"/>
  <rowBreaks count="5" manualBreakCount="5">
    <brk id="34" max="16383" man="1"/>
    <brk id="78" max="16383" man="1"/>
    <brk id="132" max="16383" man="1"/>
    <brk id="171" max="16383" man="1"/>
    <brk id="2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4"/>
  </sheetPr>
  <dimension ref="A2:X434"/>
  <sheetViews>
    <sheetView showGridLines="0" topLeftCell="A119" zoomScale="130" zoomScaleNormal="130" zoomScaleSheetLayoutView="85" zoomScalePageLayoutView="55" workbookViewId="0">
      <selection activeCell="A127" sqref="A127:K133"/>
    </sheetView>
  </sheetViews>
  <sheetFormatPr defaultRowHeight="12.75" x14ac:dyDescent="0.2"/>
  <cols>
    <col min="1" max="1" width="39.6640625" style="38" customWidth="1"/>
    <col min="2" max="3" width="10" style="40" customWidth="1"/>
    <col min="4" max="4" width="11.33203125" style="40" customWidth="1"/>
    <col min="5" max="5" width="11.1640625" style="40" customWidth="1"/>
    <col min="6" max="6" width="10.1640625" style="40" customWidth="1"/>
    <col min="7" max="7" width="2" style="40" customWidth="1"/>
    <col min="8" max="8" width="12.1640625" style="40" customWidth="1"/>
    <col min="9" max="9" width="12" style="40" customWidth="1"/>
    <col min="10" max="10" width="10.33203125" style="40" customWidth="1"/>
    <col min="11" max="11" width="10.6640625" style="40" customWidth="1"/>
    <col min="12" max="12" width="9.33203125" style="40" customWidth="1"/>
    <col min="13" max="16" width="9.33203125" style="38"/>
    <col min="17" max="17" width="8.1640625" style="38" customWidth="1"/>
    <col min="19" max="16384" width="9.33203125" style="38"/>
  </cols>
  <sheetData>
    <row r="2" spans="1:12" x14ac:dyDescent="0.2">
      <c r="A2" s="169" t="s">
        <v>287</v>
      </c>
      <c r="B2" s="170"/>
      <c r="C2" s="170"/>
      <c r="D2" s="170"/>
      <c r="E2" s="170"/>
      <c r="F2" s="170"/>
      <c r="G2" s="170"/>
      <c r="H2" s="170"/>
      <c r="I2" s="170"/>
      <c r="J2" s="170"/>
      <c r="K2" s="170"/>
      <c r="L2" s="170"/>
    </row>
    <row r="3" spans="1:12" x14ac:dyDescent="0.2">
      <c r="A3" s="170"/>
      <c r="B3" s="170"/>
      <c r="C3" s="170"/>
      <c r="D3" s="170"/>
      <c r="E3" s="170"/>
      <c r="F3" s="170"/>
      <c r="G3" s="170"/>
      <c r="H3" s="170"/>
      <c r="I3" s="170"/>
      <c r="J3" s="170"/>
      <c r="K3" s="170"/>
      <c r="L3" s="170"/>
    </row>
    <row r="4" spans="1:12" x14ac:dyDescent="0.2">
      <c r="A4" s="170"/>
      <c r="B4" s="170"/>
      <c r="C4" s="170"/>
      <c r="D4" s="170"/>
      <c r="E4" s="170"/>
      <c r="F4" s="170"/>
      <c r="G4" s="170"/>
      <c r="H4" s="170"/>
      <c r="I4" s="170"/>
      <c r="J4" s="170"/>
      <c r="K4" s="170"/>
      <c r="L4" s="170"/>
    </row>
    <row r="5" spans="1:12" x14ac:dyDescent="0.2">
      <c r="A5" s="170"/>
      <c r="B5" s="170"/>
      <c r="C5" s="170"/>
      <c r="D5" s="170"/>
      <c r="E5" s="170"/>
      <c r="F5" s="170"/>
      <c r="G5" s="170"/>
      <c r="H5" s="170"/>
      <c r="I5" s="170"/>
      <c r="J5" s="170"/>
      <c r="K5" s="170"/>
      <c r="L5" s="170"/>
    </row>
    <row r="6" spans="1:12" x14ac:dyDescent="0.2">
      <c r="A6" s="170"/>
      <c r="B6" s="170"/>
      <c r="C6" s="170"/>
      <c r="D6" s="170"/>
      <c r="E6" s="170"/>
      <c r="F6" s="170"/>
      <c r="G6" s="170"/>
      <c r="H6" s="170"/>
      <c r="I6" s="170"/>
      <c r="J6" s="170"/>
      <c r="K6" s="170"/>
      <c r="L6" s="170"/>
    </row>
    <row r="7" spans="1:12" x14ac:dyDescent="0.2">
      <c r="A7" s="170"/>
      <c r="B7" s="170"/>
      <c r="C7" s="170"/>
      <c r="D7" s="170"/>
      <c r="E7" s="170"/>
      <c r="F7" s="170"/>
      <c r="G7" s="170"/>
      <c r="H7" s="170"/>
      <c r="I7" s="170"/>
      <c r="J7" s="170"/>
      <c r="K7" s="170"/>
      <c r="L7" s="170"/>
    </row>
    <row r="8" spans="1:12" x14ac:dyDescent="0.2">
      <c r="A8" s="170"/>
      <c r="B8" s="170"/>
      <c r="C8" s="170"/>
      <c r="D8" s="170"/>
      <c r="E8" s="170"/>
      <c r="F8" s="170"/>
      <c r="G8" s="170"/>
      <c r="H8" s="170"/>
      <c r="I8" s="170"/>
      <c r="J8" s="170"/>
      <c r="K8" s="170"/>
      <c r="L8" s="170"/>
    </row>
    <row r="9" spans="1:12" x14ac:dyDescent="0.2">
      <c r="A9" s="170"/>
      <c r="B9" s="170"/>
      <c r="C9" s="170"/>
      <c r="D9" s="170"/>
      <c r="E9" s="170"/>
      <c r="F9" s="170"/>
      <c r="G9" s="170"/>
      <c r="H9" s="170"/>
      <c r="I9" s="170"/>
      <c r="J9" s="170"/>
      <c r="K9" s="170"/>
      <c r="L9" s="170"/>
    </row>
    <row r="10" spans="1:12" x14ac:dyDescent="0.2">
      <c r="A10" s="170"/>
      <c r="B10" s="170"/>
      <c r="C10" s="170"/>
      <c r="D10" s="170"/>
      <c r="E10" s="170"/>
      <c r="F10" s="170"/>
      <c r="G10" s="170"/>
      <c r="H10" s="170"/>
      <c r="I10" s="170"/>
      <c r="J10" s="170"/>
      <c r="K10" s="170"/>
      <c r="L10" s="170"/>
    </row>
    <row r="11" spans="1:12" x14ac:dyDescent="0.2">
      <c r="A11" s="171"/>
      <c r="B11" s="171"/>
      <c r="C11" s="171"/>
      <c r="D11" s="171"/>
      <c r="E11" s="171"/>
      <c r="F11" s="171"/>
      <c r="G11" s="171"/>
      <c r="H11" s="171"/>
      <c r="I11" s="171"/>
      <c r="J11" s="171"/>
      <c r="K11" s="171"/>
      <c r="L11" s="171"/>
    </row>
    <row r="12" spans="1:12" ht="14.25" customHeight="1" x14ac:dyDescent="0.2">
      <c r="A12" s="67"/>
      <c r="B12" s="67"/>
      <c r="C12" s="67"/>
      <c r="D12" s="67"/>
      <c r="E12" s="67"/>
      <c r="F12" s="67"/>
      <c r="G12" s="67"/>
      <c r="H12" s="67"/>
      <c r="I12" s="67"/>
      <c r="J12" s="67"/>
      <c r="K12" s="67"/>
      <c r="L12" s="67"/>
    </row>
    <row r="13" spans="1:12" ht="26.25" customHeight="1" x14ac:dyDescent="0.2">
      <c r="A13" s="78" t="s">
        <v>286</v>
      </c>
      <c r="B13" s="78"/>
      <c r="C13" s="78"/>
      <c r="D13" s="78"/>
      <c r="E13" s="81"/>
    </row>
    <row r="14" spans="1:12" ht="12.75" customHeight="1" x14ac:dyDescent="0.3">
      <c r="B14" s="79"/>
    </row>
    <row r="15" spans="1:12" ht="15.75" customHeight="1" x14ac:dyDescent="0.3">
      <c r="B15" s="77"/>
    </row>
    <row r="16" spans="1:12" ht="20.25" customHeight="1" x14ac:dyDescent="0.25">
      <c r="A16" s="172" t="s">
        <v>102</v>
      </c>
      <c r="B16" s="175"/>
      <c r="C16" s="175"/>
      <c r="D16" s="175"/>
      <c r="E16" s="176"/>
    </row>
    <row r="17" spans="1:12" ht="6.75" customHeight="1" x14ac:dyDescent="0.2">
      <c r="A17"/>
      <c r="B17"/>
      <c r="C17"/>
      <c r="D17"/>
      <c r="E17"/>
    </row>
    <row r="18" spans="1:12" ht="21.75" customHeight="1" x14ac:dyDescent="0.25">
      <c r="A18" s="172" t="s">
        <v>112</v>
      </c>
      <c r="B18" s="173"/>
      <c r="C18" s="173"/>
      <c r="D18" s="173"/>
      <c r="E18" s="174"/>
    </row>
    <row r="19" spans="1:12" ht="9" customHeight="1" x14ac:dyDescent="0.2">
      <c r="A19"/>
      <c r="B19"/>
      <c r="C19"/>
      <c r="D19"/>
      <c r="E19"/>
    </row>
    <row r="20" spans="1:12" ht="21" customHeight="1" x14ac:dyDescent="0.25">
      <c r="A20" s="172" t="s">
        <v>124</v>
      </c>
      <c r="B20" s="173"/>
      <c r="C20" s="173"/>
      <c r="D20" s="173"/>
      <c r="E20" s="174"/>
    </row>
    <row r="21" spans="1:12" ht="7.5" customHeight="1" x14ac:dyDescent="0.2">
      <c r="A21"/>
      <c r="B21"/>
      <c r="C21"/>
      <c r="D21"/>
      <c r="E21"/>
    </row>
    <row r="22" spans="1:12" ht="20.25" customHeight="1" x14ac:dyDescent="0.25">
      <c r="A22" s="172" t="s">
        <v>130</v>
      </c>
      <c r="B22" s="173"/>
      <c r="C22" s="173"/>
      <c r="D22" s="173"/>
      <c r="E22" s="174"/>
      <c r="F22"/>
      <c r="G22"/>
      <c r="H22"/>
      <c r="I22"/>
      <c r="J22"/>
      <c r="K22"/>
    </row>
    <row r="23" spans="1:12" x14ac:dyDescent="0.2">
      <c r="A23"/>
      <c r="B23"/>
      <c r="C23"/>
      <c r="D23"/>
      <c r="E23"/>
      <c r="F23"/>
      <c r="G23"/>
      <c r="H23"/>
      <c r="I23"/>
      <c r="J23"/>
      <c r="K23"/>
    </row>
    <row r="24" spans="1:12" ht="21.75" customHeight="1" x14ac:dyDescent="0.25">
      <c r="A24" s="172" t="s">
        <v>135</v>
      </c>
      <c r="B24" s="173"/>
      <c r="C24" s="173"/>
      <c r="D24" s="173"/>
      <c r="E24" s="174"/>
      <c r="F24" s="80"/>
      <c r="G24" s="80"/>
      <c r="H24" s="80"/>
      <c r="I24" s="80"/>
      <c r="J24" s="80"/>
      <c r="K24" s="80"/>
    </row>
    <row r="25" spans="1:12" x14ac:dyDescent="0.2">
      <c r="A25"/>
      <c r="B25"/>
      <c r="C25"/>
      <c r="D25"/>
      <c r="E25"/>
      <c r="F25" s="80"/>
      <c r="G25" s="80"/>
      <c r="H25" s="80"/>
      <c r="I25" s="80"/>
      <c r="J25" s="80"/>
      <c r="K25" s="80"/>
    </row>
    <row r="26" spans="1:12" ht="23.25" customHeight="1" x14ac:dyDescent="0.25">
      <c r="A26" s="172" t="s">
        <v>243</v>
      </c>
      <c r="B26" s="173"/>
      <c r="C26" s="173"/>
      <c r="D26" s="173"/>
      <c r="E26" s="174"/>
      <c r="F26" s="80"/>
      <c r="G26" s="80"/>
      <c r="H26" s="80"/>
      <c r="I26" s="80"/>
      <c r="J26" s="80"/>
      <c r="K26" s="80"/>
    </row>
    <row r="27" spans="1:12" ht="35.25" customHeight="1" x14ac:dyDescent="0.25">
      <c r="A27" s="168"/>
      <c r="B27" s="168"/>
      <c r="C27" s="65"/>
      <c r="D27" s="65"/>
      <c r="E27" s="65"/>
      <c r="F27" s="65"/>
      <c r="G27" s="65"/>
      <c r="H27" s="65"/>
      <c r="I27" s="65"/>
      <c r="J27" s="65"/>
      <c r="K27" s="65"/>
      <c r="L27" s="65"/>
    </row>
    <row r="28" spans="1:12" ht="12.75" customHeight="1" x14ac:dyDescent="0.25">
      <c r="A28" s="168"/>
      <c r="B28" s="168"/>
      <c r="C28" s="65"/>
      <c r="D28" s="65"/>
      <c r="E28" s="65"/>
      <c r="F28" s="65"/>
      <c r="G28" s="65"/>
      <c r="H28" s="65"/>
      <c r="I28" s="65"/>
      <c r="J28" s="65"/>
      <c r="K28" s="65"/>
      <c r="L28" s="65"/>
    </row>
    <row r="29" spans="1:12" ht="12.75" customHeight="1" x14ac:dyDescent="0.25">
      <c r="A29" s="68"/>
      <c r="B29" s="68"/>
      <c r="C29" s="68"/>
      <c r="D29" s="68"/>
      <c r="E29" s="68"/>
      <c r="F29" s="68"/>
      <c r="G29" s="68"/>
      <c r="H29" s="68"/>
      <c r="I29" s="68"/>
      <c r="J29" s="68"/>
      <c r="K29" s="68"/>
      <c r="L29" s="68"/>
    </row>
    <row r="30" spans="1:12" ht="12.75" customHeight="1" x14ac:dyDescent="0.25">
      <c r="A30" s="71"/>
      <c r="B30" s="71"/>
      <c r="C30" s="71"/>
      <c r="D30" s="71"/>
      <c r="E30" s="71"/>
      <c r="F30" s="71"/>
      <c r="G30" s="71"/>
      <c r="H30" s="167" t="s">
        <v>248</v>
      </c>
      <c r="I30" s="167"/>
      <c r="J30" s="167"/>
      <c r="K30" s="167"/>
      <c r="L30" s="167"/>
    </row>
    <row r="31" spans="1:12" ht="12.75" customHeight="1" x14ac:dyDescent="0.25">
      <c r="A31" s="71"/>
      <c r="B31" s="71"/>
      <c r="C31" s="71"/>
      <c r="D31" s="71"/>
      <c r="E31" s="71"/>
      <c r="F31" s="71"/>
      <c r="G31" s="71"/>
      <c r="H31" s="167"/>
      <c r="I31" s="167"/>
      <c r="J31" s="167"/>
      <c r="K31" s="167"/>
      <c r="L31" s="167"/>
    </row>
    <row r="32" spans="1:12" ht="18.75" customHeight="1" x14ac:dyDescent="0.25">
      <c r="A32" s="71"/>
      <c r="B32" s="71"/>
      <c r="C32" s="71"/>
      <c r="D32" s="71"/>
      <c r="E32" s="71"/>
      <c r="F32" s="71"/>
      <c r="G32" s="71"/>
      <c r="H32" s="167"/>
      <c r="I32" s="167"/>
      <c r="J32" s="167"/>
      <c r="K32" s="167"/>
      <c r="L32" s="167"/>
    </row>
    <row r="33" spans="1:24" ht="15.75" customHeight="1" x14ac:dyDescent="0.2">
      <c r="H33" s="70"/>
      <c r="I33" s="70"/>
      <c r="J33" s="70"/>
      <c r="K33" s="70"/>
      <c r="L33" s="70"/>
    </row>
    <row r="34" spans="1:24" ht="12.75" customHeight="1" x14ac:dyDescent="0.25">
      <c r="A34" s="166" t="s">
        <v>61</v>
      </c>
      <c r="B34" s="166"/>
      <c r="C34" s="166"/>
      <c r="D34" s="166"/>
      <c r="E34" s="166"/>
      <c r="F34" s="166"/>
      <c r="G34" s="166"/>
      <c r="H34" s="166"/>
      <c r="I34" s="166"/>
      <c r="J34" s="166"/>
      <c r="K34" s="166"/>
      <c r="L34" s="166"/>
    </row>
    <row r="35" spans="1:24" ht="15.75" x14ac:dyDescent="0.2">
      <c r="A35" s="12"/>
      <c r="B35" s="163" t="s">
        <v>222</v>
      </c>
      <c r="C35" s="163"/>
      <c r="D35" s="163"/>
      <c r="E35" s="163"/>
      <c r="F35" s="163"/>
      <c r="G35" s="32"/>
      <c r="H35" s="163" t="s">
        <v>223</v>
      </c>
      <c r="I35" s="163"/>
      <c r="J35" s="163"/>
      <c r="K35" s="163"/>
      <c r="L35" s="163"/>
    </row>
    <row r="36" spans="1:24" ht="25.5" x14ac:dyDescent="0.2">
      <c r="A36" s="28"/>
      <c r="B36" s="31">
        <v>2006</v>
      </c>
      <c r="C36" s="31">
        <v>2007</v>
      </c>
      <c r="D36" s="31">
        <v>2008</v>
      </c>
      <c r="E36" s="31">
        <v>2009</v>
      </c>
      <c r="F36" s="31">
        <v>2010</v>
      </c>
      <c r="G36" s="31"/>
      <c r="H36" s="29" t="s">
        <v>35</v>
      </c>
      <c r="I36" s="29" t="s">
        <v>50</v>
      </c>
      <c r="J36" s="29" t="s">
        <v>51</v>
      </c>
      <c r="K36" s="29" t="s">
        <v>38</v>
      </c>
      <c r="L36" s="29" t="s">
        <v>67</v>
      </c>
    </row>
    <row r="37" spans="1:24" ht="15.75" customHeight="1" x14ac:dyDescent="0.2">
      <c r="A37" s="145" t="s">
        <v>32</v>
      </c>
      <c r="B37" s="141">
        <f>'Template IF 2'!C3</f>
        <v>5167101</v>
      </c>
      <c r="C37" s="141">
        <f>'Template IF 2'!D3</f>
        <v>5197621</v>
      </c>
      <c r="D37" s="141">
        <f>'Template IF 2'!E3</f>
        <v>5220393</v>
      </c>
      <c r="E37" s="141">
        <f>'Template IF 2'!F3</f>
        <v>5266214</v>
      </c>
      <c r="F37" s="141">
        <f>'Template IF 2'!G3</f>
        <v>5303925</v>
      </c>
      <c r="G37" s="137"/>
      <c r="H37" s="142">
        <f>'Template IF 2'!AR3</f>
        <v>4524062</v>
      </c>
      <c r="I37" s="142">
        <f>'Template IF 2'!AS3</f>
        <v>274412</v>
      </c>
      <c r="J37" s="142">
        <f>'Template IF 2'!AT3</f>
        <v>60916</v>
      </c>
      <c r="K37" s="142">
        <f>'Template IF 2'!AU3</f>
        <v>216390</v>
      </c>
      <c r="L37" s="142">
        <f>'Template IF 2'!AW3</f>
        <v>250258</v>
      </c>
    </row>
    <row r="38" spans="1:24" ht="15.75" customHeight="1" x14ac:dyDescent="0.2">
      <c r="A38" s="145" t="str">
        <f>A16</f>
        <v>Kittson County</v>
      </c>
      <c r="B38" s="41">
        <f>VLOOKUP($A16,'Template IF 2'!$B$3:$HH$112,2,FALSE)</f>
        <v>4691</v>
      </c>
      <c r="C38" s="42">
        <f>VLOOKUP($A16,'Template IF 2'!$B$3:$HH$112,3,FALSE)</f>
        <v>4505</v>
      </c>
      <c r="D38" s="42">
        <f>VLOOKUP($A16,'Template IF 2'!$B$3:$HH$112,4,FALSE)</f>
        <v>4462</v>
      </c>
      <c r="E38" s="42">
        <f>VLOOKUP($A16,'Template IF 2'!$B$3:$HH$112,5,FALSE)</f>
        <v>4374</v>
      </c>
      <c r="F38" s="42">
        <f>VLOOKUP($A16,'Template IF 2'!$B$3:$HH$112,6,FALSE)</f>
        <v>4552</v>
      </c>
      <c r="G38" s="32"/>
      <c r="H38" s="43">
        <f>VLOOKUP($A16,'Template IF 2'!$B$3:$HH$112,43,FALSE)</f>
        <v>4484</v>
      </c>
      <c r="I38" s="43">
        <f>VLOOKUP($A16,'Template IF 2'!$B$3:$HH$112,44,FALSE)</f>
        <v>11</v>
      </c>
      <c r="J38" s="43">
        <f>VLOOKUP($A16,'Template IF 2'!$B$3:$HH$112,45,FALSE)</f>
        <v>4</v>
      </c>
      <c r="K38" s="43">
        <f>VLOOKUP($A16,'Template IF 2'!$B$3:$HH$112,46,FALSE)</f>
        <v>16</v>
      </c>
      <c r="L38" s="43">
        <f>VLOOKUP($A16,'Template IF 2'!$B$3:$HH$112,48,FALSE)</f>
        <v>69</v>
      </c>
    </row>
    <row r="39" spans="1:24" ht="15.75" customHeight="1" x14ac:dyDescent="0.2">
      <c r="A39" s="145" t="str">
        <f>A18</f>
        <v>Marshall County</v>
      </c>
      <c r="B39" s="41">
        <f>VLOOKUP($A18,'Template IF 2'!$B$3:$HH$112,2,FALSE)</f>
        <v>9951</v>
      </c>
      <c r="C39" s="42">
        <f>VLOOKUP($A18,'Template IF 2'!$B$3:$HH$112,3,FALSE)</f>
        <v>9618</v>
      </c>
      <c r="D39" s="42">
        <f>VLOOKUP($A18,'Template IF 2'!$B$3:$HH$112,4,FALSE)</f>
        <v>9502</v>
      </c>
      <c r="E39" s="42">
        <f>VLOOKUP($A18,'Template IF 2'!$B$3:$HH$112,5,FALSE)</f>
        <v>9184</v>
      </c>
      <c r="F39" s="42">
        <f>VLOOKUP($A18,'Template IF 2'!$B$3:$HH$112,6,FALSE)</f>
        <v>9439</v>
      </c>
      <c r="G39" s="32"/>
      <c r="H39" s="43">
        <f>VLOOKUP($A18,'Template IF 2'!$B$3:$HH$112,43,FALSE)</f>
        <v>9119</v>
      </c>
      <c r="I39" s="43">
        <f>VLOOKUP($A18,'Template IF 2'!$B$3:$HH$112,44,FALSE)</f>
        <v>26</v>
      </c>
      <c r="J39" s="43">
        <f>VLOOKUP($A18,'Template IF 2'!$B$3:$HH$112,45,FALSE)</f>
        <v>43</v>
      </c>
      <c r="K39" s="43">
        <f>VLOOKUP($A18,'Template IF 2'!$B$3:$HH$112,46,FALSE)</f>
        <v>22</v>
      </c>
      <c r="L39" s="43">
        <f>VLOOKUP($A18,'Template IF 2'!$B$3:$HH$112,48,FALSE)</f>
        <v>337</v>
      </c>
    </row>
    <row r="40" spans="1:24" ht="15.75" customHeight="1" x14ac:dyDescent="0.2">
      <c r="A40" s="145" t="str">
        <f>A20</f>
        <v>Pennington County</v>
      </c>
      <c r="B40" s="41">
        <f>VLOOKUP($A20,'Template IF 2'!$B$3:$HH$112,2,FALSE)</f>
        <v>13709</v>
      </c>
      <c r="C40" s="42">
        <f>VLOOKUP($A20,'Template IF 2'!$B$3:$HH$112,3,FALSE)</f>
        <v>13756</v>
      </c>
      <c r="D40" s="42">
        <f>VLOOKUP($A20,'Template IF 2'!$B$3:$HH$112,4,FALSE)</f>
        <v>13747</v>
      </c>
      <c r="E40" s="42">
        <f>VLOOKUP($A20,'Template IF 2'!$B$3:$HH$112,5,FALSE)</f>
        <v>13842</v>
      </c>
      <c r="F40" s="42">
        <f>VLOOKUP($A20,'Template IF 2'!$B$3:$HH$112,6,FALSE)</f>
        <v>13930</v>
      </c>
      <c r="G40" s="32"/>
      <c r="H40" s="43">
        <f>VLOOKUP($A20,'Template IF 2'!$B$3:$HH$112,43,FALSE)</f>
        <v>13067</v>
      </c>
      <c r="I40" s="43">
        <f>VLOOKUP($A20,'Template IF 2'!$B$3:$HH$112,44,FALSE)</f>
        <v>192</v>
      </c>
      <c r="J40" s="43">
        <f>VLOOKUP($A20,'Template IF 2'!$B$3:$HH$112,45,FALSE)</f>
        <v>213</v>
      </c>
      <c r="K40" s="43">
        <f>VLOOKUP($A20,'Template IF 2'!$B$3:$HH$112,46,FALSE)</f>
        <v>88</v>
      </c>
      <c r="L40" s="43">
        <f>VLOOKUP($A20,'Template IF 2'!$B$3:$HH$112,48,FALSE)</f>
        <v>380</v>
      </c>
    </row>
    <row r="41" spans="1:24" ht="15.75" customHeight="1" x14ac:dyDescent="0.2">
      <c r="A41" s="145" t="str">
        <f>A22</f>
        <v>Red Lake County</v>
      </c>
      <c r="B41" s="41">
        <f>VLOOKUP($A22,'Template IF 2'!$B$3:$HH$112,2,FALSE)</f>
        <v>4168</v>
      </c>
      <c r="C41" s="42">
        <f>VLOOKUP($A22,'Template IF 2'!$B$3:$HH$112,3,FALSE)</f>
        <v>4118</v>
      </c>
      <c r="D41" s="42">
        <f>VLOOKUP($A22,'Template IF 2'!$B$3:$HH$112,4,FALSE)</f>
        <v>4069</v>
      </c>
      <c r="E41" s="42">
        <f>VLOOKUP($A22,'Template IF 2'!$B$3:$HH$112,5,FALSE)</f>
        <v>4188</v>
      </c>
      <c r="F41" s="42">
        <f>VLOOKUP($A22,'Template IF 2'!$B$3:$HH$112,6,FALSE)</f>
        <v>4089</v>
      </c>
      <c r="G41" s="32"/>
      <c r="H41" s="43">
        <f>VLOOKUP($A22,'Template IF 2'!$B$3:$HH$112,43,FALSE)</f>
        <v>3934</v>
      </c>
      <c r="I41" s="43">
        <f>VLOOKUP($A22,'Template IF 2'!$B$3:$HH$112,44,FALSE)</f>
        <v>8</v>
      </c>
      <c r="J41" s="43">
        <f>VLOOKUP($A22,'Template IF 2'!$B$3:$HH$112,45,FALSE)</f>
        <v>52</v>
      </c>
      <c r="K41" s="43">
        <f>VLOOKUP($A22,'Template IF 2'!$B$3:$HH$112,46,FALSE)</f>
        <v>8</v>
      </c>
      <c r="L41" s="43">
        <f>VLOOKUP($A22,'Template IF 2'!$B$3:$HH$112,48,FALSE)</f>
        <v>101</v>
      </c>
    </row>
    <row r="42" spans="1:24" ht="15.75" customHeight="1" x14ac:dyDescent="0.2">
      <c r="A42" s="145" t="str">
        <f>A24</f>
        <v>Roseau County</v>
      </c>
      <c r="B42" s="41">
        <f>VLOOKUP($A24,'Template IF 2'!$B$3:$HH$112,2,FALSE)</f>
        <v>16201</v>
      </c>
      <c r="C42" s="42">
        <f>VLOOKUP($A24,'Template IF 2'!$B$3:$HH$112,3,FALSE)</f>
        <v>15946</v>
      </c>
      <c r="D42" s="42">
        <f>VLOOKUP($A24,'Template IF 2'!$B$3:$HH$112,4,FALSE)</f>
        <v>15865</v>
      </c>
      <c r="E42" s="42">
        <f>VLOOKUP($A24,'Template IF 2'!$B$3:$HH$112,5,FALSE)</f>
        <v>15911</v>
      </c>
      <c r="F42" s="42">
        <f>VLOOKUP($A24,'Template IF 2'!$B$3:$HH$112,6,FALSE)</f>
        <v>15629</v>
      </c>
      <c r="G42" s="32"/>
      <c r="H42" s="43">
        <f>VLOOKUP($A24,'Template IF 2'!$B$3:$HH$112,43,FALSE)</f>
        <v>14767</v>
      </c>
      <c r="I42" s="43">
        <f>VLOOKUP($A24,'Template IF 2'!$B$3:$HH$112,44,FALSE)</f>
        <v>39</v>
      </c>
      <c r="J42" s="43">
        <f>VLOOKUP($A24,'Template IF 2'!$B$3:$HH$112,45,FALSE)</f>
        <v>201</v>
      </c>
      <c r="K42" s="43">
        <f>VLOOKUP($A24,'Template IF 2'!$B$3:$HH$112,46,FALSE)</f>
        <v>395</v>
      </c>
      <c r="L42" s="43">
        <f>VLOOKUP($A24,'Template IF 2'!$B$3:$HH$112,48,FALSE)</f>
        <v>116</v>
      </c>
    </row>
    <row r="43" spans="1:24" ht="15.75" customHeight="1" x14ac:dyDescent="0.2">
      <c r="A43" s="134" t="str">
        <f>A26</f>
        <v>CHB - Kitt, Marsh, Penn, Red Lake and Roseau</v>
      </c>
      <c r="B43" s="59">
        <f>VLOOKUP($A26,'Template IF 2'!$B$3:$HH$112,2,FALSE)</f>
        <v>48720</v>
      </c>
      <c r="C43" s="47">
        <f>VLOOKUP($A26,'Template IF 2'!$B$3:$HH$112,3,FALSE)</f>
        <v>47943</v>
      </c>
      <c r="D43" s="47">
        <f>VLOOKUP($A26,'Template IF 2'!$B$3:$HH$112,4,FALSE)</f>
        <v>47645</v>
      </c>
      <c r="E43" s="47">
        <f>VLOOKUP($A26,'Template IF 2'!$B$3:$HH$112,5,FALSE)</f>
        <v>47499</v>
      </c>
      <c r="F43" s="47">
        <f>VLOOKUP($A26,'Template IF 2'!$B$3:$HH$112,6,FALSE)</f>
        <v>47639</v>
      </c>
      <c r="G43" s="31"/>
      <c r="H43" s="59">
        <f>VLOOKUP($A26,'Template IF 2'!$B$3:$HH$112,43,FALSE)</f>
        <v>45371</v>
      </c>
      <c r="I43" s="59">
        <f>VLOOKUP($A26,'Template IF 2'!$B$3:$HH$112,44,FALSE)</f>
        <v>276</v>
      </c>
      <c r="J43" s="59">
        <f>VLOOKUP($A26,'Template IF 2'!$B$3:$HH$112,45,FALSE)</f>
        <v>513</v>
      </c>
      <c r="K43" s="59">
        <f>VLOOKUP($A26,'Template IF 2'!$B$3:$HH$112,46,FALSE)</f>
        <v>529</v>
      </c>
      <c r="L43" s="59">
        <f>VLOOKUP($A26,'Template IF 2'!$B$3:$HH$112,48,FALSE)</f>
        <v>1003</v>
      </c>
    </row>
    <row r="44" spans="1:24" ht="14.25" customHeight="1" x14ac:dyDescent="0.2">
      <c r="A44" s="145"/>
      <c r="B44" s="32"/>
      <c r="C44" s="32"/>
      <c r="D44" s="32"/>
      <c r="E44" s="32"/>
      <c r="F44" s="32"/>
      <c r="G44" s="32"/>
      <c r="I44" s="32"/>
      <c r="J44" s="32"/>
      <c r="K44" s="32" t="s">
        <v>68</v>
      </c>
      <c r="L44" s="32"/>
    </row>
    <row r="45" spans="1:24" ht="14.25" customHeight="1" x14ac:dyDescent="0.2">
      <c r="A45" s="145"/>
      <c r="B45" s="32"/>
      <c r="C45" s="32"/>
      <c r="D45" s="32"/>
      <c r="E45" s="32"/>
      <c r="F45" s="32"/>
      <c r="G45" s="32"/>
      <c r="H45" s="161" t="s">
        <v>258</v>
      </c>
      <c r="I45" s="161"/>
      <c r="J45" s="161"/>
      <c r="K45" s="161"/>
      <c r="L45" s="161"/>
    </row>
    <row r="46" spans="1:24" ht="15.75" customHeight="1" x14ac:dyDescent="0.2">
      <c r="A46" s="145"/>
      <c r="B46" s="163" t="s">
        <v>261</v>
      </c>
      <c r="C46" s="163"/>
      <c r="D46" s="163"/>
      <c r="E46" s="163"/>
      <c r="F46" s="163"/>
      <c r="G46" s="32"/>
      <c r="H46" s="164"/>
      <c r="I46" s="164"/>
      <c r="J46" s="164"/>
      <c r="K46" s="164"/>
      <c r="L46" s="164"/>
    </row>
    <row r="47" spans="1:24" ht="15.75" customHeight="1" x14ac:dyDescent="0.2">
      <c r="A47" s="134"/>
      <c r="B47" s="31">
        <v>2006</v>
      </c>
      <c r="C47" s="31">
        <v>2007</v>
      </c>
      <c r="D47" s="31">
        <v>2008</v>
      </c>
      <c r="E47" s="31">
        <v>2009</v>
      </c>
      <c r="F47" s="31">
        <v>2010</v>
      </c>
      <c r="G47" s="31"/>
      <c r="H47" s="31">
        <v>2006</v>
      </c>
      <c r="I47" s="31">
        <v>2007</v>
      </c>
      <c r="J47" s="31">
        <v>2008</v>
      </c>
      <c r="K47" s="31">
        <v>2009</v>
      </c>
      <c r="L47" s="31">
        <v>2010</v>
      </c>
      <c r="X47"/>
    </row>
    <row r="48" spans="1:24" ht="15.75" customHeight="1" x14ac:dyDescent="0.2">
      <c r="A48" s="145" t="s">
        <v>32</v>
      </c>
      <c r="B48" s="140">
        <f>'Template IF 2'!H3</f>
        <v>2061551</v>
      </c>
      <c r="C48" s="140">
        <f>'Template IF 2'!I3</f>
        <v>2080877</v>
      </c>
      <c r="D48" s="140">
        <f>'Template IF 2'!J3</f>
        <v>2095574</v>
      </c>
      <c r="E48" s="140">
        <f>'Template IF 2'!K3</f>
        <v>2108843</v>
      </c>
      <c r="F48" s="140">
        <f>'Template IF 2'!L3</f>
        <v>2087227</v>
      </c>
      <c r="G48" s="32"/>
      <c r="H48" s="44">
        <f>'Template IF 2'!M3</f>
        <v>17.877768352172037</v>
      </c>
      <c r="I48" s="44">
        <f>'Template IF 2'!N3</f>
        <v>18.042272645290243</v>
      </c>
      <c r="J48" s="44">
        <f>'Template IF 2'!O3</f>
        <v>18.405817030301797</v>
      </c>
      <c r="K48" s="44">
        <f>'Template IF 2'!P3</f>
        <v>18.90554594234591</v>
      </c>
      <c r="L48" s="44">
        <f>'Template IF 2'!Q3</f>
        <v>19.202697908766517</v>
      </c>
      <c r="M48" s="64"/>
      <c r="N48" s="64"/>
      <c r="O48" s="64"/>
      <c r="P48" s="64"/>
      <c r="Q48" s="64"/>
      <c r="S48" s="64"/>
      <c r="T48" s="64"/>
      <c r="U48" s="64"/>
      <c r="V48" s="64"/>
      <c r="W48" s="64"/>
    </row>
    <row r="49" spans="1:24" ht="15.75" customHeight="1" x14ac:dyDescent="0.2">
      <c r="A49" s="145" t="str">
        <f>A16</f>
        <v>Kittson County</v>
      </c>
      <c r="B49" s="42">
        <f>VLOOKUP($A16,'Template IF 2'!$B$3:$HH$112,7,FALSE)</f>
        <v>2006</v>
      </c>
      <c r="C49" s="42">
        <f>VLOOKUP($A16,'Template IF 2'!$B$3:$HH$112,8,FALSE)</f>
        <v>1999</v>
      </c>
      <c r="D49" s="42">
        <f>VLOOKUP($A16,'Template IF 2'!$B$3:$HH$112,9,FALSE)</f>
        <v>1989</v>
      </c>
      <c r="E49" s="42">
        <f>VLOOKUP($A16,'Template IF 2'!$B$3:$HH$112,10,FALSE)</f>
        <v>1949</v>
      </c>
      <c r="F49" s="42">
        <f>VLOOKUP($A16,'Template IF 2'!$B$3:$HH$112,11,FALSE)</f>
        <v>1986</v>
      </c>
      <c r="G49" s="32"/>
      <c r="H49" s="45">
        <f>VLOOKUP($A16,'Template IF 2'!$B$3:$HH$112,12,FALSE)</f>
        <v>38.198198198198199</v>
      </c>
      <c r="I49" s="45">
        <f>VLOOKUP($A16,'Template IF 2'!$B$3:$HH$112,13,FALSE)</f>
        <v>38.628026412325752</v>
      </c>
      <c r="J49" s="45">
        <f>VLOOKUP($A16,'Template IF 2'!$B$3:$HH$112,14,FALSE)</f>
        <v>38.956714761376247</v>
      </c>
      <c r="K49" s="45">
        <f>VLOOKUP($A16,'Template IF 2'!$B$3:$HH$112,15,FALSE)</f>
        <v>39.320200849748936</v>
      </c>
      <c r="L49" s="45">
        <f>VLOOKUP($A16,'Template IF 2'!$B$3:$HH$112,16,FALSE)</f>
        <v>37.789203084832906</v>
      </c>
      <c r="M49" s="64"/>
      <c r="N49" s="64"/>
      <c r="O49" s="64"/>
      <c r="P49" s="64"/>
      <c r="Q49" s="64"/>
      <c r="S49" s="64"/>
      <c r="T49" s="64"/>
      <c r="U49" s="64"/>
      <c r="V49" s="64"/>
      <c r="W49" s="64"/>
      <c r="X49" s="64"/>
    </row>
    <row r="50" spans="1:24" ht="15.75" customHeight="1" x14ac:dyDescent="0.2">
      <c r="A50" s="145" t="str">
        <f>A18</f>
        <v>Marshall County</v>
      </c>
      <c r="B50" s="42">
        <f>VLOOKUP($A18,'Template IF 2'!$B$3:$HH$112,7,FALSE)</f>
        <v>4170</v>
      </c>
      <c r="C50" s="42">
        <f>VLOOKUP($A18,'Template IF 2'!$B$3:$HH$112,8,FALSE)</f>
        <v>4153</v>
      </c>
      <c r="D50" s="42">
        <f>VLOOKUP($A18,'Template IF 2'!$B$3:$HH$112,9,FALSE)</f>
        <v>4135</v>
      </c>
      <c r="E50" s="42">
        <f>VLOOKUP($A18,'Template IF 2'!$B$3:$HH$112,10,FALSE)</f>
        <v>4078</v>
      </c>
      <c r="F50" s="42">
        <f>VLOOKUP($A18,'Template IF 2'!$B$3:$HH$112,11,FALSE)</f>
        <v>3981</v>
      </c>
      <c r="G50" s="32"/>
      <c r="H50" s="45">
        <f>VLOOKUP($A18,'Template IF 2'!$B$3:$HH$112,12,FALSE)</f>
        <v>30.09478672985782</v>
      </c>
      <c r="I50" s="45">
        <f>VLOOKUP($A18,'Template IF 2'!$B$3:$HH$112,13,FALSE)</f>
        <v>31.780640898579453</v>
      </c>
      <c r="J50" s="45">
        <f>VLOOKUP($A18,'Template IF 2'!$B$3:$HH$112,14,FALSE)</f>
        <v>32.825067024128685</v>
      </c>
      <c r="K50" s="45">
        <f>VLOOKUP($A18,'Template IF 2'!$B$3:$HH$112,15,FALSE)</f>
        <v>30.033118354540701</v>
      </c>
      <c r="L50" s="45">
        <f>VLOOKUP($A18,'Template IF 2'!$B$3:$HH$112,16,FALSE)</f>
        <v>31.234950120399038</v>
      </c>
    </row>
    <row r="51" spans="1:24" ht="15.75" customHeight="1" x14ac:dyDescent="0.2">
      <c r="A51" s="145" t="str">
        <f>A20</f>
        <v>Pennington County</v>
      </c>
      <c r="B51" s="42">
        <f>VLOOKUP($A20,'Template IF 2'!$B$3:$HH$112,7,FALSE)</f>
        <v>5741</v>
      </c>
      <c r="C51" s="42">
        <f>VLOOKUP($A20,'Template IF 2'!$B$3:$HH$112,8,FALSE)</f>
        <v>5786</v>
      </c>
      <c r="D51" s="42">
        <f>VLOOKUP($A20,'Template IF 2'!$B$3:$HH$112,9,FALSE)</f>
        <v>5805</v>
      </c>
      <c r="E51" s="42">
        <f>VLOOKUP($A20,'Template IF 2'!$B$3:$HH$112,10,FALSE)</f>
        <v>5852</v>
      </c>
      <c r="F51" s="42">
        <f>VLOOKUP($A20,'Template IF 2'!$B$3:$HH$112,11,FALSE)</f>
        <v>5836</v>
      </c>
      <c r="G51" s="32"/>
      <c r="H51" s="45">
        <f>VLOOKUP($A20,'Template IF 2'!$B$3:$HH$112,12,FALSE)</f>
        <v>23.168975069252078</v>
      </c>
      <c r="I51" s="45">
        <f>VLOOKUP($A20,'Template IF 2'!$B$3:$HH$112,13,FALSE)</f>
        <v>23.120238489566081</v>
      </c>
      <c r="J51" s="45">
        <f>VLOOKUP($A20,'Template IF 2'!$B$3:$HH$112,14,FALSE)</f>
        <v>23.45294967225864</v>
      </c>
      <c r="K51" s="45">
        <f>VLOOKUP($A20,'Template IF 2'!$B$3:$HH$112,15,FALSE)</f>
        <v>24.00176971573941</v>
      </c>
      <c r="L51" s="45">
        <f>VLOOKUP($A20,'Template IF 2'!$B$3:$HH$112,16,FALSE)</f>
        <v>24.723370962333743</v>
      </c>
    </row>
    <row r="52" spans="1:24" ht="15.75" customHeight="1" x14ac:dyDescent="0.2">
      <c r="A52" s="145" t="str">
        <f>A22</f>
        <v>Red Lake County</v>
      </c>
      <c r="B52" s="42">
        <f>VLOOKUP($A22,'Template IF 2'!$B$3:$HH$112,7,FALSE)</f>
        <v>1759</v>
      </c>
      <c r="C52" s="42">
        <f>VLOOKUP($A22,'Template IF 2'!$B$3:$HH$112,8,FALSE)</f>
        <v>1755</v>
      </c>
      <c r="D52" s="42">
        <f>VLOOKUP($A22,'Template IF 2'!$B$3:$HH$112,9,FALSE)</f>
        <v>1761</v>
      </c>
      <c r="E52" s="42">
        <f>VLOOKUP($A22,'Template IF 2'!$B$3:$HH$112,10,FALSE)</f>
        <v>1779</v>
      </c>
      <c r="F52" s="42">
        <f>VLOOKUP($A22,'Template IF 2'!$B$3:$HH$112,11,FALSE)</f>
        <v>1737</v>
      </c>
      <c r="G52" s="32"/>
      <c r="H52" s="45">
        <f>VLOOKUP($A22,'Template IF 2'!$B$3:$HH$112,12,FALSE)</f>
        <v>27.027027027027028</v>
      </c>
      <c r="I52" s="45">
        <f>VLOOKUP($A22,'Template IF 2'!$B$3:$HH$112,13,FALSE)</f>
        <v>26.25925925925926</v>
      </c>
      <c r="J52" s="45">
        <f>VLOOKUP($A22,'Template IF 2'!$B$3:$HH$112,14,FALSE)</f>
        <v>25.725986597170515</v>
      </c>
      <c r="K52" s="45">
        <f>VLOOKUP($A22,'Template IF 2'!$B$3:$HH$112,15,FALSE)</f>
        <v>29.414003044140031</v>
      </c>
      <c r="L52" s="45">
        <f>VLOOKUP($A22,'Template IF 2'!$B$3:$HH$112,16,FALSE)</f>
        <v>27.631060307449744</v>
      </c>
    </row>
    <row r="53" spans="1:24" ht="15.75" customHeight="1" x14ac:dyDescent="0.2">
      <c r="A53" s="145" t="str">
        <f>A24</f>
        <v>Roseau County</v>
      </c>
      <c r="B53" s="42">
        <f>VLOOKUP($A24,'Template IF 2'!$B$3:$HH$112,7,FALSE)</f>
        <v>6421</v>
      </c>
      <c r="C53" s="42">
        <f>VLOOKUP($A24,'Template IF 2'!$B$3:$HH$112,8,FALSE)</f>
        <v>6404</v>
      </c>
      <c r="D53" s="42">
        <f>VLOOKUP($A24,'Template IF 2'!$B$3:$HH$112,9,FALSE)</f>
        <v>6376</v>
      </c>
      <c r="E53" s="42">
        <f>VLOOKUP($A24,'Template IF 2'!$B$3:$HH$112,10,FALSE)</f>
        <v>6366</v>
      </c>
      <c r="F53" s="42">
        <f>VLOOKUP($A24,'Template IF 2'!$B$3:$HH$112,11,FALSE)</f>
        <v>6300</v>
      </c>
      <c r="G53" s="32"/>
      <c r="H53" s="45">
        <f>VLOOKUP($A24,'Template IF 2'!$B$3:$HH$112,12,FALSE)</f>
        <v>18.409343715239153</v>
      </c>
      <c r="I53" s="45">
        <f>VLOOKUP($A24,'Template IF 2'!$B$3:$HH$112,13,FALSE)</f>
        <v>18.640392230812747</v>
      </c>
      <c r="J53" s="45">
        <f>VLOOKUP($A24,'Template IF 2'!$B$3:$HH$112,14,FALSE)</f>
        <v>18.78134165957044</v>
      </c>
      <c r="K53" s="45">
        <f>VLOOKUP($A24,'Template IF 2'!$B$3:$HH$112,15,FALSE)</f>
        <v>20.647149460708782</v>
      </c>
      <c r="L53" s="45">
        <f>VLOOKUP($A24,'Template IF 2'!$B$3:$HH$112,16,FALSE)</f>
        <v>22.321428571428573</v>
      </c>
    </row>
    <row r="54" spans="1:24" ht="15.75" customHeight="1" x14ac:dyDescent="0.2">
      <c r="A54" s="134" t="str">
        <f>A26</f>
        <v>CHB - Kitt, Marsh, Penn, Red Lake and Roseau</v>
      </c>
      <c r="B54" s="47">
        <f>VLOOKUP($A26,'Template IF 2'!$B$3:$HH$112,7,FALSE)</f>
        <v>20097</v>
      </c>
      <c r="C54" s="47">
        <f>VLOOKUP($A26,'Template IF 2'!$B$3:$HH$112,8,FALSE)</f>
        <v>20097</v>
      </c>
      <c r="D54" s="47">
        <f>VLOOKUP($A26,'Template IF 2'!$B$3:$HH$112,9,FALSE)</f>
        <v>20066</v>
      </c>
      <c r="E54" s="47">
        <f>VLOOKUP($A26,'Template IF 2'!$B$3:$HH$112,10,FALSE)</f>
        <v>20024</v>
      </c>
      <c r="F54" s="47">
        <f>VLOOKUP($A26,'Template IF 2'!$B$3:$HH$112,11,FALSE)</f>
        <v>19840</v>
      </c>
      <c r="G54" s="31"/>
      <c r="H54" s="49">
        <f>VLOOKUP($A26,'Template IF 2'!$B$3:$HH$112,12,FALSE)</f>
        <v>24.580157500237199</v>
      </c>
      <c r="I54" s="49">
        <f>VLOOKUP($A26,'Template IF 2'!$B$3:$HH$112,13,FALSE)</f>
        <v>24.907683909706837</v>
      </c>
      <c r="J54" s="49">
        <f>VLOOKUP($A26,'Template IF 2'!$B$3:$HH$112,14,FALSE)</f>
        <v>25.217447537750186</v>
      </c>
      <c r="K54" s="49">
        <f>VLOOKUP($A26,'Template IF 2'!$B$3:$HH$112,15,FALSE)</f>
        <v>25.76780012508641</v>
      </c>
      <c r="L54" s="49">
        <f>VLOOKUP($A26,'Template IF 2'!$B$3:$HH$112,16,FALSE)</f>
        <v>26.603767316700441</v>
      </c>
    </row>
    <row r="55" spans="1:24" ht="12" customHeight="1" x14ac:dyDescent="0.2">
      <c r="A55" s="135"/>
      <c r="B55" s="32"/>
      <c r="C55" s="32"/>
      <c r="D55" s="32"/>
      <c r="E55" s="32"/>
      <c r="F55" s="32"/>
      <c r="G55" s="32"/>
      <c r="H55" s="34"/>
      <c r="I55" s="34"/>
      <c r="J55" s="34"/>
      <c r="K55" s="34"/>
      <c r="L55" s="34"/>
    </row>
    <row r="56" spans="1:24" ht="15.75" customHeight="1" x14ac:dyDescent="0.2">
      <c r="A56" s="145"/>
      <c r="B56" s="161" t="s">
        <v>259</v>
      </c>
      <c r="C56" s="161"/>
      <c r="D56" s="161"/>
      <c r="E56" s="161"/>
      <c r="F56" s="161"/>
      <c r="G56" s="32"/>
      <c r="H56" s="161" t="s">
        <v>260</v>
      </c>
      <c r="I56" s="161"/>
      <c r="J56" s="161"/>
      <c r="K56" s="161"/>
      <c r="L56" s="161"/>
    </row>
    <row r="57" spans="1:24" ht="15.75" customHeight="1" x14ac:dyDescent="0.2">
      <c r="A57" s="145"/>
      <c r="B57" s="164"/>
      <c r="C57" s="164"/>
      <c r="D57" s="164"/>
      <c r="E57" s="164"/>
      <c r="F57" s="164"/>
      <c r="G57" s="32"/>
      <c r="H57" s="164"/>
      <c r="I57" s="164"/>
      <c r="J57" s="164"/>
      <c r="K57" s="164"/>
      <c r="L57" s="164"/>
    </row>
    <row r="58" spans="1:24" ht="15.75" customHeight="1" x14ac:dyDescent="0.2">
      <c r="A58" s="134"/>
      <c r="B58" s="31">
        <v>2006</v>
      </c>
      <c r="C58" s="31">
        <v>2007</v>
      </c>
      <c r="D58" s="31">
        <v>2008</v>
      </c>
      <c r="E58" s="31">
        <v>2009</v>
      </c>
      <c r="F58" s="31">
        <v>2010</v>
      </c>
      <c r="G58" s="31"/>
      <c r="H58" s="31">
        <v>2006</v>
      </c>
      <c r="I58" s="31">
        <v>2007</v>
      </c>
      <c r="J58" s="31">
        <v>2008</v>
      </c>
      <c r="K58" s="31">
        <v>2009</v>
      </c>
      <c r="L58" s="31">
        <v>2010</v>
      </c>
    </row>
    <row r="59" spans="1:24" ht="15.75" customHeight="1" x14ac:dyDescent="0.2">
      <c r="A59" s="145" t="s">
        <v>32</v>
      </c>
      <c r="B59" s="44">
        <f>'Template IF 2'!R3</f>
        <v>29.360226799640841</v>
      </c>
      <c r="C59" s="44">
        <f>'Template IF 2'!S3</f>
        <v>29.355616104577891</v>
      </c>
      <c r="D59" s="44">
        <f>'Template IF 2'!T3</f>
        <v>29.300242876124123</v>
      </c>
      <c r="E59" s="44">
        <f>'Template IF 2'!U3</f>
        <v>29.458821686574556</v>
      </c>
      <c r="F59" s="44">
        <f>'Template IF 2'!V3</f>
        <v>29.891927356383359</v>
      </c>
      <c r="G59" s="32"/>
      <c r="H59" s="44">
        <f>'Template IF 2'!W3</f>
        <v>47.237995151812882</v>
      </c>
      <c r="I59" s="44">
        <f>'Template IF 2'!X3</f>
        <v>47.39788874986813</v>
      </c>
      <c r="J59" s="44">
        <f>'Template IF 2'!Y3</f>
        <v>47.706059906425921</v>
      </c>
      <c r="K59" s="44">
        <f>'Template IF 2'!Z3</f>
        <v>48.364367628920469</v>
      </c>
      <c r="L59" s="44">
        <f>'Template IF 2'!AA3</f>
        <v>49.094625265149872</v>
      </c>
      <c r="M59" s="64"/>
      <c r="N59" s="64"/>
      <c r="O59" s="64"/>
      <c r="P59" s="64"/>
      <c r="Q59" s="64"/>
      <c r="S59" s="64"/>
      <c r="T59" s="64"/>
      <c r="U59" s="64"/>
      <c r="V59" s="64"/>
      <c r="W59" s="64"/>
    </row>
    <row r="60" spans="1:24" ht="15.75" customHeight="1" x14ac:dyDescent="0.2">
      <c r="A60" s="145" t="str">
        <f>A16</f>
        <v>Kittson County</v>
      </c>
      <c r="B60" s="45">
        <f>VLOOKUP($A16,'Template IF 2'!$B$3:$HH$112,17,FALSE)</f>
        <v>30.846846846846848</v>
      </c>
      <c r="C60" s="45">
        <f>VLOOKUP($A16,'Template IF 2'!$B$3:$HH$112,18,FALSE)</f>
        <v>26.632428466617753</v>
      </c>
      <c r="D60" s="45">
        <f>VLOOKUP($A16,'Template IF 2'!$B$3:$HH$112,19,FALSE)</f>
        <v>26.119126896041433</v>
      </c>
      <c r="E60" s="45">
        <f>VLOOKUP($A16,'Template IF 2'!$B$3:$HH$112,20,FALSE)</f>
        <v>29.625337968327539</v>
      </c>
      <c r="F60" s="45">
        <f>VLOOKUP($A16,'Template IF 2'!$B$3:$HH$112,21,FALSE)</f>
        <v>29.379360998898274</v>
      </c>
      <c r="G60" s="32"/>
      <c r="H60" s="45">
        <f>VLOOKUP($A16,'Template IF 2'!$B$3:$HH$112,22,FALSE)</f>
        <v>69.045045045045043</v>
      </c>
      <c r="I60" s="45">
        <f>VLOOKUP($A16,'Template IF 2'!$B$3:$HH$112,23,FALSE)</f>
        <v>65.260454878943506</v>
      </c>
      <c r="J60" s="45">
        <f>VLOOKUP($A16,'Template IF 2'!$B$3:$HH$112,24,FALSE)</f>
        <v>65.075841657417683</v>
      </c>
      <c r="K60" s="45">
        <f>VLOOKUP($A16,'Template IF 2'!$B$3:$HH$112,25,FALSE)</f>
        <v>68.945538818076471</v>
      </c>
      <c r="L60" s="45">
        <f>VLOOKUP($A16,'Template IF 2'!$B$3:$HH$112,26,FALSE)</f>
        <v>67.168564083731184</v>
      </c>
      <c r="M60" s="64"/>
      <c r="N60" s="64"/>
      <c r="O60" s="64"/>
      <c r="P60" s="64"/>
      <c r="Q60" s="64"/>
      <c r="S60" s="64"/>
      <c r="T60" s="64"/>
      <c r="U60" s="64"/>
      <c r="V60" s="64"/>
      <c r="X60" s="64"/>
    </row>
    <row r="61" spans="1:24" ht="15.75" customHeight="1" x14ac:dyDescent="0.2">
      <c r="A61" s="145" t="str">
        <f>A18</f>
        <v>Marshall County</v>
      </c>
      <c r="B61" s="45">
        <f>VLOOKUP($A18,'Template IF 2'!$B$3:$HH$112,17,FALSE)</f>
        <v>27.109004739336495</v>
      </c>
      <c r="C61" s="45">
        <f>VLOOKUP($A18,'Template IF 2'!$B$3:$HH$112,18,FALSE)</f>
        <v>27.089527585067724</v>
      </c>
      <c r="D61" s="45">
        <f>VLOOKUP($A18,'Template IF 2'!$B$3:$HH$112,19,FALSE)</f>
        <v>26.390750670241285</v>
      </c>
      <c r="E61" s="45">
        <f>VLOOKUP($A18,'Template IF 2'!$B$3:$HH$112,20,FALSE)</f>
        <v>30.05054906745686</v>
      </c>
      <c r="F61" s="45">
        <f>VLOOKUP($A18,'Template IF 2'!$B$3:$HH$112,21,FALSE)</f>
        <v>31.11455108359133</v>
      </c>
      <c r="G61" s="32"/>
      <c r="H61" s="45">
        <f>VLOOKUP($A18,'Template IF 2'!$B$3:$HH$112,22,FALSE)</f>
        <v>57.203791469194307</v>
      </c>
      <c r="I61" s="45">
        <f>VLOOKUP($A18,'Template IF 2'!$B$3:$HH$112,23,FALSE)</f>
        <v>58.870168483647177</v>
      </c>
      <c r="J61" s="45">
        <f>VLOOKUP($A18,'Template IF 2'!$B$3:$HH$112,24,FALSE)</f>
        <v>59.215817694369974</v>
      </c>
      <c r="K61" s="45">
        <f>VLOOKUP($A18,'Template IF 2'!$B$3:$HH$112,25,FALSE)</f>
        <v>60.083667421997561</v>
      </c>
      <c r="L61" s="45">
        <f>VLOOKUP($A18,'Template IF 2'!$B$3:$HH$112,26,FALSE)</f>
        <v>62.349501203990371</v>
      </c>
    </row>
    <row r="62" spans="1:24" ht="15.75" customHeight="1" x14ac:dyDescent="0.2">
      <c r="A62" s="145" t="str">
        <f>A20</f>
        <v>Pennington County</v>
      </c>
      <c r="B62" s="45">
        <f>VLOOKUP($A20,'Template IF 2'!$B$3:$HH$112,17,FALSE)</f>
        <v>28.731301939058174</v>
      </c>
      <c r="C62" s="45">
        <f>VLOOKUP($A20,'Template IF 2'!$B$3:$HH$112,18,FALSE)</f>
        <v>28.762283316771558</v>
      </c>
      <c r="D62" s="45">
        <f>VLOOKUP($A20,'Template IF 2'!$B$3:$HH$112,19,FALSE)</f>
        <v>29.274525052771917</v>
      </c>
      <c r="E62" s="45">
        <f>VLOOKUP($A20,'Template IF 2'!$B$3:$HH$112,20,FALSE)</f>
        <v>29.10076318991262</v>
      </c>
      <c r="F62" s="45">
        <f>VLOOKUP($A20,'Template IF 2'!$B$3:$HH$112,21,FALSE)</f>
        <v>30.97127528780597</v>
      </c>
      <c r="G62" s="32"/>
      <c r="H62" s="45">
        <f>VLOOKUP($A20,'Template IF 2'!$B$3:$HH$112,22,FALSE)</f>
        <v>51.900277008310248</v>
      </c>
      <c r="I62" s="45">
        <f>VLOOKUP($A20,'Template IF 2'!$B$3:$HH$112,23,FALSE)</f>
        <v>51.882521806337643</v>
      </c>
      <c r="J62" s="45">
        <f>VLOOKUP($A20,'Template IF 2'!$B$3:$HH$112,24,FALSE)</f>
        <v>52.727474725030554</v>
      </c>
      <c r="K62" s="45">
        <f>VLOOKUP($A20,'Template IF 2'!$B$3:$HH$112,25,FALSE)</f>
        <v>53.102532905652026</v>
      </c>
      <c r="L62" s="45">
        <f>VLOOKUP($A20,'Template IF 2'!$B$3:$HH$112,26,FALSE)</f>
        <v>55.694646250139712</v>
      </c>
    </row>
    <row r="63" spans="1:24" ht="15.75" customHeight="1" x14ac:dyDescent="0.2">
      <c r="A63" s="145" t="str">
        <f>A22</f>
        <v>Red Lake County</v>
      </c>
      <c r="B63" s="45">
        <f>VLOOKUP($A22,'Template IF 2'!$B$3:$HH$112,17,FALSE)</f>
        <v>27.286190299888929</v>
      </c>
      <c r="C63" s="45">
        <f>VLOOKUP($A22,'Template IF 2'!$B$3:$HH$112,18,FALSE)</f>
        <v>26.25925925925926</v>
      </c>
      <c r="D63" s="45">
        <f>VLOOKUP($A22,'Template IF 2'!$B$3:$HH$112,19,FALSE)</f>
        <v>25.763216679076695</v>
      </c>
      <c r="E63" s="45">
        <f>VLOOKUP($A22,'Template IF 2'!$B$3:$HH$112,20,FALSE)</f>
        <v>29.946727549467276</v>
      </c>
      <c r="F63" s="45">
        <f>VLOOKUP($A22,'Template IF 2'!$B$3:$HH$112,21,FALSE)</f>
        <v>33.543555380370513</v>
      </c>
      <c r="G63" s="32"/>
      <c r="H63" s="45">
        <f>VLOOKUP($A22,'Template IF 2'!$B$3:$HH$112,22,FALSE)</f>
        <v>54.313217326915954</v>
      </c>
      <c r="I63" s="45">
        <f>VLOOKUP($A22,'Template IF 2'!$B$3:$HH$112,23,FALSE)</f>
        <v>52.518518518518519</v>
      </c>
      <c r="J63" s="45">
        <f>VLOOKUP($A22,'Template IF 2'!$B$3:$HH$112,24,FALSE)</f>
        <v>51.48920327624721</v>
      </c>
      <c r="K63" s="45">
        <f>VLOOKUP($A22,'Template IF 2'!$B$3:$HH$112,25,FALSE)</f>
        <v>59.360730593607308</v>
      </c>
      <c r="L63" s="45">
        <f>VLOOKUP($A22,'Template IF 2'!$B$3:$HH$112,26,FALSE)</f>
        <v>61.174615687820257</v>
      </c>
    </row>
    <row r="64" spans="1:24" ht="15.75" customHeight="1" x14ac:dyDescent="0.2">
      <c r="A64" s="145" t="str">
        <f>A24</f>
        <v>Roseau County</v>
      </c>
      <c r="B64" s="45">
        <f>VLOOKUP($A24,'Template IF 2'!$B$3:$HH$112,17,FALSE)</f>
        <v>31.766777901371896</v>
      </c>
      <c r="C64" s="45">
        <f>VLOOKUP($A24,'Template IF 2'!$B$3:$HH$112,18,FALSE)</f>
        <v>31.708466905525174</v>
      </c>
      <c r="D64" s="45">
        <f>VLOOKUP($A24,'Template IF 2'!$B$3:$HH$112,19,FALSE)</f>
        <v>31.327467120825052</v>
      </c>
      <c r="E64" s="45">
        <f>VLOOKUP($A24,'Template IF 2'!$B$3:$HH$112,20,FALSE)</f>
        <v>32.578967642526962</v>
      </c>
      <c r="F64" s="45">
        <f>VLOOKUP($A24,'Template IF 2'!$B$3:$HH$112,21,FALSE)</f>
        <v>32.728174603174601</v>
      </c>
      <c r="G64" s="32"/>
      <c r="H64" s="45">
        <f>VLOOKUP($A24,'Template IF 2'!$B$3:$HH$112,22,FALSE)</f>
        <v>50.176121616611049</v>
      </c>
      <c r="I64" s="45">
        <f>VLOOKUP($A24,'Template IF 2'!$B$3:$HH$112,23,FALSE)</f>
        <v>50.348859136337921</v>
      </c>
      <c r="J64" s="45">
        <f>VLOOKUP($A24,'Template IF 2'!$B$3:$HH$112,24,FALSE)</f>
        <v>50.108808780395499</v>
      </c>
      <c r="K64" s="45">
        <f>VLOOKUP($A24,'Template IF 2'!$B$3:$HH$112,25,FALSE)</f>
        <v>53.226117103235744</v>
      </c>
      <c r="L64" s="45">
        <f>VLOOKUP($A24,'Template IF 2'!$B$3:$HH$112,26,FALSE)</f>
        <v>55.049603174603178</v>
      </c>
    </row>
    <row r="65" spans="1:12" ht="15.75" customHeight="1" x14ac:dyDescent="0.2">
      <c r="A65" s="134" t="str">
        <f>A26</f>
        <v>CHB - Kitt, Marsh, Penn, Red Lake and Roseau</v>
      </c>
      <c r="B65" s="49">
        <f>VLOOKUP($A26,'Template IF 2'!$B$3:$HH$112,17,FALSE)</f>
        <v>29.504411904234797</v>
      </c>
      <c r="C65" s="49">
        <f>VLOOKUP($A26,'Template IF 2'!$B$3:$HH$112,18,FALSE)</f>
        <v>29.037022765950613</v>
      </c>
      <c r="D65" s="49">
        <f>VLOOKUP($A26,'Template IF 2'!$B$3:$HH$112,19,FALSE)</f>
        <v>28.838878649723544</v>
      </c>
      <c r="E65" s="49">
        <f>VLOOKUP($A26,'Template IF 2'!$B$3:$HH$112,20,FALSE)</f>
        <v>30.586918595082128</v>
      </c>
      <c r="F65" s="49">
        <f>VLOOKUP($A26,'Template IF 2'!$B$3:$HH$112,21,FALSE)</f>
        <v>31.660077738281121</v>
      </c>
      <c r="G65" s="63"/>
      <c r="H65" s="49">
        <f>VLOOKUP($A26,'Template IF 2'!$B$3:$HH$112,22,FALSE)</f>
        <v>54.084569404471992</v>
      </c>
      <c r="I65" s="49">
        <f>VLOOKUP($A26,'Template IF 2'!$B$3:$HH$112,23,FALSE)</f>
        <v>53.94470667565745</v>
      </c>
      <c r="J65" s="49">
        <f>VLOOKUP($A26,'Template IF 2'!$B$3:$HH$112,24,FALSE)</f>
        <v>54.056326187473729</v>
      </c>
      <c r="K65" s="49">
        <f>VLOOKUP($A26,'Template IF 2'!$B$3:$HH$112,25,FALSE)</f>
        <v>56.354718720168535</v>
      </c>
      <c r="L65" s="49">
        <f>VLOOKUP($A26,'Template IF 2'!$B$3:$HH$112,26,FALSE)</f>
        <v>58.263845054981559</v>
      </c>
    </row>
    <row r="66" spans="1:12" ht="15.75" customHeight="1" x14ac:dyDescent="0.2">
      <c r="A66" s="12"/>
      <c r="B66" s="45"/>
      <c r="C66" s="45"/>
      <c r="D66" s="45"/>
      <c r="E66" s="45"/>
      <c r="F66" s="45"/>
      <c r="G66" s="32"/>
      <c r="H66" s="45"/>
      <c r="I66" s="45"/>
      <c r="J66" s="45"/>
      <c r="K66" s="45"/>
      <c r="L66" s="45"/>
    </row>
    <row r="67" spans="1:12" ht="17.25" customHeight="1" x14ac:dyDescent="0.25">
      <c r="A67" s="166" t="s">
        <v>224</v>
      </c>
      <c r="B67" s="166"/>
      <c r="C67" s="166"/>
      <c r="D67" s="166"/>
      <c r="E67" s="166"/>
      <c r="F67" s="166"/>
      <c r="G67" s="166"/>
      <c r="H67" s="166"/>
      <c r="I67" s="166"/>
      <c r="J67" s="166"/>
      <c r="K67" s="166"/>
      <c r="L67" s="166"/>
    </row>
    <row r="68" spans="1:12" x14ac:dyDescent="0.2">
      <c r="A68" s="12"/>
      <c r="B68" s="46"/>
      <c r="C68" s="46"/>
      <c r="D68" s="46"/>
      <c r="E68" s="46"/>
      <c r="F68" s="46"/>
      <c r="G68" s="32"/>
      <c r="H68" s="32"/>
      <c r="I68" s="32"/>
      <c r="J68" s="32"/>
      <c r="K68" s="32"/>
      <c r="L68" s="32"/>
    </row>
    <row r="69" spans="1:12" x14ac:dyDescent="0.2">
      <c r="A69" s="12"/>
      <c r="B69" s="32"/>
      <c r="C69" s="32"/>
      <c r="D69" s="32"/>
      <c r="E69" s="32"/>
      <c r="F69" s="32"/>
      <c r="G69" s="32"/>
      <c r="H69" s="161" t="s">
        <v>263</v>
      </c>
      <c r="I69" s="162"/>
      <c r="J69" s="162"/>
      <c r="K69" s="162"/>
      <c r="L69" s="162"/>
    </row>
    <row r="70" spans="1:12" ht="15" customHeight="1" x14ac:dyDescent="0.2">
      <c r="A70" s="12"/>
      <c r="B70" s="163" t="s">
        <v>262</v>
      </c>
      <c r="C70" s="163"/>
      <c r="D70" s="163"/>
      <c r="E70" s="163"/>
      <c r="F70" s="163"/>
      <c r="G70" s="32"/>
      <c r="H70" s="163"/>
      <c r="I70" s="163"/>
      <c r="J70" s="163"/>
      <c r="K70" s="163"/>
      <c r="L70" s="163"/>
    </row>
    <row r="71" spans="1:12" ht="15" customHeight="1" x14ac:dyDescent="0.2">
      <c r="A71" s="28"/>
      <c r="B71" s="31">
        <v>2006</v>
      </c>
      <c r="C71" s="31">
        <v>2007</v>
      </c>
      <c r="D71" s="31">
        <v>2008</v>
      </c>
      <c r="E71" s="31">
        <v>2009</v>
      </c>
      <c r="F71" s="31">
        <v>2010</v>
      </c>
      <c r="G71" s="31"/>
      <c r="H71" s="53">
        <v>2006</v>
      </c>
      <c r="I71" s="53">
        <v>2007</v>
      </c>
      <c r="J71" s="53">
        <v>2008</v>
      </c>
      <c r="K71" s="53">
        <v>2009</v>
      </c>
      <c r="L71" s="53">
        <v>2010</v>
      </c>
    </row>
    <row r="72" spans="1:12" ht="15.75" customHeight="1" x14ac:dyDescent="0.2">
      <c r="A72" s="145" t="s">
        <v>32</v>
      </c>
      <c r="B72" s="44">
        <f>'Template IF 2'!AB3</f>
        <v>4</v>
      </c>
      <c r="C72" s="44">
        <f>'Template IF 2'!AC3</f>
        <v>4.5999999999999996</v>
      </c>
      <c r="D72" s="44">
        <f>'Template IF 2'!AD3</f>
        <v>5.4</v>
      </c>
      <c r="E72" s="44">
        <f>'Template IF 2'!AE3</f>
        <v>8</v>
      </c>
      <c r="F72" s="44">
        <f>'Template IF 2'!AF3</f>
        <v>7.3</v>
      </c>
      <c r="G72" s="32"/>
      <c r="H72" s="33">
        <f>'Template IF 2'!AG3</f>
        <v>120949.0833333333</v>
      </c>
      <c r="I72" s="33">
        <f>'Template IF 2'!AH3</f>
        <v>126086.41666666667</v>
      </c>
      <c r="J72" s="33">
        <f>'Template IF 2'!AI3</f>
        <v>134859.25</v>
      </c>
      <c r="K72" s="33">
        <f>'Template IF 2'!AJ3</f>
        <v>169710.66666666669</v>
      </c>
      <c r="L72" s="33">
        <f>'Template IF 2'!AK3</f>
        <v>203064.83333333328</v>
      </c>
    </row>
    <row r="73" spans="1:12" ht="15.75" customHeight="1" x14ac:dyDescent="0.2">
      <c r="A73" s="145" t="str">
        <f>A16</f>
        <v>Kittson County</v>
      </c>
      <c r="B73" s="45">
        <f>VLOOKUP($A16,'Template IF 2'!$B$3:$HH$112,27,FALSE)</f>
        <v>5.5</v>
      </c>
      <c r="C73" s="45">
        <f>VLOOKUP($A16,'Template IF 2'!$B$3:$HH$112,28,FALSE)</f>
        <v>5.8</v>
      </c>
      <c r="D73" s="45">
        <f>VLOOKUP($A16,'Template IF 2'!$B$3:$HH$112,29,FALSE)</f>
        <v>5.6</v>
      </c>
      <c r="E73" s="45">
        <f>VLOOKUP($A16,'Template IF 2'!$B$3:$HH$112,30,FALSE)</f>
        <v>7.4</v>
      </c>
      <c r="F73" s="45">
        <f>VLOOKUP($A16,'Template IF 2'!$B$3:$HH$112,31,FALSE)</f>
        <v>7.2</v>
      </c>
      <c r="G73" s="32"/>
      <c r="H73" s="51">
        <f>VLOOKUP($A16,'Template IF 2'!$B$3:$HH$112,32,FALSE)</f>
        <v>67.833333333333329</v>
      </c>
      <c r="I73" s="51">
        <f>VLOOKUP($A16,'Template IF 2'!$B$3:$HH$112,33,FALSE)</f>
        <v>62.583333333333336</v>
      </c>
      <c r="J73" s="51">
        <f>VLOOKUP($A16,'Template IF 2'!$B$3:$HH$112,34,FALSE)</f>
        <v>64.083333333333329</v>
      </c>
      <c r="K73" s="51">
        <f>VLOOKUP($A16,'Template IF 2'!$B$3:$HH$112,35,FALSE)</f>
        <v>67.333333333333329</v>
      </c>
      <c r="L73" s="51">
        <f>VLOOKUP($A16,'Template IF 2'!$B$3:$HH$112,36,FALSE)</f>
        <v>79.833333333333329</v>
      </c>
    </row>
    <row r="74" spans="1:12" ht="15.75" customHeight="1" x14ac:dyDescent="0.2">
      <c r="A74" s="145" t="str">
        <f>A18</f>
        <v>Marshall County</v>
      </c>
      <c r="B74" s="45">
        <f>VLOOKUP($A18,'Template IF 2'!$B$3:$HH$112,27,FALSE)</f>
        <v>6.9</v>
      </c>
      <c r="C74" s="45">
        <f>VLOOKUP($A18,'Template IF 2'!$B$3:$HH$112,28,FALSE)</f>
        <v>8.1999999999999993</v>
      </c>
      <c r="D74" s="45">
        <f>VLOOKUP($A18,'Template IF 2'!$B$3:$HH$112,29,FALSE)</f>
        <v>8</v>
      </c>
      <c r="E74" s="45">
        <f>VLOOKUP($A18,'Template IF 2'!$B$3:$HH$112,30,FALSE)</f>
        <v>10.1</v>
      </c>
      <c r="F74" s="45">
        <f>VLOOKUP($A18,'Template IF 2'!$B$3:$HH$112,31,FALSE)</f>
        <v>9.1</v>
      </c>
      <c r="G74" s="32"/>
      <c r="H74" s="51">
        <f>VLOOKUP($A18,'Template IF 2'!$B$3:$HH$112,32,FALSE)</f>
        <v>158.33333333333334</v>
      </c>
      <c r="I74" s="51">
        <f>VLOOKUP($A18,'Template IF 2'!$B$3:$HH$112,33,FALSE)</f>
        <v>152.75</v>
      </c>
      <c r="J74" s="51">
        <f>VLOOKUP($A18,'Template IF 2'!$B$3:$HH$112,34,FALSE)</f>
        <v>158.16666666666666</v>
      </c>
      <c r="K74" s="51">
        <f>VLOOKUP($A18,'Template IF 2'!$B$3:$HH$112,35,FALSE)</f>
        <v>188.91666666666666</v>
      </c>
      <c r="L74" s="51">
        <f>VLOOKUP($A18,'Template IF 2'!$B$3:$HH$112,36,FALSE)</f>
        <v>235</v>
      </c>
    </row>
    <row r="75" spans="1:12" ht="15.75" customHeight="1" x14ac:dyDescent="0.2">
      <c r="A75" s="145" t="str">
        <f>A20</f>
        <v>Pennington County</v>
      </c>
      <c r="B75" s="45" t="str">
        <f>VLOOKUP($A20,'Template IF 2'!$B$3:$HH$112,27,FALSE)</f>
        <v>5.6</v>
      </c>
      <c r="C75" s="45">
        <f>VLOOKUP($A20,'Template IF 2'!$B$3:$HH$112,28,FALSE)</f>
        <v>6.9</v>
      </c>
      <c r="D75" s="45">
        <f>VLOOKUP($A20,'Template IF 2'!$B$3:$HH$112,29,FALSE)</f>
        <v>7.2</v>
      </c>
      <c r="E75" s="45">
        <f>VLOOKUP($A20,'Template IF 2'!$B$3:$HH$112,30,FALSE)</f>
        <v>9</v>
      </c>
      <c r="F75" s="45">
        <f>VLOOKUP($A20,'Template IF 2'!$B$3:$HH$112,31,FALSE)</f>
        <v>8.1</v>
      </c>
      <c r="G75" s="32"/>
      <c r="H75" s="51">
        <f>VLOOKUP($A20,'Template IF 2'!$B$3:$HH$112,32,FALSE)</f>
        <v>366.41666666666669</v>
      </c>
      <c r="I75" s="51">
        <f>VLOOKUP($A20,'Template IF 2'!$B$3:$HH$112,33,FALSE)</f>
        <v>361.66666666666669</v>
      </c>
      <c r="J75" s="51">
        <f>VLOOKUP($A20,'Template IF 2'!$B$3:$HH$112,34,FALSE)</f>
        <v>412.75</v>
      </c>
      <c r="K75" s="51">
        <f>VLOOKUP($A20,'Template IF 2'!$B$3:$HH$112,35,FALSE)</f>
        <v>533.16666666666663</v>
      </c>
      <c r="L75" s="51">
        <f>VLOOKUP($A20,'Template IF 2'!$B$3:$HH$112,36,FALSE)</f>
        <v>601.91666666666663</v>
      </c>
    </row>
    <row r="76" spans="1:12" ht="15.75" customHeight="1" x14ac:dyDescent="0.2">
      <c r="A76" s="145" t="str">
        <f>A22</f>
        <v>Red Lake County</v>
      </c>
      <c r="B76" s="45" t="str">
        <f>VLOOKUP($A22,'Template IF 2'!$B$3:$HH$112,27,FALSE)</f>
        <v>6.8</v>
      </c>
      <c r="C76" s="45">
        <f>VLOOKUP($A22,'Template IF 2'!$B$3:$HH$112,28,FALSE)</f>
        <v>8.4</v>
      </c>
      <c r="D76" s="45">
        <f>VLOOKUP($A22,'Template IF 2'!$B$3:$HH$112,29,FALSE)</f>
        <v>8.1999999999999993</v>
      </c>
      <c r="E76" s="45">
        <f>VLOOKUP($A22,'Template IF 2'!$B$3:$HH$112,30,FALSE)</f>
        <v>10</v>
      </c>
      <c r="F76" s="45">
        <f>VLOOKUP($A22,'Template IF 2'!$B$3:$HH$112,31,FALSE)</f>
        <v>9</v>
      </c>
      <c r="G76" s="32"/>
      <c r="H76" s="51">
        <f>VLOOKUP($A22,'Template IF 2'!$B$3:$HH$112,32,FALSE)</f>
        <v>106.58333333333333</v>
      </c>
      <c r="I76" s="51">
        <f>VLOOKUP($A22,'Template IF 2'!$B$3:$HH$112,33,FALSE)</f>
        <v>115.5</v>
      </c>
      <c r="J76" s="51">
        <f>VLOOKUP($A22,'Template IF 2'!$B$3:$HH$112,34,FALSE)</f>
        <v>125.33333333333333</v>
      </c>
      <c r="K76" s="51">
        <f>VLOOKUP($A22,'Template IF 2'!$B$3:$HH$112,35,FALSE)</f>
        <v>150.25</v>
      </c>
      <c r="L76" s="51">
        <f>VLOOKUP($A22,'Template IF 2'!$B$3:$HH$112,36,FALSE)</f>
        <v>169.58333333333334</v>
      </c>
    </row>
    <row r="77" spans="1:12" ht="15.75" customHeight="1" x14ac:dyDescent="0.2">
      <c r="A77" s="145" t="str">
        <f>A24</f>
        <v>Roseau County</v>
      </c>
      <c r="B77" s="45" t="str">
        <f>VLOOKUP($A24,'Template IF 2'!$B$3:$HH$112,27,FALSE)</f>
        <v>6.4</v>
      </c>
      <c r="C77" s="45">
        <f>VLOOKUP($A24,'Template IF 2'!$B$3:$HH$112,28,FALSE)</f>
        <v>6.4</v>
      </c>
      <c r="D77" s="45">
        <f>VLOOKUP($A24,'Template IF 2'!$B$3:$HH$112,29,FALSE)</f>
        <v>5</v>
      </c>
      <c r="E77" s="45">
        <f>VLOOKUP($A24,'Template IF 2'!$B$3:$HH$112,30,FALSE)</f>
        <v>7.6</v>
      </c>
      <c r="F77" s="45">
        <f>VLOOKUP($A24,'Template IF 2'!$B$3:$HH$112,31,FALSE)</f>
        <v>5.9</v>
      </c>
      <c r="G77" s="32"/>
      <c r="H77" s="51">
        <f>VLOOKUP($A24,'Template IF 2'!$B$3:$HH$112,32,FALSE)</f>
        <v>138</v>
      </c>
      <c r="I77" s="51">
        <f>VLOOKUP($A24,'Template IF 2'!$B$3:$HH$112,33,FALSE)</f>
        <v>154.25</v>
      </c>
      <c r="J77" s="51">
        <f>VLOOKUP($A24,'Template IF 2'!$B$3:$HH$112,34,FALSE)</f>
        <v>190.16666666666666</v>
      </c>
      <c r="K77" s="51">
        <f>VLOOKUP($A24,'Template IF 2'!$B$3:$HH$112,35,FALSE)</f>
        <v>277.58333333333331</v>
      </c>
      <c r="L77" s="51">
        <f>VLOOKUP($A24,'Template IF 2'!$B$3:$HH$112,36,FALSE)</f>
        <v>336.16666666666669</v>
      </c>
    </row>
    <row r="78" spans="1:12" ht="15.75" customHeight="1" x14ac:dyDescent="0.2">
      <c r="A78" s="134" t="str">
        <f>A26</f>
        <v>CHB - Kitt, Marsh, Penn, Red Lake and Roseau</v>
      </c>
      <c r="B78" s="49">
        <f>VLOOKUP($A26,'Template IF 2'!$B$3:$HH$112,27,FALSE)</f>
        <v>6.1775525786076209</v>
      </c>
      <c r="C78" s="49">
        <f>VLOOKUP($A26,'Template IF 2'!$B$3:$HH$112,28,FALSE)</f>
        <v>6.9856188827249923</v>
      </c>
      <c r="D78" s="49">
        <f>VLOOKUP($A26,'Template IF 2'!$B$3:$HH$112,29,FALSE)</f>
        <v>6.3893487372758972</v>
      </c>
      <c r="E78" s="49">
        <f>VLOOKUP($A26,'Template IF 2'!$B$3:$HH$112,30,FALSE)</f>
        <v>8.90633646928611</v>
      </c>
      <c r="F78" s="49">
        <f>VLOOKUP($A26,'Template IF 2'!$B$3:$HH$112,31,FALSE)</f>
        <v>7.5611872938725915</v>
      </c>
      <c r="G78" s="31"/>
      <c r="H78" s="47">
        <f>VLOOKUP($A26,'Template IF 2'!$B$3:$HH$112,32,FALSE)</f>
        <v>837.16666666666674</v>
      </c>
      <c r="I78" s="47">
        <f>VLOOKUP($A26,'Template IF 2'!$B$3:$HH$112,33,FALSE)</f>
        <v>846.75</v>
      </c>
      <c r="J78" s="47">
        <f>VLOOKUP($A26,'Template IF 2'!$B$3:$HH$112,34,FALSE)</f>
        <v>950.5</v>
      </c>
      <c r="K78" s="47">
        <f>VLOOKUP($A26,'Template IF 2'!$B$3:$HH$112,35,FALSE)</f>
        <v>1217.25</v>
      </c>
      <c r="L78" s="47">
        <f>VLOOKUP($A26,'Template IF 2'!$B$3:$HH$112,36,FALSE)</f>
        <v>1422.5</v>
      </c>
    </row>
    <row r="79" spans="1:12" ht="15.75" customHeight="1" x14ac:dyDescent="0.2">
      <c r="A79" s="145"/>
      <c r="B79" s="32"/>
      <c r="C79" s="32"/>
      <c r="D79" s="32"/>
      <c r="E79" s="32"/>
      <c r="F79" s="32"/>
      <c r="G79" s="32"/>
      <c r="H79" s="32"/>
      <c r="I79" s="32"/>
      <c r="J79" s="32"/>
      <c r="K79" s="32"/>
      <c r="L79" s="32"/>
    </row>
    <row r="80" spans="1:12" ht="15.75" customHeight="1" x14ac:dyDescent="0.2">
      <c r="A80" s="145"/>
      <c r="B80" s="163" t="s">
        <v>225</v>
      </c>
      <c r="C80" s="163"/>
      <c r="D80" s="163"/>
      <c r="E80" s="163"/>
      <c r="F80" s="163"/>
      <c r="G80" s="32"/>
      <c r="H80" s="163" t="s">
        <v>226</v>
      </c>
      <c r="I80" s="163"/>
      <c r="J80" s="163"/>
      <c r="K80" s="163"/>
      <c r="L80" s="163"/>
    </row>
    <row r="81" spans="1:24" ht="15.75" customHeight="1" x14ac:dyDescent="0.2">
      <c r="A81" s="134"/>
      <c r="B81" s="31">
        <v>2005</v>
      </c>
      <c r="C81" s="31">
        <v>2006</v>
      </c>
      <c r="D81" s="31">
        <v>2007</v>
      </c>
      <c r="E81" s="31">
        <v>2008</v>
      </c>
      <c r="F81" s="31">
        <v>2009</v>
      </c>
      <c r="G81" s="32"/>
      <c r="H81" s="31">
        <v>2005</v>
      </c>
      <c r="I81" s="31">
        <v>2006</v>
      </c>
      <c r="J81" s="31">
        <v>2007</v>
      </c>
      <c r="K81" s="31">
        <v>2008</v>
      </c>
      <c r="L81" s="31">
        <v>2009</v>
      </c>
    </row>
    <row r="82" spans="1:24" ht="15.75" customHeight="1" x14ac:dyDescent="0.2">
      <c r="A82" s="145" t="s">
        <v>32</v>
      </c>
      <c r="B82" s="139">
        <f>'Template IF 2'!AX3</f>
        <v>37290</v>
      </c>
      <c r="C82" s="139">
        <f>'Template IF 2'!AY3</f>
        <v>38859</v>
      </c>
      <c r="D82" s="139">
        <f>'Template IF 2'!AZ3</f>
        <v>41105</v>
      </c>
      <c r="E82" s="139">
        <f>'Template IF 2'!BA3</f>
        <v>42953</v>
      </c>
      <c r="F82" s="139">
        <f>'Template IF 2'!BB3</f>
        <v>41854</v>
      </c>
      <c r="G82" s="137"/>
      <c r="H82" s="139">
        <f>'Template IF 2'!BC3</f>
        <v>52048</v>
      </c>
      <c r="I82" s="139">
        <f>'Template IF 2'!BD3</f>
        <v>54022</v>
      </c>
      <c r="J82" s="139">
        <f>'Template IF 2'!BE3</f>
        <v>55664</v>
      </c>
      <c r="K82" s="139">
        <f>'Template IF 2'!BF3</f>
        <v>57318</v>
      </c>
      <c r="L82" s="139">
        <f>'Template IF 2'!BG3</f>
        <v>55621</v>
      </c>
    </row>
    <row r="83" spans="1:24" ht="15.75" customHeight="1" x14ac:dyDescent="0.2">
      <c r="A83" s="145" t="str">
        <f>A16</f>
        <v>Kittson County</v>
      </c>
      <c r="B83" s="48">
        <f>VLOOKUP($A16,'Template IF 2'!$B$3:$HH$112,49,FALSE)</f>
        <v>27766</v>
      </c>
      <c r="C83" s="48">
        <f>VLOOKUP($A16,'Template IF 2'!$B$3:$HH$112,50,FALSE)</f>
        <v>28798</v>
      </c>
      <c r="D83" s="48">
        <f>VLOOKUP($A16,'Template IF 2'!$B$3:$HH$112,51,FALSE)</f>
        <v>31322</v>
      </c>
      <c r="E83" s="48">
        <f>VLOOKUP($A16,'Template IF 2'!$B$3:$HH$112,52,FALSE)</f>
        <v>52127</v>
      </c>
      <c r="F83" s="48">
        <f>VLOOKUP($A16,'Template IF 2'!$B$3:$HH$112,53,FALSE)</f>
        <v>39072</v>
      </c>
      <c r="G83" s="32"/>
      <c r="H83" s="48">
        <f>VLOOKUP($A16,'Template IF 2'!$B$3:$HH$112,54,FALSE)</f>
        <v>38089</v>
      </c>
      <c r="I83" s="48">
        <f>VLOOKUP($A16,'Template IF 2'!$B$3:$HH$112,55,FALSE)</f>
        <v>41713</v>
      </c>
      <c r="J83" s="48">
        <f>VLOOKUP($A16,'Template IF 2'!$B$3:$HH$112,56,FALSE)</f>
        <v>39591</v>
      </c>
      <c r="K83" s="48">
        <f>VLOOKUP($A16,'Template IF 2'!$B$3:$HH$112,57,FALSE)</f>
        <v>43387</v>
      </c>
      <c r="L83" s="48">
        <f>VLOOKUP($A16,'Template IF 2'!$B$3:$HH$112,58,FALSE)</f>
        <v>45404</v>
      </c>
      <c r="M83" s="64"/>
      <c r="N83" s="64"/>
      <c r="O83" s="64"/>
      <c r="P83" s="64"/>
      <c r="Q83" s="64"/>
      <c r="S83" s="64"/>
      <c r="T83" s="64"/>
      <c r="U83" s="64"/>
      <c r="V83" s="64"/>
      <c r="W83" s="64"/>
    </row>
    <row r="84" spans="1:24" ht="15.75" customHeight="1" x14ac:dyDescent="0.2">
      <c r="A84" s="145" t="str">
        <f>A18</f>
        <v>Marshall County</v>
      </c>
      <c r="B84" s="48">
        <f>VLOOKUP($A18,'Template IF 2'!$B$3:$HH$112,49,FALSE)</f>
        <v>26894</v>
      </c>
      <c r="C84" s="48">
        <f>VLOOKUP($A18,'Template IF 2'!$B$3:$HH$112,50,FALSE)</f>
        <v>28447</v>
      </c>
      <c r="D84" s="48">
        <f>VLOOKUP($A18,'Template IF 2'!$B$3:$HH$112,51,FALSE)</f>
        <v>31624</v>
      </c>
      <c r="E84" s="48">
        <f>VLOOKUP($A18,'Template IF 2'!$B$3:$HH$112,52,FALSE)</f>
        <v>43631</v>
      </c>
      <c r="F84" s="48">
        <f>VLOOKUP($A18,'Template IF 2'!$B$3:$HH$112,53,FALSE)</f>
        <v>37573</v>
      </c>
      <c r="G84" s="32"/>
      <c r="H84" s="48">
        <f>VLOOKUP($A18,'Template IF 2'!$B$3:$HH$112,54,FALSE)</f>
        <v>39693</v>
      </c>
      <c r="I84" s="48">
        <f>VLOOKUP($A18,'Template IF 2'!$B$3:$HH$112,55,FALSE)</f>
        <v>43155</v>
      </c>
      <c r="J84" s="48">
        <f>VLOOKUP($A18,'Template IF 2'!$B$3:$HH$112,56,FALSE)</f>
        <v>45145</v>
      </c>
      <c r="K84" s="48">
        <f>VLOOKUP($A18,'Template IF 2'!$B$3:$HH$112,57,FALSE)</f>
        <v>45780</v>
      </c>
      <c r="L84" s="48">
        <f>VLOOKUP($A18,'Template IF 2'!$B$3:$HH$112,58,FALSE)</f>
        <v>46242</v>
      </c>
      <c r="M84" s="64"/>
      <c r="N84" s="64"/>
      <c r="O84" s="64"/>
      <c r="P84" s="64"/>
      <c r="Q84" s="64"/>
      <c r="S84" s="64"/>
      <c r="T84" s="64"/>
      <c r="U84" s="64"/>
      <c r="V84" s="64"/>
      <c r="W84" s="64"/>
      <c r="X84" s="64"/>
    </row>
    <row r="85" spans="1:24" ht="15.75" customHeight="1" x14ac:dyDescent="0.2">
      <c r="A85" s="145" t="str">
        <f>A20</f>
        <v>Pennington County</v>
      </c>
      <c r="B85" s="48">
        <f>VLOOKUP($A20,'Template IF 2'!$B$3:$HH$112,49,FALSE)</f>
        <v>33671</v>
      </c>
      <c r="C85" s="48">
        <f>VLOOKUP($A20,'Template IF 2'!$B$3:$HH$112,50,FALSE)</f>
        <v>33250</v>
      </c>
      <c r="D85" s="48">
        <f>VLOOKUP($A20,'Template IF 2'!$B$3:$HH$112,51,FALSE)</f>
        <v>35873</v>
      </c>
      <c r="E85" s="48">
        <f>VLOOKUP($A20,'Template IF 2'!$B$3:$HH$112,52,FALSE)</f>
        <v>38607</v>
      </c>
      <c r="F85" s="48">
        <f>VLOOKUP($A20,'Template IF 2'!$B$3:$HH$112,53,FALSE)</f>
        <v>39138</v>
      </c>
      <c r="G85" s="32"/>
      <c r="H85" s="48">
        <f>VLOOKUP($A20,'Template IF 2'!$B$3:$HH$112,54,FALSE)</f>
        <v>40655</v>
      </c>
      <c r="I85" s="48">
        <f>VLOOKUP($A20,'Template IF 2'!$B$3:$HH$112,55,FALSE)</f>
        <v>39891</v>
      </c>
      <c r="J85" s="48">
        <f>VLOOKUP($A20,'Template IF 2'!$B$3:$HH$112,56,FALSE)</f>
        <v>41785</v>
      </c>
      <c r="K85" s="48">
        <f>VLOOKUP($A20,'Template IF 2'!$B$3:$HH$112,57,FALSE)</f>
        <v>47614</v>
      </c>
      <c r="L85" s="48">
        <f>VLOOKUP($A20,'Template IF 2'!$B$3:$HH$112,58,FALSE)</f>
        <v>41027</v>
      </c>
    </row>
    <row r="86" spans="1:24" ht="15.75" customHeight="1" x14ac:dyDescent="0.2">
      <c r="A86" s="145" t="str">
        <f>A22</f>
        <v>Red Lake County</v>
      </c>
      <c r="B86" s="48">
        <f>VLOOKUP($A22,'Template IF 2'!$B$3:$HH$112,49,FALSE)</f>
        <v>23698</v>
      </c>
      <c r="C86" s="48">
        <f>VLOOKUP($A22,'Template IF 2'!$B$3:$HH$112,50,FALSE)</f>
        <v>24243</v>
      </c>
      <c r="D86" s="48">
        <f>VLOOKUP($A22,'Template IF 2'!$B$3:$HH$112,51,FALSE)</f>
        <v>28206</v>
      </c>
      <c r="E86" s="48">
        <f>VLOOKUP($A22,'Template IF 2'!$B$3:$HH$112,52,FALSE)</f>
        <v>29707</v>
      </c>
      <c r="F86" s="48">
        <f>VLOOKUP($A22,'Template IF 2'!$B$3:$HH$112,53,FALSE)</f>
        <v>29750</v>
      </c>
      <c r="G86" s="32"/>
      <c r="H86" s="48">
        <f>VLOOKUP($A22,'Template IF 2'!$B$3:$HH$112,54,FALSE)</f>
        <v>35857</v>
      </c>
      <c r="I86" s="48">
        <f>VLOOKUP($A22,'Template IF 2'!$B$3:$HH$112,55,FALSE)</f>
        <v>39869</v>
      </c>
      <c r="J86" s="48">
        <f>VLOOKUP($A22,'Template IF 2'!$B$3:$HH$112,56,FALSE)</f>
        <v>40008</v>
      </c>
      <c r="K86" s="48">
        <f>VLOOKUP($A22,'Template IF 2'!$B$3:$HH$112,57,FALSE)</f>
        <v>42772</v>
      </c>
      <c r="L86" s="48">
        <f>VLOOKUP($A22,'Template IF 2'!$B$3:$HH$112,58,FALSE)</f>
        <v>41510</v>
      </c>
    </row>
    <row r="87" spans="1:24" ht="15.75" customHeight="1" x14ac:dyDescent="0.2">
      <c r="A87" s="145" t="str">
        <f>A24</f>
        <v>Roseau County</v>
      </c>
      <c r="B87" s="48">
        <f>VLOOKUP($A24,'Template IF 2'!$B$3:$HH$112,49,FALSE)</f>
        <v>31495</v>
      </c>
      <c r="C87" s="48">
        <f>VLOOKUP($A24,'Template IF 2'!$B$3:$HH$112,50,FALSE)</f>
        <v>32742</v>
      </c>
      <c r="D87" s="48">
        <f>VLOOKUP($A24,'Template IF 2'!$B$3:$HH$112,51,FALSE)</f>
        <v>35150</v>
      </c>
      <c r="E87" s="48">
        <f>VLOOKUP($A24,'Template IF 2'!$B$3:$HH$112,52,FALSE)</f>
        <v>39434</v>
      </c>
      <c r="F87" s="48">
        <f>VLOOKUP($A24,'Template IF 2'!$B$3:$HH$112,53,FALSE)</f>
        <v>35009</v>
      </c>
      <c r="G87" s="32"/>
      <c r="H87" s="48">
        <f>VLOOKUP($A24,'Template IF 2'!$B$3:$HH$112,54,FALSE)</f>
        <v>45639</v>
      </c>
      <c r="I87" s="48">
        <f>VLOOKUP($A24,'Template IF 2'!$B$3:$HH$112,55,FALSE)</f>
        <v>49493</v>
      </c>
      <c r="J87" s="48">
        <f>VLOOKUP($A24,'Template IF 2'!$B$3:$HH$112,56,FALSE)</f>
        <v>48376</v>
      </c>
      <c r="K87" s="48">
        <f>VLOOKUP($A24,'Template IF 2'!$B$3:$HH$112,57,FALSE)</f>
        <v>49718</v>
      </c>
      <c r="L87" s="48">
        <f>VLOOKUP($A24,'Template IF 2'!$B$3:$HH$112,58,FALSE)</f>
        <v>46846</v>
      </c>
    </row>
    <row r="88" spans="1:24" ht="15.75" customHeight="1" x14ac:dyDescent="0.2">
      <c r="A88" s="134" t="str">
        <f>A26</f>
        <v>CHB - Kitt, Marsh, Penn, Red Lake and Roseau</v>
      </c>
      <c r="B88" s="60">
        <f>VLOOKUP($A26,'Template IF 2'!$B$3:$HH$112,49,FALSE)</f>
        <v>31061.526399405782</v>
      </c>
      <c r="C88" s="60">
        <f>VLOOKUP($A26,'Template IF 2'!$B$3:$HH$112,50,FALSE)</f>
        <v>32280.682786868205</v>
      </c>
      <c r="D88" s="60">
        <f>VLOOKUP($A26,'Template IF 2'!$B$3:$HH$112,51,FALSE)</f>
        <v>35102.289852645677</v>
      </c>
      <c r="E88" s="60">
        <f>VLOOKUP($A26,'Template IF 2'!$B$3:$HH$112,52,FALSE)</f>
        <v>40703.760472001173</v>
      </c>
      <c r="F88" s="60">
        <f>VLOOKUP($A26,'Template IF 2'!$B$3:$HH$112,53,FALSE)</f>
        <v>36618.265647697845</v>
      </c>
      <c r="G88" s="31"/>
      <c r="H88" s="60" t="str">
        <f>VLOOKUP($A26,'Template IF 2'!$B$3:$HH$112,54,FALSE)</f>
        <v>NA</v>
      </c>
      <c r="I88" s="60" t="str">
        <f>VLOOKUP($A26,'Template IF 2'!$B$3:$HH$112,55,FALSE)</f>
        <v>NA</v>
      </c>
      <c r="J88" s="60" t="str">
        <f>VLOOKUP($A26,'Template IF 2'!$B$3:$HH$112,56,FALSE)</f>
        <v>NA</v>
      </c>
      <c r="K88" s="60" t="str">
        <f>VLOOKUP($A26,'Template IF 2'!$B$3:$HH$112,57,FALSE)</f>
        <v>NA</v>
      </c>
      <c r="L88" s="60" t="str">
        <f>VLOOKUP($A26,'Template IF 2'!$B$3:$HH$112,58,FALSE)</f>
        <v>NA</v>
      </c>
    </row>
    <row r="89" spans="1:24" ht="15.75" customHeight="1" x14ac:dyDescent="0.2">
      <c r="A89" s="135"/>
      <c r="B89" s="33"/>
      <c r="C89" s="33"/>
      <c r="D89" s="33"/>
      <c r="E89" s="33"/>
      <c r="F89" s="33"/>
      <c r="G89" s="32"/>
      <c r="H89" s="12" t="s">
        <v>253</v>
      </c>
      <c r="I89" s="33"/>
      <c r="J89" s="33"/>
      <c r="K89" s="33"/>
      <c r="L89" s="33"/>
    </row>
    <row r="90" spans="1:24" ht="15.75" x14ac:dyDescent="0.2">
      <c r="A90" s="145"/>
      <c r="B90" s="163" t="s">
        <v>279</v>
      </c>
      <c r="C90" s="163"/>
      <c r="D90" s="163"/>
      <c r="E90" s="163"/>
      <c r="F90" s="163"/>
      <c r="G90" s="32"/>
      <c r="H90" s="163" t="s">
        <v>280</v>
      </c>
      <c r="I90" s="163"/>
      <c r="J90" s="163"/>
      <c r="K90" s="163"/>
      <c r="L90" s="163"/>
    </row>
    <row r="91" spans="1:24" x14ac:dyDescent="0.2">
      <c r="A91" s="134"/>
      <c r="B91" s="31">
        <v>2005</v>
      </c>
      <c r="C91" s="31">
        <v>2006</v>
      </c>
      <c r="D91" s="31">
        <v>2007</v>
      </c>
      <c r="E91" s="31">
        <v>2008</v>
      </c>
      <c r="F91" s="31">
        <v>2009</v>
      </c>
      <c r="G91" s="32"/>
      <c r="H91" s="31">
        <v>2005</v>
      </c>
      <c r="I91" s="31">
        <v>2006</v>
      </c>
      <c r="J91" s="31">
        <v>2007</v>
      </c>
      <c r="K91" s="31">
        <v>2008</v>
      </c>
      <c r="L91" s="31">
        <v>2009</v>
      </c>
    </row>
    <row r="92" spans="1:24" ht="15.75" customHeight="1" x14ac:dyDescent="0.2">
      <c r="A92" s="145" t="s">
        <v>32</v>
      </c>
      <c r="B92" s="34">
        <f>'Template IF 2'!BH3</f>
        <v>9.1999999999999993</v>
      </c>
      <c r="C92" s="34">
        <f>'Template IF 2'!BI3</f>
        <v>9.6999999999999993</v>
      </c>
      <c r="D92" s="34">
        <f>'Template IF 2'!BJ3</f>
        <v>9.5</v>
      </c>
      <c r="E92" s="34">
        <f>'Template IF 2'!BK3</f>
        <v>9.6</v>
      </c>
      <c r="F92" s="34">
        <f>'Template IF 2'!BL3</f>
        <v>10.9</v>
      </c>
      <c r="G92" s="32"/>
      <c r="H92" s="34">
        <f>'Template IF 2'!BM3</f>
        <v>11.6</v>
      </c>
      <c r="I92" s="34">
        <f>'Template IF 2'!BN3</f>
        <v>12</v>
      </c>
      <c r="J92" s="34">
        <f>'Template IF 2'!BO3</f>
        <v>11.9</v>
      </c>
      <c r="K92" s="34">
        <f>'Template IF 2'!BP3</f>
        <v>11.4</v>
      </c>
      <c r="L92" s="34">
        <f>'Template IF 2'!BQ3</f>
        <v>13.9</v>
      </c>
    </row>
    <row r="93" spans="1:24" ht="15.75" customHeight="1" x14ac:dyDescent="0.2">
      <c r="A93" s="145" t="str">
        <f>A16</f>
        <v>Kittson County</v>
      </c>
      <c r="B93" s="45">
        <f>VLOOKUP($A16,'Template IF 2'!$B$3:$HH$112,59,FALSE)</f>
        <v>9.8000000000000007</v>
      </c>
      <c r="C93" s="45">
        <f>VLOOKUP($A16,'Template IF 2'!$B$3:$HH$112,60,FALSE)</f>
        <v>9.3000000000000007</v>
      </c>
      <c r="D93" s="45">
        <f>VLOOKUP($A16,'Template IF 2'!$B$3:$HH$112,61,FALSE)</f>
        <v>9.9</v>
      </c>
      <c r="E93" s="45">
        <f>VLOOKUP($A16,'Template IF 2'!$B$3:$HH$112,62,FALSE)</f>
        <v>10.5</v>
      </c>
      <c r="F93" s="45">
        <f>VLOOKUP($A16,'Template IF 2'!$B$3:$HH$112,63,FALSE)</f>
        <v>10</v>
      </c>
      <c r="G93" s="32"/>
      <c r="H93" s="39">
        <f>VLOOKUP($A16,'Template IF 2'!$B$3:$HH$112,64,FALSE)</f>
        <v>13.4</v>
      </c>
      <c r="I93" s="39">
        <f>VLOOKUP($A16,'Template IF 2'!$B$3:$HH$112,65,FALSE)</f>
        <v>13.6</v>
      </c>
      <c r="J93" s="39">
        <f>VLOOKUP($A16,'Template IF 2'!$B$3:$HH$112,66,FALSE)</f>
        <v>14.8</v>
      </c>
      <c r="K93" s="39">
        <f>VLOOKUP($A16,'Template IF 2'!$B$3:$HH$112,67,FALSE)</f>
        <v>14</v>
      </c>
      <c r="L93" s="39">
        <f>VLOOKUP($A16,'Template IF 2'!$B$3:$HH$112,68,FALSE)</f>
        <v>15.6</v>
      </c>
    </row>
    <row r="94" spans="1:24" ht="15.75" customHeight="1" x14ac:dyDescent="0.2">
      <c r="A94" s="145" t="str">
        <f>A18</f>
        <v>Marshall County</v>
      </c>
      <c r="B94" s="45">
        <f>VLOOKUP($A18,'Template IF 2'!$B$3:$HH$112,59,FALSE)</f>
        <v>10.5</v>
      </c>
      <c r="C94" s="45">
        <f>VLOOKUP($A18,'Template IF 2'!$B$3:$HH$112,60,FALSE)</f>
        <v>10.4</v>
      </c>
      <c r="D94" s="45">
        <f>VLOOKUP($A18,'Template IF 2'!$B$3:$HH$112,61,FALSE)</f>
        <v>10.3</v>
      </c>
      <c r="E94" s="45">
        <f>VLOOKUP($A18,'Template IF 2'!$B$3:$HH$112,62,FALSE)</f>
        <v>9.8000000000000007</v>
      </c>
      <c r="F94" s="45">
        <f>VLOOKUP($A18,'Template IF 2'!$B$3:$HH$112,63,FALSE)</f>
        <v>9.6999999999999993</v>
      </c>
      <c r="G94" s="32"/>
      <c r="H94" s="39">
        <f>VLOOKUP($A18,'Template IF 2'!$B$3:$HH$112,64,FALSE)</f>
        <v>13.3</v>
      </c>
      <c r="I94" s="39">
        <f>VLOOKUP($A18,'Template IF 2'!$B$3:$HH$112,65,FALSE)</f>
        <v>13.5</v>
      </c>
      <c r="J94" s="39">
        <f>VLOOKUP($A18,'Template IF 2'!$B$3:$HH$112,66,FALSE)</f>
        <v>14.3</v>
      </c>
      <c r="K94" s="39">
        <f>VLOOKUP($A18,'Template IF 2'!$B$3:$HH$112,67,FALSE)</f>
        <v>12.4</v>
      </c>
      <c r="L94" s="39">
        <f>VLOOKUP($A18,'Template IF 2'!$B$3:$HH$112,68,FALSE)</f>
        <v>11.8</v>
      </c>
    </row>
    <row r="95" spans="1:24" ht="15.75" customHeight="1" x14ac:dyDescent="0.2">
      <c r="A95" s="145" t="str">
        <f>A20</f>
        <v>Pennington County</v>
      </c>
      <c r="B95" s="45">
        <f>VLOOKUP($A20,'Template IF 2'!$B$3:$HH$112,59,FALSE)</f>
        <v>10.1</v>
      </c>
      <c r="C95" s="45">
        <f>VLOOKUP($A20,'Template IF 2'!$B$3:$HH$112,60,FALSE)</f>
        <v>10.7</v>
      </c>
      <c r="D95" s="45">
        <f>VLOOKUP($A20,'Template IF 2'!$B$3:$HH$112,61,FALSE)</f>
        <v>11.3</v>
      </c>
      <c r="E95" s="45">
        <f>VLOOKUP($A20,'Template IF 2'!$B$3:$HH$112,62,FALSE)</f>
        <v>11.3</v>
      </c>
      <c r="F95" s="45">
        <f>VLOOKUP($A20,'Template IF 2'!$B$3:$HH$112,63,FALSE)</f>
        <v>13</v>
      </c>
      <c r="G95" s="32"/>
      <c r="H95" s="39">
        <f>VLOOKUP($A20,'Template IF 2'!$B$3:$HH$112,64,FALSE)</f>
        <v>12.5</v>
      </c>
      <c r="I95" s="39">
        <f>VLOOKUP($A20,'Template IF 2'!$B$3:$HH$112,65,FALSE)</f>
        <v>13.1</v>
      </c>
      <c r="J95" s="39">
        <f>VLOOKUP($A20,'Template IF 2'!$B$3:$HH$112,66,FALSE)</f>
        <v>13.3</v>
      </c>
      <c r="K95" s="39">
        <f>VLOOKUP($A20,'Template IF 2'!$B$3:$HH$112,67,FALSE)</f>
        <v>12.9</v>
      </c>
      <c r="L95" s="39">
        <f>VLOOKUP($A20,'Template IF 2'!$B$3:$HH$112,68,FALSE)</f>
        <v>14.9</v>
      </c>
    </row>
    <row r="96" spans="1:24" ht="15.75" customHeight="1" x14ac:dyDescent="0.2">
      <c r="A96" s="145" t="str">
        <f>A22</f>
        <v>Red Lake County</v>
      </c>
      <c r="B96" s="45">
        <f>VLOOKUP($A22,'Template IF 2'!$B$3:$HH$112,59,FALSE)</f>
        <v>10.4</v>
      </c>
      <c r="C96" s="45">
        <f>VLOOKUP($A22,'Template IF 2'!$B$3:$HH$112,60,FALSE)</f>
        <v>10.8</v>
      </c>
      <c r="D96" s="45">
        <f>VLOOKUP($A22,'Template IF 2'!$B$3:$HH$112,61,FALSE)</f>
        <v>11.1</v>
      </c>
      <c r="E96" s="45">
        <f>VLOOKUP($A22,'Template IF 2'!$B$3:$HH$112,62,FALSE)</f>
        <v>11.5</v>
      </c>
      <c r="F96" s="45">
        <f>VLOOKUP($A22,'Template IF 2'!$B$3:$HH$112,63,FALSE)</f>
        <v>11.1</v>
      </c>
      <c r="G96" s="32"/>
      <c r="H96" s="39">
        <f>VLOOKUP($A22,'Template IF 2'!$B$3:$HH$112,64,FALSE)</f>
        <v>12.5</v>
      </c>
      <c r="I96" s="39">
        <f>VLOOKUP($A22,'Template IF 2'!$B$3:$HH$112,65,FALSE)</f>
        <v>13.9</v>
      </c>
      <c r="J96" s="39">
        <f>VLOOKUP($A22,'Template IF 2'!$B$3:$HH$112,66,FALSE)</f>
        <v>13.4</v>
      </c>
      <c r="K96" s="39">
        <f>VLOOKUP($A22,'Template IF 2'!$B$3:$HH$112,67,FALSE)</f>
        <v>14.4</v>
      </c>
      <c r="L96" s="39">
        <f>VLOOKUP($A22,'Template IF 2'!$B$3:$HH$112,68,FALSE)</f>
        <v>15.9</v>
      </c>
    </row>
    <row r="97" spans="1:12" ht="15.75" customHeight="1" x14ac:dyDescent="0.2">
      <c r="A97" s="145" t="str">
        <f>A24</f>
        <v>Roseau County</v>
      </c>
      <c r="B97" s="45">
        <f>VLOOKUP($A24,'Template IF 2'!$B$3:$HH$112,59,FALSE)</f>
        <v>6.8</v>
      </c>
      <c r="C97" s="45">
        <f>VLOOKUP($A24,'Template IF 2'!$B$3:$HH$112,60,FALSE)</f>
        <v>8</v>
      </c>
      <c r="D97" s="45">
        <f>VLOOKUP($A24,'Template IF 2'!$B$3:$HH$112,61,FALSE)</f>
        <v>8.1999999999999993</v>
      </c>
      <c r="E97" s="45">
        <f>VLOOKUP($A24,'Template IF 2'!$B$3:$HH$112,62,FALSE)</f>
        <v>8.1999999999999993</v>
      </c>
      <c r="F97" s="45">
        <f>VLOOKUP($A24,'Template IF 2'!$B$3:$HH$112,63,FALSE)</f>
        <v>8.4</v>
      </c>
      <c r="G97" s="32"/>
      <c r="H97" s="39">
        <f>VLOOKUP($A24,'Template IF 2'!$B$3:$HH$112,64,FALSE)</f>
        <v>8</v>
      </c>
      <c r="I97" s="39">
        <f>VLOOKUP($A24,'Template IF 2'!$B$3:$HH$112,65,FALSE)</f>
        <v>9.8000000000000007</v>
      </c>
      <c r="J97" s="39">
        <f>VLOOKUP($A24,'Template IF 2'!$B$3:$HH$112,66,FALSE)</f>
        <v>9.3000000000000007</v>
      </c>
      <c r="K97" s="39">
        <f>VLOOKUP($A24,'Template IF 2'!$B$3:$HH$112,67,FALSE)</f>
        <v>9.6</v>
      </c>
      <c r="L97" s="39">
        <f>VLOOKUP($A24,'Template IF 2'!$B$3:$HH$112,68,FALSE)</f>
        <v>10.7</v>
      </c>
    </row>
    <row r="98" spans="1:12" ht="15.75" customHeight="1" x14ac:dyDescent="0.2">
      <c r="A98" s="134" t="str">
        <f>A26</f>
        <v>CHB - Kitt, Marsh, Penn, Red Lake and Roseau</v>
      </c>
      <c r="B98" s="49">
        <f>VLOOKUP($A26,'Template IF 2'!$B$3:$HH$112,59,FALSE)</f>
        <v>8.847009820936357</v>
      </c>
      <c r="C98" s="49">
        <f>VLOOKUP($A26,'Template IF 2'!$B$3:$HH$112,60,FALSE)</f>
        <v>9.4006568144499187</v>
      </c>
      <c r="D98" s="49">
        <f>VLOOKUP($A26,'Template IF 2'!$B$3:$HH$112,61,FALSE)</f>
        <v>9.7094466345451895</v>
      </c>
      <c r="E98" s="49">
        <f>VLOOKUP($A26,'Template IF 2'!$B$3:$HH$112,62,FALSE)</f>
        <v>9.69041872179662</v>
      </c>
      <c r="F98" s="49">
        <f>VLOOKUP($A26,'Template IF 2'!$B$3:$HH$112,63,FALSE)</f>
        <v>10.130739594517779</v>
      </c>
      <c r="G98" s="31"/>
      <c r="H98" s="49">
        <f>VLOOKUP($A26,'Template IF 2'!$B$3:$HH$112,64,FALSE)</f>
        <v>10.807993049522155</v>
      </c>
      <c r="I98" s="49">
        <f>VLOOKUP($A26,'Template IF 2'!$B$3:$HH$112,65,FALSE)</f>
        <v>11.827863884318988</v>
      </c>
      <c r="J98" s="49">
        <f>VLOOKUP($A26,'Template IF 2'!$B$3:$HH$112,66,FALSE)</f>
        <v>11.898371801753445</v>
      </c>
      <c r="K98" s="49">
        <f>VLOOKUP($A26,'Template IF 2'!$B$3:$HH$112,67,FALSE)</f>
        <v>11.594336152997425</v>
      </c>
      <c r="L98" s="49">
        <f>VLOOKUP($A26,'Template IF 2'!$B$3:$HH$112,68,FALSE)</f>
        <v>12.68650128012713</v>
      </c>
    </row>
    <row r="99" spans="1:12" ht="15.75" customHeight="1" x14ac:dyDescent="0.2">
      <c r="A99" s="12"/>
      <c r="B99" s="32"/>
      <c r="C99" s="32"/>
      <c r="D99" s="32"/>
      <c r="E99" s="32"/>
      <c r="F99" s="32"/>
      <c r="G99" s="32"/>
      <c r="H99" s="32"/>
      <c r="I99" s="32"/>
      <c r="J99" s="32"/>
      <c r="K99" s="32"/>
      <c r="L99" s="32"/>
    </row>
    <row r="100" spans="1:12" ht="18.75" x14ac:dyDescent="0.25">
      <c r="A100" s="165" t="s">
        <v>227</v>
      </c>
      <c r="B100" s="165"/>
      <c r="C100" s="165"/>
      <c r="D100" s="165"/>
      <c r="E100" s="165"/>
      <c r="F100" s="165"/>
      <c r="G100" s="165"/>
      <c r="H100" s="165"/>
      <c r="I100" s="165"/>
      <c r="J100" s="165"/>
      <c r="K100" s="165"/>
      <c r="L100" s="165"/>
    </row>
    <row r="101" spans="1:12" x14ac:dyDescent="0.2">
      <c r="A101" s="12"/>
      <c r="B101" s="32"/>
      <c r="C101" s="32"/>
      <c r="D101" s="32"/>
      <c r="E101" s="32"/>
      <c r="F101" s="32"/>
      <c r="G101" s="32"/>
      <c r="H101" s="32"/>
      <c r="I101" s="32"/>
      <c r="J101" s="32"/>
      <c r="K101" s="32"/>
      <c r="L101" s="32"/>
    </row>
    <row r="102" spans="1:12" x14ac:dyDescent="0.2">
      <c r="A102" s="12"/>
      <c r="B102" s="32"/>
      <c r="C102" s="32"/>
      <c r="D102" s="32"/>
      <c r="E102" s="32"/>
      <c r="F102" s="32"/>
      <c r="G102" s="32"/>
      <c r="H102" s="161" t="s">
        <v>228</v>
      </c>
      <c r="I102" s="162"/>
      <c r="J102" s="162"/>
      <c r="K102" s="162"/>
      <c r="L102" s="32"/>
    </row>
    <row r="103" spans="1:12" x14ac:dyDescent="0.2">
      <c r="A103" s="30"/>
      <c r="B103" s="163" t="s">
        <v>229</v>
      </c>
      <c r="C103" s="163"/>
      <c r="D103" s="163"/>
      <c r="E103" s="163"/>
      <c r="F103" s="32"/>
      <c r="G103" s="32"/>
      <c r="H103" s="163"/>
      <c r="I103" s="163"/>
      <c r="J103" s="163"/>
      <c r="K103" s="163"/>
      <c r="L103" s="32"/>
    </row>
    <row r="104" spans="1:12" x14ac:dyDescent="0.2">
      <c r="A104" s="28"/>
      <c r="B104" s="31" t="s">
        <v>168</v>
      </c>
      <c r="C104" s="31" t="s">
        <v>196</v>
      </c>
      <c r="D104" s="31" t="s">
        <v>198</v>
      </c>
      <c r="E104" s="31" t="s">
        <v>199</v>
      </c>
      <c r="F104" s="31"/>
      <c r="G104" s="31"/>
      <c r="H104" s="31" t="s">
        <v>168</v>
      </c>
      <c r="I104" s="31" t="s">
        <v>196</v>
      </c>
      <c r="J104" s="31" t="s">
        <v>198</v>
      </c>
      <c r="K104" s="31" t="s">
        <v>199</v>
      </c>
      <c r="L104" s="32"/>
    </row>
    <row r="105" spans="1:12" ht="15.75" customHeight="1" x14ac:dyDescent="0.2">
      <c r="A105" s="135" t="s">
        <v>32</v>
      </c>
      <c r="B105" s="136">
        <f>'Template IF 2'!BR3</f>
        <v>837578</v>
      </c>
      <c r="C105" s="136">
        <f>'Template IF 2'!BS3</f>
        <v>835934</v>
      </c>
      <c r="D105" s="136">
        <f>'Template IF 2'!BT3</f>
        <v>836630</v>
      </c>
      <c r="E105" s="136">
        <f>'Template IF 2'!BU3</f>
        <v>837640</v>
      </c>
      <c r="F105" s="32"/>
      <c r="G105" s="32"/>
      <c r="H105" s="34">
        <f>'Template IF 2'!BV3</f>
        <v>31.628099114351144</v>
      </c>
      <c r="I105" s="34">
        <f>'Template IF 2'!BW3</f>
        <v>32.726626743259636</v>
      </c>
      <c r="J105" s="34">
        <f>'Template IF 2'!BX3</f>
        <v>35.487132902238741</v>
      </c>
      <c r="K105" s="34">
        <f>'Template IF 2'!BY3</f>
        <v>36.566305334033714</v>
      </c>
      <c r="L105" s="32"/>
    </row>
    <row r="106" spans="1:12" ht="15.75" customHeight="1" x14ac:dyDescent="0.2">
      <c r="A106" s="135" t="str">
        <f>A16</f>
        <v>Kittson County</v>
      </c>
      <c r="B106" s="41">
        <f>VLOOKUP($A16,'Template IF 2'!$B$3:$HH$112,69,FALSE)</f>
        <v>755</v>
      </c>
      <c r="C106" s="41">
        <f>VLOOKUP($A16,'Template IF 2'!$B$3:$HH$112,70,FALSE)</f>
        <v>738</v>
      </c>
      <c r="D106" s="41">
        <f>VLOOKUP($A16,'Template IF 2'!$B$3:$HH$112,71,FALSE)</f>
        <v>715</v>
      </c>
      <c r="E106" s="41">
        <f>VLOOKUP($A16,'Template IF 2'!$B$3:$HH$112,72,FALSE)</f>
        <v>719</v>
      </c>
      <c r="F106" s="32"/>
      <c r="G106" s="32"/>
      <c r="H106" s="45">
        <f>VLOOKUP($A16,'Template IF 2'!$B$3:$HH$112,73,FALSE)</f>
        <v>39.47019867549669</v>
      </c>
      <c r="I106" s="45">
        <f>VLOOKUP($A16,'Template IF 2'!$B$3:$HH$112,74,FALSE)</f>
        <v>38.482384823848236</v>
      </c>
      <c r="J106" s="45">
        <f>VLOOKUP($A16,'Template IF 2'!$B$3:$HH$112,75,FALSE)</f>
        <v>40.27972027972028</v>
      </c>
      <c r="K106" s="45">
        <f>VLOOKUP($A16,'Template IF 2'!$B$3:$HH$112,76,FALSE)</f>
        <v>39.916550764951324</v>
      </c>
      <c r="L106" s="32"/>
    </row>
    <row r="107" spans="1:12" ht="15.75" customHeight="1" x14ac:dyDescent="0.2">
      <c r="A107" s="135" t="str">
        <f>A18</f>
        <v>Marshall County</v>
      </c>
      <c r="B107" s="41">
        <f>VLOOKUP($A18,'Template IF 2'!$B$3:$HH$112,69,FALSE)</f>
        <v>1408</v>
      </c>
      <c r="C107" s="41">
        <f>VLOOKUP($A18,'Template IF 2'!$B$3:$HH$112,70,FALSE)</f>
        <v>1410</v>
      </c>
      <c r="D107" s="41">
        <f>VLOOKUP($A18,'Template IF 2'!$B$3:$HH$112,71,FALSE)</f>
        <v>1366</v>
      </c>
      <c r="E107" s="41">
        <f>VLOOKUP($A18,'Template IF 2'!$B$3:$HH$112,72,FALSE)</f>
        <v>1370</v>
      </c>
      <c r="F107" s="32"/>
      <c r="G107" s="32"/>
      <c r="H107" s="45">
        <f>VLOOKUP($A18,'Template IF 2'!$B$3:$HH$112,73,FALSE)</f>
        <v>43.252840909090914</v>
      </c>
      <c r="I107" s="45">
        <f>VLOOKUP($A18,'Template IF 2'!$B$3:$HH$112,74,FALSE)</f>
        <v>44.042553191489361</v>
      </c>
      <c r="J107" s="45">
        <f>VLOOKUP($A18,'Template IF 2'!$B$3:$HH$112,75,FALSE)</f>
        <v>43.411420204978043</v>
      </c>
      <c r="K107" s="45">
        <f>VLOOKUP($A18,'Template IF 2'!$B$3:$HH$112,76,FALSE)</f>
        <v>46.423357664233578</v>
      </c>
      <c r="L107" s="32"/>
    </row>
    <row r="108" spans="1:12" ht="15.75" customHeight="1" x14ac:dyDescent="0.2">
      <c r="A108" s="135" t="str">
        <f>A20</f>
        <v>Pennington County</v>
      </c>
      <c r="B108" s="41">
        <f>VLOOKUP($A20,'Template IF 2'!$B$3:$HH$112,69,FALSE)</f>
        <v>2174</v>
      </c>
      <c r="C108" s="41">
        <f>VLOOKUP($A20,'Template IF 2'!$B$3:$HH$112,70,FALSE)</f>
        <v>2195</v>
      </c>
      <c r="D108" s="41">
        <f>VLOOKUP($A20,'Template IF 2'!$B$3:$HH$112,71,FALSE)</f>
        <v>2213</v>
      </c>
      <c r="E108" s="41">
        <f>VLOOKUP($A20,'Template IF 2'!$B$3:$HH$112,72,FALSE)</f>
        <v>2209</v>
      </c>
      <c r="F108" s="32"/>
      <c r="G108" s="32"/>
      <c r="H108" s="45">
        <f>VLOOKUP($A20,'Template IF 2'!$B$3:$HH$112,73,FALSE)</f>
        <v>34.912603495860168</v>
      </c>
      <c r="I108" s="45">
        <f>VLOOKUP($A20,'Template IF 2'!$B$3:$HH$112,74,FALSE)</f>
        <v>34.760820045558091</v>
      </c>
      <c r="J108" s="45">
        <f>VLOOKUP($A20,'Template IF 2'!$B$3:$HH$112,75,FALSE)</f>
        <v>38.499774062358789</v>
      </c>
      <c r="K108" s="45">
        <f>VLOOKUP($A20,'Template IF 2'!$B$3:$HH$112,76,FALSE)</f>
        <v>39.112720688094157</v>
      </c>
      <c r="L108" s="32"/>
    </row>
    <row r="109" spans="1:12" ht="15.75" customHeight="1" x14ac:dyDescent="0.2">
      <c r="A109" s="135" t="str">
        <f>A22</f>
        <v>Red Lake County</v>
      </c>
      <c r="B109" s="41">
        <f>VLOOKUP($A22,'Template IF 2'!$B$3:$HH$112,69,FALSE)</f>
        <v>710</v>
      </c>
      <c r="C109" s="41">
        <f>VLOOKUP($A22,'Template IF 2'!$B$3:$HH$112,70,FALSE)</f>
        <v>739</v>
      </c>
      <c r="D109" s="41">
        <f>VLOOKUP($A22,'Template IF 2'!$B$3:$HH$112,71,FALSE)</f>
        <v>730</v>
      </c>
      <c r="E109" s="41">
        <f>VLOOKUP($A22,'Template IF 2'!$B$3:$HH$112,72,FALSE)</f>
        <v>767</v>
      </c>
      <c r="F109" s="32"/>
      <c r="G109" s="32"/>
      <c r="H109" s="45">
        <f>VLOOKUP($A22,'Template IF 2'!$B$3:$HH$112,73,FALSE)</f>
        <v>51.971830985915489</v>
      </c>
      <c r="I109" s="45">
        <f>VLOOKUP($A22,'Template IF 2'!$B$3:$HH$112,74,FALSE)</f>
        <v>50.744248985115028</v>
      </c>
      <c r="J109" s="45">
        <f>VLOOKUP($A22,'Template IF 2'!$B$3:$HH$112,75,FALSE)</f>
        <v>53.972602739726028</v>
      </c>
      <c r="K109" s="45">
        <f>VLOOKUP($A22,'Template IF 2'!$B$3:$HH$112,76,FALSE)</f>
        <v>50.195567144719689</v>
      </c>
      <c r="L109" s="32"/>
    </row>
    <row r="110" spans="1:12" ht="15.75" customHeight="1" x14ac:dyDescent="0.2">
      <c r="A110" s="135" t="str">
        <f>A24</f>
        <v>Roseau County</v>
      </c>
      <c r="B110" s="41">
        <f>VLOOKUP($A24,'Template IF 2'!$B$3:$HH$112,69,FALSE)</f>
        <v>3236</v>
      </c>
      <c r="C110" s="41">
        <f>VLOOKUP($A24,'Template IF 2'!$B$3:$HH$112,70,FALSE)</f>
        <v>3123</v>
      </c>
      <c r="D110" s="41">
        <f>VLOOKUP($A24,'Template IF 2'!$B$3:$HH$112,71,FALSE)</f>
        <v>3064</v>
      </c>
      <c r="E110" s="41">
        <f>VLOOKUP($A24,'Template IF 2'!$B$3:$HH$112,72,FALSE)</f>
        <v>3057</v>
      </c>
      <c r="F110" s="32"/>
      <c r="G110" s="32"/>
      <c r="H110" s="45">
        <f>VLOOKUP($A24,'Template IF 2'!$B$3:$HH$112,73,FALSE)</f>
        <v>32.941903584672431</v>
      </c>
      <c r="I110" s="45">
        <f>VLOOKUP($A24,'Template IF 2'!$B$3:$HH$112,74,FALSE)</f>
        <v>31.316042267050914</v>
      </c>
      <c r="J110" s="45">
        <f>VLOOKUP($A24,'Template IF 2'!$B$3:$HH$112,75,FALSE)</f>
        <v>37.206266318537864</v>
      </c>
      <c r="K110" s="45">
        <f>VLOOKUP($A24,'Template IF 2'!$B$3:$HH$112,76,FALSE)</f>
        <v>34.510958456002619</v>
      </c>
      <c r="L110" s="32"/>
    </row>
    <row r="111" spans="1:12" ht="15.75" customHeight="1" x14ac:dyDescent="0.2">
      <c r="A111" s="134" t="str">
        <f>A26</f>
        <v>CHB - Kitt, Marsh, Penn, Red Lake and Roseau</v>
      </c>
      <c r="B111" s="59">
        <f>VLOOKUP($A26,'Template IF 2'!$B$3:$HH$112,69,FALSE)</f>
        <v>8283</v>
      </c>
      <c r="C111" s="59">
        <f>VLOOKUP($A26,'Template IF 2'!$B$3:$HH$112,70,FALSE)</f>
        <v>8205</v>
      </c>
      <c r="D111" s="59">
        <f>VLOOKUP($A26,'Template IF 2'!$B$3:$HH$112,71,FALSE)</f>
        <v>8088</v>
      </c>
      <c r="E111" s="59">
        <f>VLOOKUP($A26,'Template IF 2'!$B$3:$HH$112,72,FALSE)</f>
        <v>8122</v>
      </c>
      <c r="F111" s="31"/>
      <c r="G111" s="31"/>
      <c r="H111" s="49">
        <f>VLOOKUP($A26,'Template IF 2'!$B$3:$HH$112,73,FALSE)</f>
        <v>37.438126282747795</v>
      </c>
      <c r="I111" s="49">
        <f>VLOOKUP($A26,'Template IF 2'!$B$3:$HH$112,74,FALSE)</f>
        <v>36.819012797074954</v>
      </c>
      <c r="J111" s="49">
        <f>VLOOKUP($A26,'Template IF 2'!$B$3:$HH$112,75,FALSE)</f>
        <v>40.393175074183979</v>
      </c>
      <c r="K111" s="49">
        <f>VLOOKUP($A26,'Template IF 2'!$B$3:$HH$112,76,FALSE)</f>
        <v>39.731593203644422</v>
      </c>
      <c r="L111" s="32"/>
    </row>
    <row r="112" spans="1:12" ht="7.5" customHeight="1" x14ac:dyDescent="0.2">
      <c r="A112" s="12"/>
      <c r="B112" s="37"/>
      <c r="C112" s="37"/>
      <c r="D112" s="37"/>
      <c r="E112" s="37"/>
      <c r="F112" s="32"/>
      <c r="G112" s="32"/>
      <c r="H112" s="32"/>
      <c r="I112" s="32"/>
      <c r="J112" s="32"/>
      <c r="K112" s="32"/>
      <c r="L112" s="32"/>
    </row>
    <row r="113" spans="1:24" ht="15.75" customHeight="1" x14ac:dyDescent="0.2">
      <c r="A113" s="12"/>
      <c r="B113" s="161" t="s">
        <v>230</v>
      </c>
      <c r="C113" s="162"/>
      <c r="D113" s="162"/>
      <c r="E113" s="162"/>
      <c r="F113" s="32"/>
      <c r="G113" s="32"/>
      <c r="H113" s="161" t="s">
        <v>231</v>
      </c>
      <c r="I113" s="162"/>
      <c r="J113" s="162"/>
      <c r="K113" s="162"/>
      <c r="L113" s="32"/>
    </row>
    <row r="114" spans="1:24" ht="15.75" customHeight="1" x14ac:dyDescent="0.2">
      <c r="A114" s="30"/>
      <c r="B114" s="163"/>
      <c r="C114" s="163"/>
      <c r="D114" s="163"/>
      <c r="E114" s="163"/>
      <c r="F114" s="32"/>
      <c r="G114" s="32"/>
      <c r="H114" s="163"/>
      <c r="I114" s="163"/>
      <c r="J114" s="163"/>
      <c r="K114" s="163"/>
      <c r="L114" s="32"/>
    </row>
    <row r="115" spans="1:24" ht="16.5" customHeight="1" x14ac:dyDescent="0.2">
      <c r="A115" s="28"/>
      <c r="B115" s="31" t="s">
        <v>168</v>
      </c>
      <c r="C115" s="31" t="s">
        <v>196</v>
      </c>
      <c r="D115" s="31" t="s">
        <v>198</v>
      </c>
      <c r="E115" s="31" t="s">
        <v>199</v>
      </c>
      <c r="F115" s="31"/>
      <c r="G115" s="31"/>
      <c r="H115" s="31" t="s">
        <v>168</v>
      </c>
      <c r="I115" s="31" t="s">
        <v>196</v>
      </c>
      <c r="J115" s="31" t="s">
        <v>198</v>
      </c>
      <c r="K115" s="31" t="s">
        <v>199</v>
      </c>
      <c r="L115" s="32"/>
    </row>
    <row r="116" spans="1:24" ht="15.75" customHeight="1" x14ac:dyDescent="0.2">
      <c r="A116" s="135" t="s">
        <v>32</v>
      </c>
      <c r="B116" s="34">
        <f>'Template IF 2'!BZ3</f>
        <v>7.4770349746531073</v>
      </c>
      <c r="C116" s="34">
        <f>'Template IF 2'!CA3</f>
        <v>7.6293104479540252</v>
      </c>
      <c r="D116" s="34">
        <f>'Template IF 2'!CB3</f>
        <v>7.3384889377622127</v>
      </c>
      <c r="E116" s="34">
        <f>'Template IF 2'!CC3</f>
        <v>7.6561530012893364</v>
      </c>
      <c r="F116" s="32"/>
      <c r="G116" s="32"/>
      <c r="H116" s="34">
        <f>'Template IF 2'!CD3</f>
        <v>14.259089899686956</v>
      </c>
      <c r="I116" s="34">
        <f>'Template IF 2'!CE3</f>
        <v>14.437503439266736</v>
      </c>
      <c r="J116" s="34">
        <f>'Template IF 2'!CF3</f>
        <v>14.608488818235061</v>
      </c>
      <c r="K116" s="34">
        <f>'Template IF 2'!CG3</f>
        <v>14.839071677570317</v>
      </c>
      <c r="L116" s="32"/>
    </row>
    <row r="117" spans="1:24" ht="15.75" customHeight="1" x14ac:dyDescent="0.2">
      <c r="A117" s="135" t="str">
        <f>A16</f>
        <v>Kittson County</v>
      </c>
      <c r="B117" s="45">
        <f>VLOOKUP($A16,'Template IF 2'!$B$3:$HH$112,77,FALSE)</f>
        <v>0</v>
      </c>
      <c r="C117" s="45">
        <f>VLOOKUP($A16,'Template IF 2'!$B$3:$HH$112,78,FALSE)</f>
        <v>0</v>
      </c>
      <c r="D117" s="45">
        <f>VLOOKUP($A16,'Template IF 2'!$B$3:$HH$112,79,FALSE)</f>
        <v>0</v>
      </c>
      <c r="E117" s="45">
        <f>VLOOKUP($A16,'Template IF 2'!$B$3:$HH$112,80,FALSE)</f>
        <v>0</v>
      </c>
      <c r="F117" s="32"/>
      <c r="G117" s="32"/>
      <c r="H117" s="45">
        <f>VLOOKUP($A16,'Template IF 2'!$B$3:$HH$112,81,FALSE)</f>
        <v>18.14569536423841</v>
      </c>
      <c r="I117" s="45">
        <f>VLOOKUP($A16,'Template IF 2'!$B$3:$HH$112,82,FALSE)</f>
        <v>18.56368563685637</v>
      </c>
      <c r="J117" s="45">
        <f>VLOOKUP($A16,'Template IF 2'!$B$3:$HH$112,83,FALSE)</f>
        <v>17.762237762237763</v>
      </c>
      <c r="K117" s="45">
        <f>VLOOKUP($A16,'Template IF 2'!$B$3:$HH$112,84,FALSE)</f>
        <v>16.82892906815021</v>
      </c>
      <c r="L117" s="32"/>
      <c r="M117" s="64"/>
      <c r="N117" s="64"/>
      <c r="O117" s="64"/>
      <c r="P117" s="64"/>
      <c r="Q117" s="64"/>
      <c r="S117" s="64"/>
      <c r="T117" s="64"/>
      <c r="U117" s="64"/>
      <c r="V117" s="64"/>
      <c r="W117" s="64"/>
    </row>
    <row r="118" spans="1:24" ht="15.75" customHeight="1" x14ac:dyDescent="0.2">
      <c r="A118" s="135" t="str">
        <f>A18</f>
        <v>Marshall County</v>
      </c>
      <c r="B118" s="45">
        <f>VLOOKUP($A18,'Template IF 2'!$B$3:$HH$112,77,FALSE)</f>
        <v>3.5511363636363638</v>
      </c>
      <c r="C118" s="45">
        <f>VLOOKUP($A18,'Template IF 2'!$B$3:$HH$112,78,FALSE)</f>
        <v>3.6170212765957444</v>
      </c>
      <c r="D118" s="45">
        <f>VLOOKUP($A18,'Template IF 2'!$B$3:$HH$112,79,FALSE)</f>
        <v>1.171303074670571</v>
      </c>
      <c r="E118" s="45">
        <f>VLOOKUP($A18,'Template IF 2'!$B$3:$HH$112,80,FALSE)</f>
        <v>2.7737226277372264</v>
      </c>
      <c r="F118" s="32"/>
      <c r="G118" s="32"/>
      <c r="H118" s="45">
        <f>VLOOKUP($A18,'Template IF 2'!$B$3:$HH$112,81,FALSE)</f>
        <v>15.269886363636365</v>
      </c>
      <c r="I118" s="45">
        <f>VLOOKUP($A18,'Template IF 2'!$B$3:$HH$112,82,FALSE)</f>
        <v>15.460992907801419</v>
      </c>
      <c r="J118" s="45">
        <f>VLOOKUP($A18,'Template IF 2'!$B$3:$HH$112,83,FALSE)</f>
        <v>14.86090775988287</v>
      </c>
      <c r="K118" s="45">
        <f>VLOOKUP($A18,'Template IF 2'!$B$3:$HH$112,84,FALSE)</f>
        <v>14.671532846715328</v>
      </c>
      <c r="L118" s="32"/>
      <c r="M118" s="64"/>
      <c r="N118" s="64"/>
      <c r="O118" s="64"/>
      <c r="P118" s="64"/>
      <c r="Q118" s="64"/>
      <c r="S118" s="64"/>
      <c r="T118" s="64"/>
      <c r="U118" s="64"/>
      <c r="V118" s="64"/>
      <c r="X118" s="64"/>
    </row>
    <row r="119" spans="1:24" ht="15.75" customHeight="1" x14ac:dyDescent="0.2">
      <c r="A119" s="135" t="str">
        <f>A20</f>
        <v>Pennington County</v>
      </c>
      <c r="B119" s="45">
        <f>VLOOKUP($A20,'Template IF 2'!$B$3:$HH$112,77,FALSE)</f>
        <v>1.1959521619135236</v>
      </c>
      <c r="C119" s="45">
        <f>VLOOKUP($A20,'Template IF 2'!$B$3:$HH$112,78,FALSE)</f>
        <v>1.2300683371298404</v>
      </c>
      <c r="D119" s="45">
        <f>VLOOKUP($A20,'Template IF 2'!$B$3:$HH$112,79,FALSE)</f>
        <v>0.99412562132851334</v>
      </c>
      <c r="E119" s="45">
        <f>VLOOKUP($A20,'Template IF 2'!$B$3:$HH$112,80,FALSE)</f>
        <v>1.2675418741511997</v>
      </c>
      <c r="F119" s="32"/>
      <c r="G119" s="32"/>
      <c r="H119" s="45">
        <f>VLOOKUP($A20,'Template IF 2'!$B$3:$HH$112,81,FALSE)</f>
        <v>16.237350505979762</v>
      </c>
      <c r="I119" s="45">
        <f>VLOOKUP($A20,'Template IF 2'!$B$3:$HH$112,82,FALSE)</f>
        <v>16.036446469248293</v>
      </c>
      <c r="J119" s="45">
        <f>VLOOKUP($A20,'Template IF 2'!$B$3:$HH$112,83,FALSE)</f>
        <v>16.041572525982829</v>
      </c>
      <c r="K119" s="45">
        <f>VLOOKUP($A20,'Template IF 2'!$B$3:$HH$112,84,FALSE)</f>
        <v>16.794929832503396</v>
      </c>
      <c r="L119" s="32"/>
    </row>
    <row r="120" spans="1:24" ht="15.75" customHeight="1" x14ac:dyDescent="0.2">
      <c r="A120" s="135" t="str">
        <f>A22</f>
        <v>Red Lake County</v>
      </c>
      <c r="B120" s="45">
        <f>VLOOKUP($A22,'Template IF 2'!$B$3:$HH$112,77,FALSE)</f>
        <v>0</v>
      </c>
      <c r="C120" s="45">
        <f>VLOOKUP($A22,'Template IF 2'!$B$3:$HH$112,78,FALSE)</f>
        <v>0.2706359945872801</v>
      </c>
      <c r="D120" s="45">
        <f>VLOOKUP($A22,'Template IF 2'!$B$3:$HH$112,79,FALSE)</f>
        <v>0</v>
      </c>
      <c r="E120" s="45">
        <f>VLOOKUP($A22,'Template IF 2'!$B$3:$HH$112,80,FALSE)</f>
        <v>0</v>
      </c>
      <c r="F120" s="32"/>
      <c r="G120" s="32"/>
      <c r="H120" s="45">
        <f>VLOOKUP($A22,'Template IF 2'!$B$3:$HH$112,81,FALSE)</f>
        <v>15.91549295774648</v>
      </c>
      <c r="I120" s="45">
        <f>VLOOKUP($A22,'Template IF 2'!$B$3:$HH$112,82,FALSE)</f>
        <v>14.343707713125845</v>
      </c>
      <c r="J120" s="45">
        <f>VLOOKUP($A22,'Template IF 2'!$B$3:$HH$112,83,FALSE)</f>
        <v>13.561643835616438</v>
      </c>
      <c r="K120" s="45">
        <f>VLOOKUP($A22,'Template IF 2'!$B$3:$HH$112,84,FALSE)</f>
        <v>13.689700130378096</v>
      </c>
      <c r="L120" s="32"/>
    </row>
    <row r="121" spans="1:24" ht="15.75" customHeight="1" x14ac:dyDescent="0.2">
      <c r="A121" s="135" t="str">
        <f>A24</f>
        <v>Roseau County</v>
      </c>
      <c r="B121" s="45">
        <f>VLOOKUP($A24,'Template IF 2'!$B$3:$HH$112,77,FALSE)</f>
        <v>0.77255871446229918</v>
      </c>
      <c r="C121" s="45">
        <f>VLOOKUP($A24,'Template IF 2'!$B$3:$HH$112,78,FALSE)</f>
        <v>0.51232788984950361</v>
      </c>
      <c r="D121" s="45">
        <f>VLOOKUP($A24,'Template IF 2'!$B$3:$HH$112,79,FALSE)</f>
        <v>0.6201044386422977</v>
      </c>
      <c r="E121" s="45">
        <f>VLOOKUP($A24,'Template IF 2'!$B$3:$HH$112,80,FALSE)</f>
        <v>0.49067713444553485</v>
      </c>
      <c r="F121" s="32"/>
      <c r="G121" s="32"/>
      <c r="H121" s="45">
        <f>VLOOKUP($A24,'Template IF 2'!$B$3:$HH$112,81,FALSE)</f>
        <v>14.771322620519159</v>
      </c>
      <c r="I121" s="45">
        <f>VLOOKUP($A24,'Template IF 2'!$B$3:$HH$112,82,FALSE)</f>
        <v>15.049631764329172</v>
      </c>
      <c r="J121" s="45">
        <f>VLOOKUP($A24,'Template IF 2'!$B$3:$HH$112,83,FALSE)</f>
        <v>15.796344647519582</v>
      </c>
      <c r="K121" s="45">
        <f>VLOOKUP($A24,'Template IF 2'!$B$3:$HH$112,84,FALSE)</f>
        <v>16.094210009813544</v>
      </c>
      <c r="L121" s="32"/>
    </row>
    <row r="122" spans="1:24" ht="15.75" customHeight="1" x14ac:dyDescent="0.2">
      <c r="A122" s="134" t="str">
        <f>A26</f>
        <v>CHB - Kitt, Marsh, Penn, Red Lake and Roseau</v>
      </c>
      <c r="B122" s="49">
        <f>VLOOKUP($A26,'Template IF 2'!$B$3:$HH$112,77,FALSE)</f>
        <v>1.2193649643848847</v>
      </c>
      <c r="C122" s="49">
        <f>VLOOKUP($A26,'Template IF 2'!$B$3:$HH$112,78,FALSE)</f>
        <v>1.170018281535649</v>
      </c>
      <c r="D122" s="49">
        <f>VLOOKUP($A26,'Template IF 2'!$B$3:$HH$112,79,FALSE)</f>
        <v>0.70474777448071213</v>
      </c>
      <c r="E122" s="49">
        <f>VLOOKUP($A26,'Template IF 2'!$B$3:$HH$112,80,FALSE)</f>
        <v>0.9972913075597144</v>
      </c>
      <c r="F122" s="31"/>
      <c r="G122" s="31"/>
      <c r="H122" s="49">
        <f>VLOOKUP($A26,'Template IF 2'!$B$3:$HH$112,81,FALSE)</f>
        <v>15.646504889532778</v>
      </c>
      <c r="I122" s="49">
        <f>VLOOKUP($A26,'Template IF 2'!$B$3:$HH$112,82,FALSE)</f>
        <v>15.636806825106643</v>
      </c>
      <c r="J122" s="49">
        <f>VLOOKUP($A26,'Template IF 2'!$B$3:$HH$112,83,FALSE)</f>
        <v>15.677546983184966</v>
      </c>
      <c r="K122" s="49">
        <f>VLOOKUP($A26,'Template IF 2'!$B$3:$HH$112,84,FALSE)</f>
        <v>15.882787490765821</v>
      </c>
      <c r="L122" s="32"/>
    </row>
    <row r="123" spans="1:24" ht="9" customHeight="1" x14ac:dyDescent="0.2">
      <c r="A123" s="145"/>
      <c r="B123" s="46"/>
      <c r="C123" s="46"/>
      <c r="D123" s="46"/>
      <c r="E123" s="46"/>
      <c r="F123" s="32"/>
      <c r="G123" s="32"/>
      <c r="H123" s="32"/>
      <c r="I123" s="32"/>
      <c r="J123" s="32"/>
      <c r="K123" s="32"/>
      <c r="L123" s="32"/>
    </row>
    <row r="124" spans="1:24" x14ac:dyDescent="0.2">
      <c r="A124" s="145"/>
      <c r="B124" s="161" t="s">
        <v>283</v>
      </c>
      <c r="C124" s="162"/>
      <c r="D124" s="162"/>
      <c r="E124" s="162"/>
      <c r="F124" s="32"/>
      <c r="G124" s="32"/>
      <c r="H124" s="161" t="s">
        <v>282</v>
      </c>
      <c r="I124" s="162"/>
      <c r="J124" s="162"/>
      <c r="K124" s="162"/>
      <c r="L124" s="32"/>
    </row>
    <row r="125" spans="1:24" x14ac:dyDescent="0.2">
      <c r="A125" s="135"/>
      <c r="B125" s="163"/>
      <c r="C125" s="163"/>
      <c r="D125" s="163"/>
      <c r="E125" s="163"/>
      <c r="F125" s="32"/>
      <c r="G125" s="32"/>
      <c r="H125" s="163"/>
      <c r="I125" s="163"/>
      <c r="J125" s="163"/>
      <c r="K125" s="163"/>
      <c r="L125" s="32"/>
    </row>
    <row r="126" spans="1:24" x14ac:dyDescent="0.2">
      <c r="A126" s="134"/>
      <c r="B126" s="31" t="s">
        <v>168</v>
      </c>
      <c r="C126" s="31" t="s">
        <v>196</v>
      </c>
      <c r="D126" s="31" t="s">
        <v>198</v>
      </c>
      <c r="E126" s="31" t="s">
        <v>199</v>
      </c>
      <c r="F126" s="32"/>
      <c r="G126" s="32"/>
      <c r="H126" s="63" t="s">
        <v>168</v>
      </c>
      <c r="I126" s="63" t="s">
        <v>196</v>
      </c>
      <c r="J126" s="63" t="s">
        <v>198</v>
      </c>
      <c r="K126" s="63" t="s">
        <v>199</v>
      </c>
      <c r="L126" s="32"/>
    </row>
    <row r="127" spans="1:24" ht="15.75" customHeight="1" x14ac:dyDescent="0.2">
      <c r="A127" s="135" t="s">
        <v>32</v>
      </c>
      <c r="B127" s="39">
        <f>'Template IF 2'!CH3</f>
        <v>74.8</v>
      </c>
      <c r="C127" s="39">
        <f>'Template IF 2'!CI3</f>
        <v>74.900000000000006</v>
      </c>
      <c r="D127" s="39">
        <f>'Template IF 2'!CJ3</f>
        <v>75.900000000000006</v>
      </c>
      <c r="E127" s="39">
        <f>'Template IF 2'!CK3</f>
        <v>76.821750059683467</v>
      </c>
      <c r="F127" s="32"/>
      <c r="G127" s="32"/>
      <c r="H127" s="46">
        <f>'Template IF 2'!DZ3</f>
        <v>5.792446123668725</v>
      </c>
      <c r="I127" s="46">
        <f>'Template IF 2'!EA3</f>
        <v>5.5389140759930919</v>
      </c>
      <c r="J127" s="46">
        <f>'Template IF 2'!EB3</f>
        <v>4.8605960719681365</v>
      </c>
      <c r="K127" s="46">
        <f>'Template IF 2'!EC3</f>
        <v>4.7760816750691628</v>
      </c>
      <c r="L127" s="32"/>
    </row>
    <row r="128" spans="1:24" ht="15.75" customHeight="1" x14ac:dyDescent="0.2">
      <c r="A128" s="135" t="str">
        <f>A16</f>
        <v>Kittson County</v>
      </c>
      <c r="B128" s="39">
        <f>VLOOKUP($A16,'Template IF 2'!$B$3:$HH$112,85,FALSE)</f>
        <v>91.025641025641022</v>
      </c>
      <c r="C128" s="39">
        <f>VLOOKUP($A16,'Template IF 2'!$B$3:$HH$112,86,FALSE)</f>
        <v>95.77</v>
      </c>
      <c r="D128" s="39">
        <f>VLOOKUP($A16,'Template IF 2'!$B$3:$HH$112,87,FALSE)</f>
        <v>96.3</v>
      </c>
      <c r="E128" s="39">
        <f>VLOOKUP($A16,'Template IF 2'!$B$3:$HH$112,88,FALSE)</f>
        <v>91.666666666666671</v>
      </c>
      <c r="F128" s="39"/>
      <c r="G128" s="39"/>
      <c r="H128" s="39">
        <f>VLOOKUP($A16,'Template IF 2'!$B$3:$HH$112,129,FALSE)</f>
        <v>2.56</v>
      </c>
      <c r="I128" s="39">
        <f>VLOOKUP($A16,'Template IF 2'!$B$3:$HH$112,130,FALSE)</f>
        <v>0</v>
      </c>
      <c r="J128" s="39">
        <f>VLOOKUP($A16,'Template IF 2'!$B$3:$HH$112,131,FALSE)</f>
        <v>3.7</v>
      </c>
      <c r="K128" s="39">
        <f>VLOOKUP($A16,'Template IF 2'!$B$3:$HH$112,132,FALSE)</f>
        <v>2.0833333333333335</v>
      </c>
      <c r="L128" s="32"/>
    </row>
    <row r="129" spans="1:15" ht="15.75" customHeight="1" x14ac:dyDescent="0.2">
      <c r="A129" s="135" t="str">
        <f>A18</f>
        <v>Marshall County</v>
      </c>
      <c r="B129" s="39">
        <f>VLOOKUP($A18,'Template IF 2'!$B$3:$HH$112,85,FALSE)</f>
        <v>86.861313868613138</v>
      </c>
      <c r="C129" s="39">
        <f>VLOOKUP($A18,'Template IF 2'!$B$3:$HH$112,86,FALSE)</f>
        <v>86.82</v>
      </c>
      <c r="D129" s="39">
        <f>VLOOKUP($A18,'Template IF 2'!$B$3:$HH$112,87,FALSE)</f>
        <v>86.54</v>
      </c>
      <c r="E129" s="39">
        <f>VLOOKUP($A18,'Template IF 2'!$B$3:$HH$112,88,FALSE)</f>
        <v>87.179487179487182</v>
      </c>
      <c r="F129" s="32"/>
      <c r="G129" s="32"/>
      <c r="H129" s="39">
        <f>VLOOKUP($A18,'Template IF 2'!$B$3:$HH$112,129,FALSE)</f>
        <v>4.38</v>
      </c>
      <c r="I129" s="39">
        <f>VLOOKUP($A18,'Template IF 2'!$B$3:$HH$112,130,FALSE)</f>
        <v>7.7519379844961236</v>
      </c>
      <c r="J129" s="39">
        <f>VLOOKUP($A18,'Template IF 2'!$B$3:$HH$112,131,FALSE)</f>
        <v>3.85</v>
      </c>
      <c r="K129" s="39">
        <f>VLOOKUP($A18,'Template IF 2'!$B$3:$HH$112,132,FALSE)</f>
        <v>6.8376068376068373</v>
      </c>
      <c r="L129" s="32"/>
    </row>
    <row r="130" spans="1:15" ht="15.75" customHeight="1" x14ac:dyDescent="0.2">
      <c r="A130" s="135" t="str">
        <f>A20</f>
        <v>Pennington County</v>
      </c>
      <c r="B130" s="39">
        <f>VLOOKUP($A20,'Template IF 2'!$B$3:$HH$112,85,FALSE)</f>
        <v>85.641025641025635</v>
      </c>
      <c r="C130" s="39">
        <f>VLOOKUP($A20,'Template IF 2'!$B$3:$HH$112,86,FALSE)</f>
        <v>85.31</v>
      </c>
      <c r="D130" s="39">
        <f>VLOOKUP($A20,'Template IF 2'!$B$3:$HH$112,87,FALSE)</f>
        <v>85.95</v>
      </c>
      <c r="E130" s="39">
        <f>VLOOKUP($A20,'Template IF 2'!$B$3:$HH$112,88,FALSE)</f>
        <v>81.25</v>
      </c>
      <c r="F130" s="32"/>
      <c r="G130" s="32"/>
      <c r="H130" s="39">
        <f>VLOOKUP($A20,'Template IF 2'!$B$3:$HH$112,129,FALSE)</f>
        <v>3.08</v>
      </c>
      <c r="I130" s="39">
        <f>VLOOKUP($A20,'Template IF 2'!$B$3:$HH$112,130,FALSE)</f>
        <v>7.3446327683615822</v>
      </c>
      <c r="J130" s="39">
        <f>VLOOKUP($A20,'Template IF 2'!$B$3:$HH$112,131,FALSE)</f>
        <v>7.03</v>
      </c>
      <c r="K130" s="39">
        <f>VLOOKUP($A20,'Template IF 2'!$B$3:$HH$112,132,FALSE)</f>
        <v>5.729166666666667</v>
      </c>
      <c r="L130" s="32"/>
    </row>
    <row r="131" spans="1:15" ht="15.75" customHeight="1" x14ac:dyDescent="0.2">
      <c r="A131" s="135" t="str">
        <f>A22</f>
        <v>Red Lake County</v>
      </c>
      <c r="B131" s="39">
        <f>VLOOKUP($A22,'Template IF 2'!$B$3:$HH$112,85,FALSE)</f>
        <v>96.428571428571431</v>
      </c>
      <c r="C131" s="39">
        <f>VLOOKUP($A22,'Template IF 2'!$B$3:$HH$112,86,FALSE)</f>
        <v>90.32</v>
      </c>
      <c r="D131" s="39">
        <f>VLOOKUP($A22,'Template IF 2'!$B$3:$HH$112,87,FALSE)</f>
        <v>82.54</v>
      </c>
      <c r="E131" s="39">
        <f>VLOOKUP($A22,'Template IF 2'!$B$3:$HH$112,88,FALSE)</f>
        <v>92.982456140350877</v>
      </c>
      <c r="F131" s="32"/>
      <c r="G131" s="32"/>
      <c r="H131" s="39">
        <f>VLOOKUP($A22,'Template IF 2'!$B$3:$HH$112,129,FALSE)</f>
        <v>0</v>
      </c>
      <c r="I131" s="39">
        <f>VLOOKUP($A22,'Template IF 2'!$B$3:$HH$112,130,FALSE)</f>
        <v>4.838709677419355</v>
      </c>
      <c r="J131" s="39">
        <f>VLOOKUP($A22,'Template IF 2'!$B$3:$HH$112,131,FALSE)</f>
        <v>1.59</v>
      </c>
      <c r="K131" s="39">
        <f>VLOOKUP($A22,'Template IF 2'!$B$3:$HH$112,132,FALSE)</f>
        <v>5.2631578947368425</v>
      </c>
      <c r="L131" s="32"/>
    </row>
    <row r="132" spans="1:15" ht="15.75" customHeight="1" x14ac:dyDescent="0.2">
      <c r="A132" s="135" t="str">
        <f>A24</f>
        <v>Roseau County</v>
      </c>
      <c r="B132" s="39">
        <f>VLOOKUP($A24,'Template IF 2'!$B$3:$HH$112,85,FALSE)</f>
        <v>91.186440677966104</v>
      </c>
      <c r="C132" s="39">
        <f>VLOOKUP($A24,'Template IF 2'!$B$3:$HH$112,86,FALSE)</f>
        <v>92.31</v>
      </c>
      <c r="D132" s="39">
        <f>VLOOKUP($A24,'Template IF 2'!$B$3:$HH$112,87,FALSE)</f>
        <v>94.68</v>
      </c>
      <c r="E132" s="39">
        <f>VLOOKUP($A24,'Template IF 2'!$B$3:$HH$112,88,FALSE)</f>
        <v>91.699604743083</v>
      </c>
      <c r="F132" s="32"/>
      <c r="G132" s="32"/>
      <c r="H132" s="39">
        <f>VLOOKUP($A24,'Template IF 2'!$B$3:$HH$112,129,FALSE)</f>
        <v>4.41</v>
      </c>
      <c r="I132" s="39">
        <f>VLOOKUP($A24,'Template IF 2'!$B$3:$HH$112,130,FALSE)</f>
        <v>3.4615384615384617</v>
      </c>
      <c r="J132" s="39">
        <f>VLOOKUP($A24,'Template IF 2'!$B$3:$HH$112,131,FALSE)</f>
        <v>1.52</v>
      </c>
      <c r="K132" s="39">
        <f>VLOOKUP($A24,'Template IF 2'!$B$3:$HH$112,132,FALSE)</f>
        <v>3.9525691699604741</v>
      </c>
      <c r="L132" s="32"/>
    </row>
    <row r="133" spans="1:15" ht="15.75" customHeight="1" x14ac:dyDescent="0.2">
      <c r="A133" s="134" t="str">
        <f>A26</f>
        <v>CHB - Kitt, Marsh, Penn, Red Lake and Roseau</v>
      </c>
      <c r="B133" s="49">
        <f>VLOOKUP($A26,'Template IF 2'!$B$3:$HH$112,85,FALSE)</f>
        <v>89.356110381077528</v>
      </c>
      <c r="C133" s="49">
        <f>VLOOKUP($A26,'Template IF 2'!$B$3:$HH$112,86,FALSE)</f>
        <v>89.699570815450642</v>
      </c>
      <c r="D133" s="49">
        <f>VLOOKUP($A26,'Template IF 2'!$B$3:$HH$112,87,FALSE)</f>
        <v>89.985052316890886</v>
      </c>
      <c r="E133" s="49">
        <f>VLOOKUP($A26,'Template IF 2'!$B$3:$HH$112,88,FALSE)</f>
        <v>88.005997001499253</v>
      </c>
      <c r="F133" s="63"/>
      <c r="G133" s="63"/>
      <c r="H133" s="49">
        <f>VLOOKUP($A26,'Template IF 2'!$B$3:$HH$112,129,FALSE)</f>
        <v>3.54796320630749</v>
      </c>
      <c r="I133" s="49">
        <f>VLOOKUP($A26,'Template IF 2'!$B$3:$HH$112,130,FALSE)</f>
        <v>5.0071530758226039</v>
      </c>
      <c r="J133" s="49">
        <f>VLOOKUP($A26,'Template IF 2'!$B$3:$HH$112,131,FALSE)</f>
        <v>3.5874439461883409</v>
      </c>
      <c r="K133" s="49">
        <f>VLOOKUP($A26,'Template IF 2'!$B$3:$HH$112,132,FALSE)</f>
        <v>4.9475262368815596</v>
      </c>
      <c r="L133" s="32"/>
    </row>
    <row r="134" spans="1:15" x14ac:dyDescent="0.2">
      <c r="A134" s="145" t="s">
        <v>253</v>
      </c>
      <c r="B134" s="32"/>
      <c r="C134" s="32"/>
      <c r="D134" s="32"/>
      <c r="E134" s="32"/>
      <c r="F134" s="32"/>
      <c r="G134" s="32"/>
      <c r="H134" s="32"/>
      <c r="I134" s="32"/>
      <c r="J134" s="32"/>
      <c r="K134" s="32"/>
      <c r="L134" s="32"/>
    </row>
    <row r="135" spans="1:15" ht="18.75" x14ac:dyDescent="0.25">
      <c r="A135" s="165" t="s">
        <v>232</v>
      </c>
      <c r="B135" s="165"/>
      <c r="C135" s="165"/>
      <c r="D135" s="165"/>
      <c r="E135" s="165"/>
      <c r="F135" s="165"/>
      <c r="G135" s="165"/>
      <c r="H135" s="165"/>
      <c r="I135" s="165"/>
      <c r="J135" s="165"/>
      <c r="K135" s="165"/>
      <c r="L135" s="165"/>
    </row>
    <row r="136" spans="1:15" x14ac:dyDescent="0.2">
      <c r="A136" s="12"/>
      <c r="B136" s="32"/>
      <c r="C136" s="32"/>
      <c r="D136" s="32"/>
      <c r="E136" s="32"/>
      <c r="F136" s="32"/>
      <c r="G136" s="32"/>
      <c r="H136" s="32"/>
      <c r="I136" s="32"/>
      <c r="J136" s="32"/>
      <c r="K136" s="32"/>
      <c r="L136" s="32"/>
    </row>
    <row r="137" spans="1:15" x14ac:dyDescent="0.2">
      <c r="A137" s="12"/>
      <c r="B137" s="32"/>
      <c r="C137" s="32"/>
      <c r="D137" s="32"/>
      <c r="E137" s="32"/>
      <c r="F137" s="32"/>
      <c r="G137" s="32"/>
      <c r="H137" s="32"/>
      <c r="I137" s="32"/>
      <c r="J137" s="32"/>
      <c r="K137" s="32"/>
      <c r="L137" s="32"/>
    </row>
    <row r="138" spans="1:15" x14ac:dyDescent="0.2">
      <c r="A138" s="12"/>
      <c r="B138" s="32"/>
      <c r="C138" s="32"/>
      <c r="D138" s="32"/>
      <c r="E138" s="32"/>
      <c r="F138" s="32"/>
      <c r="G138" s="32"/>
      <c r="H138" s="32"/>
      <c r="I138" s="32"/>
      <c r="J138" s="32"/>
      <c r="K138" s="32"/>
      <c r="L138" s="32"/>
    </row>
    <row r="139" spans="1:15" x14ac:dyDescent="0.2">
      <c r="A139" s="30"/>
      <c r="B139" s="163" t="s">
        <v>52</v>
      </c>
      <c r="C139" s="163"/>
      <c r="D139" s="163"/>
      <c r="E139" s="163"/>
      <c r="F139" s="75"/>
      <c r="G139" s="32"/>
      <c r="H139" s="163" t="s">
        <v>53</v>
      </c>
      <c r="I139" s="163"/>
      <c r="J139" s="163"/>
      <c r="K139" s="163"/>
      <c r="L139" s="75"/>
    </row>
    <row r="140" spans="1:15" x14ac:dyDescent="0.2">
      <c r="A140" s="28"/>
      <c r="B140" s="31" t="s">
        <v>271</v>
      </c>
      <c r="C140" s="31" t="s">
        <v>272</v>
      </c>
      <c r="D140" s="31" t="s">
        <v>273</v>
      </c>
      <c r="E140" s="31" t="s">
        <v>274</v>
      </c>
      <c r="F140" s="63"/>
      <c r="G140" s="63"/>
      <c r="H140" s="63" t="s">
        <v>271</v>
      </c>
      <c r="I140" s="63" t="s">
        <v>272</v>
      </c>
      <c r="J140" s="63" t="s">
        <v>273</v>
      </c>
      <c r="K140" s="63" t="s">
        <v>274</v>
      </c>
      <c r="L140" s="50"/>
      <c r="N140"/>
      <c r="O140"/>
    </row>
    <row r="141" spans="1:15" ht="14.1" customHeight="1" x14ac:dyDescent="0.2">
      <c r="A141" s="135" t="s">
        <v>32</v>
      </c>
      <c r="B141" s="136">
        <f>'Template IF 2'!CL3</f>
        <v>324810</v>
      </c>
      <c r="C141" s="136">
        <f>'Template IF 2'!CM3</f>
        <v>326784</v>
      </c>
      <c r="D141" s="136">
        <f>'Template IF 2'!CN3</f>
        <v>346241</v>
      </c>
      <c r="E141" s="136">
        <f>'Template IF 2'!CO3</f>
        <v>358596</v>
      </c>
      <c r="G141" s="32"/>
      <c r="H141" s="34">
        <f>'Template IF 2'!CQ3</f>
        <v>14.361834846548652</v>
      </c>
      <c r="I141" s="34">
        <f>'Template IF 2'!CR3</f>
        <v>13.751386410027759</v>
      </c>
      <c r="J141" s="34">
        <f>'Template IF 2'!CS3</f>
        <v>13.686828604076776</v>
      </c>
      <c r="K141" s="34">
        <f>'Template IF 2'!CT3</f>
        <v>13.710285512807484</v>
      </c>
      <c r="N141"/>
      <c r="O141"/>
    </row>
    <row r="142" spans="1:15" ht="14.1" customHeight="1" x14ac:dyDescent="0.2">
      <c r="A142" s="135" t="str">
        <f>A16</f>
        <v>Kittson County</v>
      </c>
      <c r="B142" s="41">
        <f>VLOOKUP($A16,'Template IF 2'!$B$3:$HH$112,89,FALSE)</f>
        <v>285</v>
      </c>
      <c r="C142" s="41">
        <f>VLOOKUP($A16,'Template IF 2'!$B$3:$HH$112,90,FALSE)</f>
        <v>285</v>
      </c>
      <c r="D142" s="41">
        <f>VLOOKUP($A16,'Template IF 2'!$B$3:$HH$112,91,FALSE)</f>
        <v>211</v>
      </c>
      <c r="E142" s="41">
        <f>VLOOKUP($A16,'Template IF 2'!$B$3:$HH$112,92,FALSE)</f>
        <v>213</v>
      </c>
      <c r="G142" s="32"/>
      <c r="H142" s="45">
        <f>VLOOKUP($A16,'Template IF 2'!$B$3:$HH$112,94,FALSE)</f>
        <v>10.243692042268709</v>
      </c>
      <c r="I142" s="45">
        <f>VLOOKUP($A16,'Template IF 2'!$B$3:$HH$112,95,FALSE)</f>
        <v>10.730825708799276</v>
      </c>
      <c r="J142" s="45">
        <f>VLOOKUP($A16,'Template IF 2'!$B$3:$HH$112,96,FALSE)</f>
        <v>8.5063495263051809</v>
      </c>
      <c r="K142" s="45">
        <f>VLOOKUP($A16,'Template IF 2'!$B$3:$HH$112,97,FALSE)</f>
        <v>9.4314558979808716</v>
      </c>
      <c r="N142"/>
      <c r="O142"/>
    </row>
    <row r="143" spans="1:15" ht="14.1" customHeight="1" x14ac:dyDescent="0.2">
      <c r="A143" s="135" t="str">
        <f>A18</f>
        <v>Marshall County</v>
      </c>
      <c r="B143" s="41">
        <f>VLOOKUP($A18,'Template IF 2'!$B$3:$HH$112,89,FALSE)</f>
        <v>600</v>
      </c>
      <c r="C143" s="41">
        <f>VLOOKUP($A18,'Template IF 2'!$B$3:$HH$112,90,FALSE)</f>
        <v>552</v>
      </c>
      <c r="D143" s="41">
        <f>VLOOKUP($A18,'Template IF 2'!$B$3:$HH$112,91,FALSE)</f>
        <v>532</v>
      </c>
      <c r="E143" s="41">
        <f>VLOOKUP($A18,'Template IF 2'!$B$3:$HH$112,92,FALSE)</f>
        <v>533</v>
      </c>
      <c r="G143" s="32"/>
      <c r="H143" s="45">
        <f>VLOOKUP($A18,'Template IF 2'!$B$3:$HH$112,94,FALSE)</f>
        <v>11.227334817836493</v>
      </c>
      <c r="I143" s="45">
        <f>VLOOKUP($A18,'Template IF 2'!$B$3:$HH$112,95,FALSE)</f>
        <v>10.68731848983543</v>
      </c>
      <c r="J143" s="45">
        <f>VLOOKUP($A18,'Template IF 2'!$B$3:$HH$112,96,FALSE)</f>
        <v>10.671801969870213</v>
      </c>
      <c r="K143" s="45">
        <f>VLOOKUP($A18,'Template IF 2'!$B$3:$HH$112,97,FALSE)</f>
        <v>11.175409904809829</v>
      </c>
      <c r="N143"/>
      <c r="O143"/>
    </row>
    <row r="144" spans="1:15" ht="14.1" customHeight="1" x14ac:dyDescent="0.2">
      <c r="A144" s="135" t="str">
        <f>A20</f>
        <v>Pennington County</v>
      </c>
      <c r="B144" s="41">
        <f>VLOOKUP($A20,'Template IF 2'!$B$3:$HH$112,89,FALSE)</f>
        <v>822</v>
      </c>
      <c r="C144" s="41">
        <f>VLOOKUP($A20,'Template IF 2'!$B$3:$HH$112,90,FALSE)</f>
        <v>864</v>
      </c>
      <c r="D144" s="41">
        <f>VLOOKUP($A20,'Template IF 2'!$B$3:$HH$112,91,FALSE)</f>
        <v>881</v>
      </c>
      <c r="E144" s="41">
        <f>VLOOKUP($A20,'Template IF 2'!$B$3:$HH$112,92,FALSE)</f>
        <v>942</v>
      </c>
      <c r="G144" s="32"/>
      <c r="H144" s="45">
        <f>VLOOKUP($A20,'Template IF 2'!$B$3:$HH$112,94,FALSE)</f>
        <v>12.265727587441805</v>
      </c>
      <c r="I144" s="45">
        <f>VLOOKUP($A20,'Template IF 2'!$B$3:$HH$112,95,FALSE)</f>
        <v>12.740732002241424</v>
      </c>
      <c r="J144" s="45">
        <f>VLOOKUP($A20,'Template IF 2'!$B$3:$HH$112,96,FALSE)</f>
        <v>13.022527050198072</v>
      </c>
      <c r="K144" s="45">
        <f>VLOOKUP($A20,'Template IF 2'!$B$3:$HH$112,97,FALSE)</f>
        <v>13.655340368781166</v>
      </c>
      <c r="N144"/>
      <c r="O144"/>
    </row>
    <row r="145" spans="1:24" ht="14.1" customHeight="1" x14ac:dyDescent="0.2">
      <c r="A145" s="135" t="str">
        <f>A22</f>
        <v>Red Lake County</v>
      </c>
      <c r="B145" s="41">
        <f>VLOOKUP($A22,'Template IF 2'!$B$3:$HH$112,89,FALSE)</f>
        <v>251</v>
      </c>
      <c r="C145" s="41">
        <f>VLOOKUP($A22,'Template IF 2'!$B$3:$HH$112,90,FALSE)</f>
        <v>239</v>
      </c>
      <c r="D145" s="41">
        <f>VLOOKUP($A22,'Template IF 2'!$B$3:$HH$112,91,FALSE)</f>
        <v>237</v>
      </c>
      <c r="E145" s="41">
        <f>VLOOKUP($A22,'Template IF 2'!$B$3:$HH$112,92,FALSE)</f>
        <v>265</v>
      </c>
      <c r="G145" s="32"/>
      <c r="H145" s="45">
        <f>VLOOKUP($A22,'Template IF 2'!$B$3:$HH$112,94,FALSE)</f>
        <v>11.3205845210175</v>
      </c>
      <c r="I145" s="45">
        <f>VLOOKUP($A22,'Template IF 2'!$B$3:$HH$112,95,FALSE)</f>
        <v>11.138556182131705</v>
      </c>
      <c r="J145" s="45">
        <f>VLOOKUP($A22,'Template IF 2'!$B$3:$HH$112,96,FALSE)</f>
        <v>10.995128740431454</v>
      </c>
      <c r="K145" s="45">
        <f>VLOOKUP($A22,'Template IF 2'!$B$3:$HH$112,97,FALSE)</f>
        <v>12.844125630089183</v>
      </c>
      <c r="N145"/>
      <c r="O145"/>
    </row>
    <row r="146" spans="1:24" ht="14.1" customHeight="1" x14ac:dyDescent="0.2">
      <c r="A146" s="135" t="str">
        <f>A24</f>
        <v>Roseau County</v>
      </c>
      <c r="B146" s="41">
        <f>VLOOKUP($A24,'Template IF 2'!$B$3:$HH$112,89,FALSE)</f>
        <v>1242</v>
      </c>
      <c r="C146" s="41">
        <f>VLOOKUP($A24,'Template IF 2'!$B$3:$HH$112,90,FALSE)</f>
        <v>1171</v>
      </c>
      <c r="D146" s="41">
        <f>VLOOKUP($A24,'Template IF 2'!$B$3:$HH$112,91,FALSE)</f>
        <v>1076</v>
      </c>
      <c r="E146" s="41">
        <f>VLOOKUP($A24,'Template IF 2'!$B$3:$HH$112,92,FALSE)</f>
        <v>994</v>
      </c>
      <c r="G146" s="32"/>
      <c r="H146" s="45">
        <f>VLOOKUP($A24,'Template IF 2'!$B$3:$HH$112,94,FALSE)</f>
        <v>15.899838697288578</v>
      </c>
      <c r="I146" s="45">
        <f>VLOOKUP($A24,'Template IF 2'!$B$3:$HH$112,95,FALSE)</f>
        <v>14.446089316555637</v>
      </c>
      <c r="J146" s="45">
        <f>VLOOKUP($A24,'Template IF 2'!$B$3:$HH$112,96,FALSE)</f>
        <v>13.188052310973292</v>
      </c>
      <c r="K146" s="45">
        <f>VLOOKUP($A24,'Template IF 2'!$B$3:$HH$112,97,FALSE)</f>
        <v>12.494971842316975</v>
      </c>
      <c r="N146"/>
      <c r="O146"/>
    </row>
    <row r="147" spans="1:24" ht="14.1" customHeight="1" x14ac:dyDescent="0.2">
      <c r="A147" s="134" t="str">
        <f>A26</f>
        <v>CHB - Kitt, Marsh, Penn, Red Lake and Roseau</v>
      </c>
      <c r="B147" s="59">
        <f>VLOOKUP($A26,'Template IF 2'!$B$3:$HH$112,89,FALSE)</f>
        <v>3200</v>
      </c>
      <c r="C147" s="59">
        <f>VLOOKUP($A26,'Template IF 2'!$B$3:$HH$112,90,FALSE)</f>
        <v>3111</v>
      </c>
      <c r="D147" s="59">
        <f>VLOOKUP($A26,'Template IF 2'!$B$3:$HH$112,91,FALSE)</f>
        <v>2937</v>
      </c>
      <c r="E147" s="59">
        <f>VLOOKUP($A26,'Template IF 2'!$B$3:$HH$112,92,FALSE)</f>
        <v>2947</v>
      </c>
      <c r="F147" s="61"/>
      <c r="G147" s="31"/>
      <c r="H147" s="49">
        <f>VLOOKUP($A26,'Template IF 2'!$B$3:$HH$112,94,FALSE)</f>
        <v>12.873896163981252</v>
      </c>
      <c r="I147" s="49">
        <f>VLOOKUP($A26,'Template IF 2'!$B$3:$HH$112,95,FALSE)</f>
        <v>12.517099863201095</v>
      </c>
      <c r="J147" s="49">
        <f>VLOOKUP($A26,'Template IF 2'!$B$3:$HH$112,96,FALSE)</f>
        <v>11.965679644085197</v>
      </c>
      <c r="K147" s="49">
        <f>VLOOKUP($A26,'Template IF 2'!$B$3:$HH$112,97,FALSE)</f>
        <v>12.307576656114531</v>
      </c>
      <c r="N147"/>
      <c r="O147"/>
    </row>
    <row r="148" spans="1:24" x14ac:dyDescent="0.2">
      <c r="A148" s="145"/>
      <c r="B148" s="37"/>
      <c r="C148" s="37"/>
      <c r="D148" s="37"/>
      <c r="E148" s="37"/>
      <c r="F148" s="37"/>
      <c r="G148" s="32"/>
      <c r="H148" s="32"/>
      <c r="I148" s="32"/>
      <c r="J148" s="32"/>
      <c r="K148" s="32"/>
      <c r="L148" s="32"/>
      <c r="N148"/>
      <c r="O148"/>
    </row>
    <row r="149" spans="1:24" ht="12.75" customHeight="1" x14ac:dyDescent="0.2">
      <c r="A149" s="135"/>
      <c r="B149" s="161" t="s">
        <v>233</v>
      </c>
      <c r="C149" s="161"/>
      <c r="D149" s="161"/>
      <c r="E149" s="161"/>
      <c r="F149" s="76"/>
      <c r="G149" s="32"/>
      <c r="H149" s="161" t="s">
        <v>257</v>
      </c>
      <c r="I149" s="161"/>
      <c r="J149" s="161"/>
      <c r="K149" s="161"/>
      <c r="L149" s="76"/>
      <c r="N149"/>
      <c r="O149"/>
    </row>
    <row r="150" spans="1:24" x14ac:dyDescent="0.2">
      <c r="A150" s="134"/>
      <c r="B150" s="164"/>
      <c r="C150" s="164"/>
      <c r="D150" s="164"/>
      <c r="E150" s="164"/>
      <c r="F150" s="76"/>
      <c r="G150" s="32"/>
      <c r="H150" s="164"/>
      <c r="I150" s="164"/>
      <c r="J150" s="164"/>
      <c r="K150" s="164"/>
      <c r="L150" s="76"/>
      <c r="N150"/>
      <c r="O150"/>
    </row>
    <row r="151" spans="1:24" x14ac:dyDescent="0.2">
      <c r="A151" s="145"/>
      <c r="B151" s="63" t="s">
        <v>271</v>
      </c>
      <c r="C151" s="63" t="s">
        <v>272</v>
      </c>
      <c r="D151" s="63" t="s">
        <v>273</v>
      </c>
      <c r="E151" s="63" t="s">
        <v>274</v>
      </c>
      <c r="F151" s="61"/>
      <c r="G151" s="31"/>
      <c r="H151" s="63" t="s">
        <v>271</v>
      </c>
      <c r="I151" s="63" t="s">
        <v>272</v>
      </c>
      <c r="J151" s="63" t="s">
        <v>273</v>
      </c>
      <c r="K151" s="63" t="s">
        <v>274</v>
      </c>
      <c r="L151" s="52"/>
      <c r="N151"/>
      <c r="O151"/>
    </row>
    <row r="152" spans="1:24" ht="14.1" customHeight="1" x14ac:dyDescent="0.2">
      <c r="A152" s="135" t="s">
        <v>32</v>
      </c>
      <c r="B152" s="51">
        <f>'Template IF 2'!HL3</f>
        <v>13637</v>
      </c>
      <c r="C152" s="51">
        <f>'Template IF 2'!HM3</f>
        <v>14078</v>
      </c>
      <c r="D152" s="51">
        <f>'Template IF 2'!HN3</f>
        <v>15811</v>
      </c>
      <c r="E152" s="51">
        <f>'Template IF 2'!HO3</f>
        <v>16745</v>
      </c>
      <c r="G152" s="51"/>
      <c r="H152" s="34">
        <f>'Template IF 2'!CV3</f>
        <v>4.3125994187462249</v>
      </c>
      <c r="I152" s="34">
        <f>'Template IF 2'!CW3</f>
        <v>4.4539779863767377</v>
      </c>
      <c r="J152" s="34">
        <f>'Template IF 2'!CX3</f>
        <v>4.7336906080656265</v>
      </c>
      <c r="K152" s="34">
        <f>'Template IF 2'!CY3</f>
        <v>4.8418063740089403</v>
      </c>
      <c r="N152"/>
      <c r="O152"/>
    </row>
    <row r="153" spans="1:24" ht="14.1" customHeight="1" x14ac:dyDescent="0.2">
      <c r="A153" s="135" t="str">
        <f>A16</f>
        <v>Kittson County</v>
      </c>
      <c r="B153" s="51">
        <f>VLOOKUP($A16,'Template IF 2'!$B$3:$HU$112,219,FALSE)</f>
        <v>10</v>
      </c>
      <c r="C153" s="51">
        <f>VLOOKUP($A16,'Template IF 2'!$B$3:$HU$112,220,FALSE)</f>
        <v>12</v>
      </c>
      <c r="D153" s="51">
        <f>VLOOKUP($A16,'Template IF 2'!$B$3:$HU$112,221,FALSE)</f>
        <v>13</v>
      </c>
      <c r="E153" s="51">
        <f>VLOOKUP($A16,'Template IF 2'!$B$3:$HU$112,222,FALSE)</f>
        <v>7</v>
      </c>
      <c r="G153" s="32"/>
      <c r="H153" s="45">
        <f>VLOOKUP($A16,'Template IF 2'!$B$3:$HH$112,99,FALSE)</f>
        <v>3.6630036630036629</v>
      </c>
      <c r="I153" s="45">
        <f>VLOOKUP($A16,'Template IF 2'!$B$3:$HH$112,100,FALSE)</f>
        <v>4.395604395604396</v>
      </c>
      <c r="J153" s="45">
        <f>VLOOKUP($A16,'Template IF 2'!$B$3:$HH$112,101,FALSE)</f>
        <v>6.435643564356436</v>
      </c>
      <c r="K153" s="45">
        <f>VLOOKUP($A16,'Template IF 2'!$B$3:$HH$112,102,FALSE)</f>
        <v>3.3816425120772946</v>
      </c>
      <c r="M153" s="64"/>
      <c r="N153"/>
      <c r="O153"/>
      <c r="P153" s="64"/>
      <c r="Q153" s="64"/>
      <c r="S153" s="64"/>
      <c r="T153" s="64"/>
      <c r="U153" s="64"/>
      <c r="V153" s="64"/>
      <c r="X153" s="64"/>
    </row>
    <row r="154" spans="1:24" ht="14.1" customHeight="1" x14ac:dyDescent="0.2">
      <c r="A154" s="135" t="str">
        <f>A18</f>
        <v>Marshall County</v>
      </c>
      <c r="B154" s="51">
        <f>VLOOKUP($A18,'Template IF 2'!$B$3:$HU$112,219,FALSE)</f>
        <v>18</v>
      </c>
      <c r="C154" s="51">
        <f>VLOOKUP($A18,'Template IF 2'!$B$3:$HU$112,220,FALSE)</f>
        <v>25</v>
      </c>
      <c r="D154" s="51">
        <f>VLOOKUP($A18,'Template IF 2'!$B$3:$HU$112,221,FALSE)</f>
        <v>17</v>
      </c>
      <c r="E154" s="51">
        <f>VLOOKUP($A18,'Template IF 2'!$B$3:$HU$112,222,FALSE)</f>
        <v>22</v>
      </c>
      <c r="G154" s="32"/>
      <c r="H154" s="45">
        <f>VLOOKUP($A18,'Template IF 2'!$B$3:$HH$112,99,FALSE)</f>
        <v>3.0821917808219177</v>
      </c>
      <c r="I154" s="45">
        <f>VLOOKUP($A18,'Template IF 2'!$B$3:$HH$112,100,FALSE)</f>
        <v>4.6382189239332092</v>
      </c>
      <c r="J154" s="45">
        <f>VLOOKUP($A18,'Template IF 2'!$B$3:$HH$112,101,FALSE)</f>
        <v>3.2755298651252409</v>
      </c>
      <c r="K154" s="45">
        <f>VLOOKUP($A18,'Template IF 2'!$B$3:$HH$112,102,FALSE)</f>
        <v>4.3564356435643568</v>
      </c>
      <c r="M154" s="64"/>
      <c r="N154"/>
      <c r="O154"/>
      <c r="P154" s="64"/>
      <c r="Q154" s="64"/>
      <c r="S154" s="64"/>
      <c r="T154" s="64"/>
      <c r="U154" s="64"/>
      <c r="V154" s="64"/>
      <c r="X154" s="64"/>
    </row>
    <row r="155" spans="1:24" ht="14.1" customHeight="1" x14ac:dyDescent="0.2">
      <c r="A155" s="135" t="str">
        <f>A20</f>
        <v>Pennington County</v>
      </c>
      <c r="B155" s="51">
        <f>VLOOKUP($A20,'Template IF 2'!$B$3:$HU$112,219,FALSE)</f>
        <v>28</v>
      </c>
      <c r="C155" s="51">
        <f>VLOOKUP($A20,'Template IF 2'!$B$3:$HU$112,220,FALSE)</f>
        <v>39</v>
      </c>
      <c r="D155" s="51">
        <f>VLOOKUP($A20,'Template IF 2'!$B$3:$HU$112,221,FALSE)</f>
        <v>40</v>
      </c>
      <c r="E155" s="51">
        <f>VLOOKUP($A20,'Template IF 2'!$B$3:$HU$112,222,FALSE)</f>
        <v>50</v>
      </c>
      <c r="G155" s="32"/>
      <c r="H155" s="45">
        <f>VLOOKUP($A20,'Template IF 2'!$B$3:$HH$112,99,FALSE)</f>
        <v>3.4696406443618342</v>
      </c>
      <c r="I155" s="45">
        <f>VLOOKUP($A20,'Template IF 2'!$B$3:$HH$112,100,FALSE)</f>
        <v>4.5990566037735849</v>
      </c>
      <c r="J155" s="45">
        <f>VLOOKUP($A20,'Template IF 2'!$B$3:$HH$112,101,FALSE)</f>
        <v>4.6349942062572422</v>
      </c>
      <c r="K155" s="45">
        <f>VLOOKUP($A20,'Template IF 2'!$B$3:$HH$112,102,FALSE)</f>
        <v>5.4644808743169397</v>
      </c>
      <c r="N155"/>
      <c r="O155"/>
    </row>
    <row r="156" spans="1:24" ht="14.1" customHeight="1" x14ac:dyDescent="0.2">
      <c r="A156" s="135" t="str">
        <f>A22</f>
        <v>Red Lake County</v>
      </c>
      <c r="B156" s="51">
        <f>VLOOKUP($A22,'Template IF 2'!$B$3:$HU$112,219,FALSE)</f>
        <v>11</v>
      </c>
      <c r="C156" s="51">
        <f>VLOOKUP($A22,'Template IF 2'!$B$3:$HU$112,220,FALSE)</f>
        <v>12</v>
      </c>
      <c r="D156" s="51">
        <f>VLOOKUP($A22,'Template IF 2'!$B$3:$HU$112,221,FALSE)</f>
        <v>11</v>
      </c>
      <c r="E156" s="51">
        <f>VLOOKUP($A22,'Template IF 2'!$B$3:$HU$112,222,FALSE)</f>
        <v>16</v>
      </c>
      <c r="G156" s="32"/>
      <c r="H156" s="45">
        <f>VLOOKUP($A22,'Template IF 2'!$B$3:$HH$112,99,FALSE)</f>
        <v>4.4534412955465585</v>
      </c>
      <c r="I156" s="45">
        <f>VLOOKUP($A22,'Template IF 2'!$B$3:$HH$112,100,FALSE)</f>
        <v>5.1948051948051948</v>
      </c>
      <c r="J156" s="45">
        <f>VLOOKUP($A22,'Template IF 2'!$B$3:$HH$112,101,FALSE)</f>
        <v>4.7210300429184553</v>
      </c>
      <c r="K156" s="45">
        <f>VLOOKUP($A22,'Template IF 2'!$B$3:$HH$112,102,FALSE)</f>
        <v>6.1776061776061777</v>
      </c>
      <c r="N156"/>
      <c r="O156"/>
    </row>
    <row r="157" spans="1:24" ht="14.1" customHeight="1" x14ac:dyDescent="0.2">
      <c r="A157" s="135" t="str">
        <f>A24</f>
        <v>Roseau County</v>
      </c>
      <c r="B157" s="51">
        <f>VLOOKUP($A24,'Template IF 2'!$B$3:$HU$112,219,FALSE)</f>
        <v>45</v>
      </c>
      <c r="C157" s="51">
        <f>VLOOKUP($A24,'Template IF 2'!$B$3:$HU$112,220,FALSE)</f>
        <v>51</v>
      </c>
      <c r="D157" s="51">
        <f>VLOOKUP($A24,'Template IF 2'!$B$3:$HU$112,221,FALSE)</f>
        <v>51</v>
      </c>
      <c r="E157" s="51">
        <f>VLOOKUP($A24,'Template IF 2'!$B$3:$HU$112,222,FALSE)</f>
        <v>42</v>
      </c>
      <c r="G157" s="32"/>
      <c r="H157" s="45">
        <f>VLOOKUP($A24,'Template IF 2'!$B$3:$HH$112,99,FALSE)</f>
        <v>3.700657894736842</v>
      </c>
      <c r="I157" s="45">
        <f>VLOOKUP($A24,'Template IF 2'!$B$3:$HH$112,100,FALSE)</f>
        <v>4.4155844155844157</v>
      </c>
      <c r="J157" s="45">
        <f>VLOOKUP($A24,'Template IF 2'!$B$3:$HH$112,101,FALSE)</f>
        <v>4.8710601719197708</v>
      </c>
      <c r="K157" s="45">
        <f>VLOOKUP($A24,'Template IF 2'!$B$3:$HH$112,102,FALSE)</f>
        <v>4.3659043659043659</v>
      </c>
      <c r="N157"/>
      <c r="O157"/>
    </row>
    <row r="158" spans="1:24" ht="14.1" customHeight="1" x14ac:dyDescent="0.2">
      <c r="A158" s="134" t="str">
        <f>A26</f>
        <v>CHB - Kitt, Marsh, Penn, Red Lake and Roseau</v>
      </c>
      <c r="B158" s="47">
        <f>VLOOKUP($A26,'Template IF 2'!$B$3:$HU$112,219,FALSE)</f>
        <v>112</v>
      </c>
      <c r="C158" s="47">
        <f>VLOOKUP($A26,'Template IF 2'!$B$3:$HU$112,220,FALSE)</f>
        <v>139</v>
      </c>
      <c r="D158" s="47">
        <f>VLOOKUP($A26,'Template IF 2'!$B$3:$HU$112,221,FALSE)</f>
        <v>132</v>
      </c>
      <c r="E158" s="47">
        <f>VLOOKUP($A26,'Template IF 2'!$B$3:$HU$112,222,FALSE)</f>
        <v>137</v>
      </c>
      <c r="F158" s="61"/>
      <c r="G158" s="31"/>
      <c r="H158" s="49">
        <f>VLOOKUP($A26,'Template IF 2'!$B$3:$HH$112,99,FALSE)</f>
        <v>3.5817077070674768</v>
      </c>
      <c r="I158" s="49">
        <f>VLOOKUP($A26,'Template IF 2'!$B$3:$HH$112,100,FALSE)</f>
        <v>4.5633617859487856</v>
      </c>
      <c r="J158" s="49">
        <f>VLOOKUP($A26,'Template IF 2'!$B$3:$HH$112,101,FALSE)</f>
        <v>4.6089385474860336</v>
      </c>
      <c r="K158" s="49">
        <f>VLOOKUP($A26,'Template IF 2'!$B$3:$HH$112,102,FALSE)</f>
        <v>4.8103932584269664</v>
      </c>
      <c r="N158"/>
      <c r="O158"/>
    </row>
    <row r="159" spans="1:24" x14ac:dyDescent="0.2">
      <c r="A159" s="145" t="s">
        <v>255</v>
      </c>
      <c r="B159" s="46"/>
      <c r="C159" s="46"/>
      <c r="D159" s="46"/>
      <c r="E159" s="46"/>
      <c r="F159" s="46"/>
      <c r="G159" s="32"/>
      <c r="H159" s="32"/>
      <c r="I159" s="32"/>
      <c r="J159" s="32"/>
      <c r="K159" s="32"/>
      <c r="L159" s="32"/>
      <c r="N159"/>
      <c r="O159"/>
    </row>
    <row r="160" spans="1:24" ht="15" customHeight="1" x14ac:dyDescent="0.2">
      <c r="A160" s="12"/>
      <c r="B160" s="161" t="s">
        <v>234</v>
      </c>
      <c r="C160" s="161"/>
      <c r="D160" s="161"/>
      <c r="E160" s="161"/>
      <c r="F160" s="76"/>
      <c r="G160" s="32"/>
      <c r="H160" s="161" t="s">
        <v>256</v>
      </c>
      <c r="I160" s="161"/>
      <c r="J160" s="161"/>
      <c r="K160" s="161"/>
      <c r="L160" s="76"/>
      <c r="N160"/>
      <c r="O160"/>
    </row>
    <row r="161" spans="1:24" x14ac:dyDescent="0.2">
      <c r="A161" s="30"/>
      <c r="B161" s="164"/>
      <c r="C161" s="164"/>
      <c r="D161" s="164"/>
      <c r="E161" s="164"/>
      <c r="F161" s="76"/>
      <c r="G161" s="32"/>
      <c r="H161" s="164"/>
      <c r="I161" s="164"/>
      <c r="J161" s="164"/>
      <c r="K161" s="164"/>
      <c r="L161" s="76"/>
      <c r="N161"/>
      <c r="O161"/>
    </row>
    <row r="162" spans="1:24" x14ac:dyDescent="0.2">
      <c r="A162" s="28"/>
      <c r="B162" s="63" t="s">
        <v>271</v>
      </c>
      <c r="C162" s="63" t="s">
        <v>272</v>
      </c>
      <c r="D162" s="63" t="s">
        <v>273</v>
      </c>
      <c r="E162" s="63" t="s">
        <v>274</v>
      </c>
      <c r="F162" s="63"/>
      <c r="G162" s="63"/>
      <c r="H162" s="63" t="s">
        <v>271</v>
      </c>
      <c r="I162" s="63" t="s">
        <v>272</v>
      </c>
      <c r="J162" s="63" t="s">
        <v>273</v>
      </c>
      <c r="K162" s="63" t="s">
        <v>274</v>
      </c>
      <c r="L162" s="50"/>
      <c r="N162"/>
      <c r="O162"/>
    </row>
    <row r="163" spans="1:24" ht="14.1" customHeight="1" x14ac:dyDescent="0.2">
      <c r="A163" s="135" t="s">
        <v>32</v>
      </c>
      <c r="B163" s="136">
        <f>'Template IF 2'!HQ3</f>
        <v>20977</v>
      </c>
      <c r="C163" s="136">
        <f>'Template IF 2'!HR3</f>
        <v>20954</v>
      </c>
      <c r="D163" s="136">
        <f>'Template IF 2'!HS3</f>
        <v>24373</v>
      </c>
      <c r="E163" s="136">
        <f>'Template IF 2'!HT3</f>
        <v>24942</v>
      </c>
      <c r="F163" s="137"/>
      <c r="G163" s="137"/>
      <c r="H163" s="138">
        <f>'Template IF 2'!DA3</f>
        <v>7.2349451610678068</v>
      </c>
      <c r="I163" s="138">
        <f>'Template IF 2'!DB3</f>
        <v>7.4177389949908843</v>
      </c>
      <c r="J163" s="138">
        <f>'Template IF 2'!DC3</f>
        <v>8.1499240949916079</v>
      </c>
      <c r="K163" s="138">
        <f>'Template IF 2'!DD3</f>
        <v>8.1416680267667694</v>
      </c>
      <c r="N163"/>
      <c r="O163"/>
    </row>
    <row r="164" spans="1:24" ht="14.1" customHeight="1" x14ac:dyDescent="0.2">
      <c r="A164" s="135" t="str">
        <f>A16</f>
        <v>Kittson County</v>
      </c>
      <c r="B164" s="51">
        <f>VLOOKUP($A16,'Template IF 2'!$B$3:$HU$112,224,FALSE)</f>
        <v>14</v>
      </c>
      <c r="C164" s="51">
        <f>VLOOKUP($A16,'Template IF 2'!$B$3:$HU$112,225,FALSE)</f>
        <v>12</v>
      </c>
      <c r="D164" s="51">
        <f>VLOOKUP($A16,'Template IF 2'!$B$3:$HU$112,226,FALSE)</f>
        <v>13</v>
      </c>
      <c r="E164" s="51">
        <f>VLOOKUP($A16,'Template IF 2'!$B$3:$HU$112,227,FALSE)</f>
        <v>15</v>
      </c>
      <c r="G164" s="32"/>
      <c r="H164" s="45">
        <f>VLOOKUP($A16,'Template IF 2'!$B$3:$HH$112,104,FALSE)</f>
        <v>5.7377049180327866</v>
      </c>
      <c r="I164" s="45">
        <f>VLOOKUP($A16,'Template IF 2'!$B$3:$HH$112,105,FALSE)</f>
        <v>4.9382716049382713</v>
      </c>
      <c r="J164" s="45">
        <f>VLOOKUP($A16,'Template IF 2'!$B$3:$HH$112,106,FALSE)</f>
        <v>6.666666666666667</v>
      </c>
      <c r="K164" s="45">
        <f>VLOOKUP($A16,'Template IF 2'!$B$3:$HH$112,107,FALSE)</f>
        <v>7.9787234042553195</v>
      </c>
      <c r="N164"/>
      <c r="O164"/>
    </row>
    <row r="165" spans="1:24" ht="14.1" customHeight="1" x14ac:dyDescent="0.2">
      <c r="A165" s="135" t="str">
        <f>A18</f>
        <v>Marshall County</v>
      </c>
      <c r="B165" s="51">
        <f>VLOOKUP($A18,'Template IF 2'!$B$3:$HU$112,224,FALSE)</f>
        <v>34</v>
      </c>
      <c r="C165" s="51">
        <f>VLOOKUP($A18,'Template IF 2'!$B$3:$HU$112,225,FALSE)</f>
        <v>47</v>
      </c>
      <c r="D165" s="51">
        <f>VLOOKUP($A18,'Template IF 2'!$B$3:$HU$112,226,FALSE)</f>
        <v>47</v>
      </c>
      <c r="E165" s="51">
        <f>VLOOKUP($A18,'Template IF 2'!$B$3:$HU$112,227,FALSE)</f>
        <v>40</v>
      </c>
      <c r="G165" s="32"/>
      <c r="H165" s="45">
        <f>VLOOKUP($A18,'Template IF 2'!$B$3:$HH$112,104,FALSE)</f>
        <v>6.0283687943262407</v>
      </c>
      <c r="I165" s="45">
        <f>VLOOKUP($A18,'Template IF 2'!$B$3:$HH$112,105,FALSE)</f>
        <v>9.0558766859344892</v>
      </c>
      <c r="J165" s="45">
        <f>VLOOKUP($A18,'Template IF 2'!$B$3:$HH$112,106,FALSE)</f>
        <v>9.4567404426559349</v>
      </c>
      <c r="K165" s="45">
        <f>VLOOKUP($A18,'Template IF 2'!$B$3:$HH$112,107,FALSE)</f>
        <v>8.5287846481876333</v>
      </c>
      <c r="N165"/>
      <c r="O165"/>
    </row>
    <row r="166" spans="1:24" ht="14.1" customHeight="1" x14ac:dyDescent="0.2">
      <c r="A166" s="135" t="str">
        <f>A20</f>
        <v>Pennington County</v>
      </c>
      <c r="B166" s="51">
        <f>VLOOKUP($A20,'Template IF 2'!$B$3:$HU$112,224,FALSE)</f>
        <v>51</v>
      </c>
      <c r="C166" s="51">
        <f>VLOOKUP($A20,'Template IF 2'!$B$3:$HU$112,225,FALSE)</f>
        <v>67</v>
      </c>
      <c r="D166" s="51">
        <f>VLOOKUP($A20,'Template IF 2'!$B$3:$HU$112,226,FALSE)</f>
        <v>65</v>
      </c>
      <c r="E166" s="51">
        <f>VLOOKUP($A20,'Template IF 2'!$B$3:$HU$112,227,FALSE)</f>
        <v>79</v>
      </c>
      <c r="G166" s="32"/>
      <c r="H166" s="45">
        <f>VLOOKUP($A20,'Template IF 2'!$B$3:$HH$112,104,FALSE)</f>
        <v>6.657963446475196</v>
      </c>
      <c r="I166" s="45">
        <f>VLOOKUP($A20,'Template IF 2'!$B$3:$HH$112,105,FALSE)</f>
        <v>8.0820265379975869</v>
      </c>
      <c r="J166" s="45">
        <f>VLOOKUP($A20,'Template IF 2'!$B$3:$HH$112,106,FALSE)</f>
        <v>7.8692493946731235</v>
      </c>
      <c r="K166" s="45">
        <f>VLOOKUP($A20,'Template IF 2'!$B$3:$HH$112,107,FALSE)</f>
        <v>9.4159713945172818</v>
      </c>
      <c r="N166"/>
      <c r="O166"/>
    </row>
    <row r="167" spans="1:24" ht="14.1" customHeight="1" x14ac:dyDescent="0.2">
      <c r="A167" s="135" t="str">
        <f>A22</f>
        <v>Red Lake County</v>
      </c>
      <c r="B167" s="51">
        <f>VLOOKUP($A22,'Template IF 2'!$B$3:$HU$112,224,FALSE)</f>
        <v>17</v>
      </c>
      <c r="C167" s="51">
        <f>VLOOKUP($A22,'Template IF 2'!$B$3:$HU$112,225,FALSE)</f>
        <v>13</v>
      </c>
      <c r="D167" s="51">
        <f>VLOOKUP($A22,'Template IF 2'!$B$3:$HU$112,226,FALSE)</f>
        <v>13</v>
      </c>
      <c r="E167" s="51">
        <f>VLOOKUP($A22,'Template IF 2'!$B$3:$HU$112,227,FALSE)</f>
        <v>22</v>
      </c>
      <c r="G167" s="32"/>
      <c r="H167" s="45">
        <f>VLOOKUP($A22,'Template IF 2'!$B$3:$HH$112,104,FALSE)</f>
        <v>7.2033898305084749</v>
      </c>
      <c r="I167" s="45">
        <f>VLOOKUP($A22,'Template IF 2'!$B$3:$HH$112,105,FALSE)</f>
        <v>5.7522123893805306</v>
      </c>
      <c r="J167" s="45">
        <f>VLOOKUP($A22,'Template IF 2'!$B$3:$HH$112,106,FALSE)</f>
        <v>5.7268722466960353</v>
      </c>
      <c r="K167" s="45">
        <f>VLOOKUP($A22,'Template IF 2'!$B$3:$HH$112,107,FALSE)</f>
        <v>9.0909090909090917</v>
      </c>
      <c r="N167"/>
      <c r="O167"/>
    </row>
    <row r="168" spans="1:24" ht="14.1" customHeight="1" x14ac:dyDescent="0.2">
      <c r="A168" s="135" t="str">
        <f>A24</f>
        <v>Roseau County</v>
      </c>
      <c r="B168" s="51">
        <f>VLOOKUP($A24,'Template IF 2'!$B$3:$HU$112,224,FALSE)</f>
        <v>86</v>
      </c>
      <c r="C168" s="51">
        <f>VLOOKUP($A24,'Template IF 2'!$B$3:$HU$112,225,FALSE)</f>
        <v>74</v>
      </c>
      <c r="D168" s="51">
        <f>VLOOKUP($A24,'Template IF 2'!$B$3:$HU$112,226,FALSE)</f>
        <v>78</v>
      </c>
      <c r="E168" s="51">
        <f>VLOOKUP($A24,'Template IF 2'!$B$3:$HU$112,227,FALSE)</f>
        <v>71</v>
      </c>
      <c r="G168" s="32"/>
      <c r="H168" s="45">
        <f>VLOOKUP($A24,'Template IF 2'!$B$3:$HH$112,104,FALSE)</f>
        <v>7.2208228379513013</v>
      </c>
      <c r="I168" s="45">
        <f>VLOOKUP($A24,'Template IF 2'!$B$3:$HH$112,105,FALSE)</f>
        <v>6.4912280701754383</v>
      </c>
      <c r="J168" s="45">
        <f>VLOOKUP($A24,'Template IF 2'!$B$3:$HH$112,106,FALSE)</f>
        <v>8.0412371134020617</v>
      </c>
      <c r="K168" s="45">
        <f>VLOOKUP($A24,'Template IF 2'!$B$3:$HH$112,107,FALSE)</f>
        <v>7.9596412556053808</v>
      </c>
      <c r="N168"/>
      <c r="O168"/>
    </row>
    <row r="169" spans="1:24" ht="14.1" customHeight="1" x14ac:dyDescent="0.2">
      <c r="A169" s="134" t="str">
        <f>A26</f>
        <v>CHB - Kitt, Marsh, Penn, Red Lake and Roseau</v>
      </c>
      <c r="B169" s="47">
        <f>VLOOKUP($A26,'Template IF 2'!$B$3:$HU$112,224,FALSE)</f>
        <v>202</v>
      </c>
      <c r="C169" s="47">
        <f>VLOOKUP($A26,'Template IF 2'!$B$3:$HU$112,225,FALSE)</f>
        <v>213</v>
      </c>
      <c r="D169" s="47">
        <f>VLOOKUP($A26,'Template IF 2'!$B$3:$HU$112,226,FALSE)</f>
        <v>216</v>
      </c>
      <c r="E169" s="47">
        <f>VLOOKUP($A26,'Template IF 2'!$B$3:$HU$112,227,FALSE)</f>
        <v>227</v>
      </c>
      <c r="F169" s="61"/>
      <c r="G169" s="31"/>
      <c r="H169" s="49">
        <f>VLOOKUP($A26,'Template IF 2'!$B$3:$HH$112,104,FALSE)</f>
        <v>6.7310896367877371</v>
      </c>
      <c r="I169" s="49">
        <f>VLOOKUP($A26,'Template IF 2'!$B$3:$HH$112,105,FALSE)</f>
        <v>7.2032465336489686</v>
      </c>
      <c r="J169" s="49">
        <f>VLOOKUP($A26,'Template IF 2'!$B$3:$HH$112,106,FALSE)</f>
        <v>7.9558011049723758</v>
      </c>
      <c r="K169" s="49">
        <f>VLOOKUP($A26,'Template IF 2'!$B$3:$HH$112,107,FALSE)</f>
        <v>8.6311787072243344</v>
      </c>
      <c r="N169"/>
      <c r="O169"/>
    </row>
    <row r="170" spans="1:24" x14ac:dyDescent="0.2">
      <c r="A170" s="145" t="s">
        <v>255</v>
      </c>
      <c r="B170" s="32"/>
      <c r="C170" s="32"/>
      <c r="D170" s="32"/>
      <c r="E170" s="32"/>
      <c r="F170" s="32"/>
      <c r="G170" s="32"/>
      <c r="H170" s="32"/>
      <c r="I170" s="32"/>
      <c r="J170" s="32"/>
      <c r="K170" s="32"/>
      <c r="L170" s="32"/>
      <c r="N170"/>
      <c r="O170"/>
    </row>
    <row r="171" spans="1:24" ht="18.75" x14ac:dyDescent="0.25">
      <c r="A171" s="165" t="s">
        <v>232</v>
      </c>
      <c r="B171" s="165"/>
      <c r="C171" s="165"/>
      <c r="D171" s="165"/>
      <c r="E171" s="165"/>
      <c r="F171" s="165"/>
      <c r="G171" s="165"/>
      <c r="H171" s="165"/>
      <c r="I171" s="165"/>
      <c r="J171" s="165"/>
      <c r="K171" s="165"/>
      <c r="L171" s="165"/>
      <c r="N171"/>
      <c r="O171"/>
    </row>
    <row r="172" spans="1:24" ht="12.75" customHeight="1" x14ac:dyDescent="0.2">
      <c r="A172" s="12"/>
      <c r="B172" s="161" t="s">
        <v>235</v>
      </c>
      <c r="C172" s="161"/>
      <c r="D172" s="161"/>
      <c r="E172" s="161"/>
      <c r="F172" s="76"/>
      <c r="G172" s="32"/>
      <c r="H172" s="162" t="s">
        <v>270</v>
      </c>
      <c r="I172" s="162"/>
      <c r="J172" s="162"/>
      <c r="K172" s="162"/>
      <c r="L172" s="32"/>
      <c r="N172"/>
      <c r="O172"/>
    </row>
    <row r="173" spans="1:24" x14ac:dyDescent="0.2">
      <c r="A173" s="30"/>
      <c r="B173" s="164"/>
      <c r="C173" s="164"/>
      <c r="D173" s="164"/>
      <c r="E173" s="164"/>
      <c r="F173" s="76"/>
      <c r="G173" s="32"/>
      <c r="H173" s="163"/>
      <c r="I173" s="163"/>
      <c r="J173" s="163"/>
      <c r="K173" s="163"/>
      <c r="L173" s="75"/>
      <c r="N173"/>
      <c r="O173"/>
    </row>
    <row r="174" spans="1:24" x14ac:dyDescent="0.2">
      <c r="A174" s="28"/>
      <c r="B174" s="63" t="s">
        <v>271</v>
      </c>
      <c r="C174" s="63" t="s">
        <v>272</v>
      </c>
      <c r="D174" s="63" t="s">
        <v>273</v>
      </c>
      <c r="E174" s="63" t="s">
        <v>274</v>
      </c>
      <c r="F174" s="63"/>
      <c r="G174" s="63"/>
      <c r="H174" s="63" t="s">
        <v>271</v>
      </c>
      <c r="I174" s="63" t="s">
        <v>272</v>
      </c>
      <c r="J174" s="63" t="s">
        <v>273</v>
      </c>
      <c r="K174" s="63" t="s">
        <v>274</v>
      </c>
      <c r="L174" s="50"/>
      <c r="N174"/>
      <c r="O174"/>
    </row>
    <row r="175" spans="1:24" ht="14.1" customHeight="1" x14ac:dyDescent="0.2">
      <c r="A175" s="135" t="s">
        <v>32</v>
      </c>
      <c r="B175" s="34">
        <f>'Template IF 2'!DF3</f>
        <v>82.434109376661965</v>
      </c>
      <c r="C175" s="34">
        <f>'Template IF 2'!DG3</f>
        <v>84.323713423401244</v>
      </c>
      <c r="D175" s="34">
        <f>'Template IF 2'!DH3</f>
        <v>85.858991225423338</v>
      </c>
      <c r="E175" s="34">
        <f>'Template IF 2'!DI3</f>
        <v>86.013142944701912</v>
      </c>
      <c r="G175" s="32"/>
      <c r="H175" s="73">
        <f>'Template IF 2'!DK3</f>
        <v>14.443236274611939</v>
      </c>
      <c r="I175" s="73">
        <f>'Template IF 2'!DL3</f>
        <v>12.261212759593754</v>
      </c>
      <c r="J175" s="73">
        <f>'Template IF 2'!DM3</f>
        <v>10.170353573731582</v>
      </c>
      <c r="K175" s="73">
        <f>'Template IF 2'!DN3</f>
        <v>9.7808703936847117</v>
      </c>
      <c r="M175" s="64"/>
      <c r="N175"/>
      <c r="O175"/>
      <c r="P175" s="64"/>
      <c r="Q175" s="64"/>
      <c r="S175" s="64"/>
      <c r="T175" s="64"/>
      <c r="U175" s="64"/>
      <c r="V175" s="64"/>
      <c r="X175" s="64"/>
    </row>
    <row r="176" spans="1:24" ht="14.1" customHeight="1" x14ac:dyDescent="0.2">
      <c r="A176" s="135" t="str">
        <f>A16</f>
        <v>Kittson County</v>
      </c>
      <c r="B176" s="45">
        <f>VLOOKUP($A16,'Template IF 2'!$B$3:$HH$112,109,FALSE)</f>
        <v>78.700361010830321</v>
      </c>
      <c r="C176" s="45">
        <f>VLOOKUP($A16,'Template IF 2'!$B$3:$HH$112,110,FALSE)</f>
        <v>81.549815498154985</v>
      </c>
      <c r="D176" s="45">
        <f>VLOOKUP($A16,'Template IF 2'!$B$3:$HH$112,111,FALSE)</f>
        <v>82.692307692307693</v>
      </c>
      <c r="E176" s="45">
        <f>VLOOKUP($A16,'Template IF 2'!$B$3:$HH$112,112,FALSE)</f>
        <v>81.188118811881182</v>
      </c>
      <c r="G176" s="32"/>
      <c r="H176" s="45">
        <f>VLOOKUP($A16,'Template IF 2'!$B$3:$HH$112,114,FALSE)</f>
        <v>11.428571428571429</v>
      </c>
      <c r="I176" s="45">
        <f>VLOOKUP($A16,'Template IF 2'!$B$3:$HH$112,115,FALSE)</f>
        <v>10.357142857142858</v>
      </c>
      <c r="J176" s="45">
        <f>VLOOKUP($A16,'Template IF 2'!$B$3:$HH$112,116,FALSE)</f>
        <v>10</v>
      </c>
      <c r="K176" s="45">
        <f>VLOOKUP($A16,'Template IF 2'!$B$3:$HH$112,117,FALSE)</f>
        <v>9.5693779904306222</v>
      </c>
      <c r="M176" s="64"/>
      <c r="N176"/>
      <c r="O176"/>
      <c r="P176" s="64"/>
      <c r="Q176" s="64"/>
      <c r="S176" s="64"/>
      <c r="T176" s="64"/>
      <c r="U176" s="64"/>
      <c r="V176" s="64"/>
      <c r="X176" s="64"/>
    </row>
    <row r="177" spans="1:15" ht="14.1" customHeight="1" x14ac:dyDescent="0.2">
      <c r="A177" s="135" t="str">
        <f>A18</f>
        <v>Marshall County</v>
      </c>
      <c r="B177" s="45">
        <f>VLOOKUP($A18,'Template IF 2'!$B$3:$HH$112,109,FALSE)</f>
        <v>78.13559322033899</v>
      </c>
      <c r="C177" s="45">
        <f>VLOOKUP($A18,'Template IF 2'!$B$3:$HH$112,110,FALSE)</f>
        <v>78.558225508317932</v>
      </c>
      <c r="D177" s="45">
        <f>VLOOKUP($A18,'Template IF 2'!$B$3:$HH$112,111,FALSE)</f>
        <v>87.977099236641223</v>
      </c>
      <c r="E177" s="45">
        <f>VLOOKUP($A18,'Template IF 2'!$B$3:$HH$112,112,FALSE)</f>
        <v>85.656565656565661</v>
      </c>
      <c r="G177" s="32"/>
      <c r="H177" s="45">
        <f>VLOOKUP($A18,'Template IF 2'!$B$3:$HH$112,114,FALSE)</f>
        <v>12.367491166077739</v>
      </c>
      <c r="I177" s="45">
        <f>VLOOKUP($A18,'Template IF 2'!$B$3:$HH$112,115,FALSE)</f>
        <v>14.990859232175502</v>
      </c>
      <c r="J177" s="45">
        <f>VLOOKUP($A18,'Template IF 2'!$B$3:$HH$112,116,FALSE)</f>
        <v>13.39622641509434</v>
      </c>
      <c r="K177" s="45">
        <f>VLOOKUP($A18,'Template IF 2'!$B$3:$HH$112,117,FALSE)</f>
        <v>12.830188679245284</v>
      </c>
      <c r="N177"/>
      <c r="O177"/>
    </row>
    <row r="178" spans="1:15" ht="14.1" customHeight="1" x14ac:dyDescent="0.2">
      <c r="A178" s="135" t="str">
        <f>A20</f>
        <v>Pennington County</v>
      </c>
      <c r="B178" s="45">
        <f>VLOOKUP($A20,'Template IF 2'!$B$3:$HH$112,109,FALSE)</f>
        <v>73.152709359605907</v>
      </c>
      <c r="C178" s="45">
        <f>VLOOKUP($A20,'Template IF 2'!$B$3:$HH$112,110,FALSE)</f>
        <v>78.76312718786464</v>
      </c>
      <c r="D178" s="45">
        <f>VLOOKUP($A20,'Template IF 2'!$B$3:$HH$112,111,FALSE)</f>
        <v>82.433983926521236</v>
      </c>
      <c r="E178" s="45">
        <f>VLOOKUP($A20,'Template IF 2'!$B$3:$HH$112,112,FALSE)</f>
        <v>84.41988950276243</v>
      </c>
      <c r="G178" s="32"/>
      <c r="H178" s="45">
        <f>VLOOKUP($A20,'Template IF 2'!$B$3:$HH$112,114,FALSE)</f>
        <v>14.676616915422885</v>
      </c>
      <c r="I178" s="45">
        <f>VLOOKUP($A20,'Template IF 2'!$B$3:$HH$112,115,FALSE)</f>
        <v>19.208381839348078</v>
      </c>
      <c r="J178" s="45">
        <f>VLOOKUP($A20,'Template IF 2'!$B$3:$HH$112,116,FALSE)</f>
        <v>20.091324200913242</v>
      </c>
      <c r="K178" s="45">
        <f>VLOOKUP($A20,'Template IF 2'!$B$3:$HH$112,117,FALSE)</f>
        <v>26.226012793176974</v>
      </c>
      <c r="N178"/>
      <c r="O178"/>
    </row>
    <row r="179" spans="1:15" ht="14.1" customHeight="1" x14ac:dyDescent="0.2">
      <c r="A179" s="135" t="str">
        <f>A22</f>
        <v>Red Lake County</v>
      </c>
      <c r="B179" s="45">
        <f>VLOOKUP($A22,'Template IF 2'!$B$3:$HH$112,109,FALSE)</f>
        <v>72</v>
      </c>
      <c r="C179" s="45">
        <f>VLOOKUP($A22,'Template IF 2'!$B$3:$HH$112,110,FALSE)</f>
        <v>72.151898734177209</v>
      </c>
      <c r="D179" s="45">
        <f>VLOOKUP($A22,'Template IF 2'!$B$3:$HH$112,111,FALSE)</f>
        <v>82.700421940928265</v>
      </c>
      <c r="E179" s="45">
        <f>VLOOKUP($A22,'Template IF 2'!$B$3:$HH$112,112,FALSE)</f>
        <v>82.745098039215691</v>
      </c>
      <c r="G179" s="32"/>
      <c r="H179" s="45">
        <f>VLOOKUP($A22,'Template IF 2'!$B$3:$HH$112,114,FALSE)</f>
        <v>8.5714285714285712</v>
      </c>
      <c r="I179" s="45">
        <f>VLOOKUP($A22,'Template IF 2'!$B$3:$HH$112,115,FALSE)</f>
        <v>16.386554621848738</v>
      </c>
      <c r="J179" s="45">
        <f>VLOOKUP($A22,'Template IF 2'!$B$3:$HH$112,116,FALSE)</f>
        <v>13.617021276595745</v>
      </c>
      <c r="K179" s="45">
        <f>VLOOKUP($A22,'Template IF 2'!$B$3:$HH$112,117,FALSE)</f>
        <v>16.60377358490566</v>
      </c>
      <c r="N179"/>
      <c r="O179"/>
    </row>
    <row r="180" spans="1:15" ht="14.1" customHeight="1" x14ac:dyDescent="0.2">
      <c r="A180" s="135" t="str">
        <f>A24</f>
        <v>Roseau County</v>
      </c>
      <c r="B180" s="45">
        <f>VLOOKUP($A24,'Template IF 2'!$B$3:$HH$112,109,FALSE)</f>
        <v>83.333333333333329</v>
      </c>
      <c r="C180" s="45">
        <f>VLOOKUP($A24,'Template IF 2'!$B$3:$HH$112,110,FALSE)</f>
        <v>83.862660944206013</v>
      </c>
      <c r="D180" s="45">
        <f>VLOOKUP($A24,'Template IF 2'!$B$3:$HH$112,111,FALSE)</f>
        <v>85.861423220973776</v>
      </c>
      <c r="E180" s="45">
        <f>VLOOKUP($A24,'Template IF 2'!$B$3:$HH$112,112,FALSE)</f>
        <v>83.401221995926676</v>
      </c>
      <c r="G180" s="32"/>
      <c r="H180" s="45">
        <f>VLOOKUP($A24,'Template IF 2'!$B$3:$HH$112,114,FALSE)</f>
        <v>16.178861788617887</v>
      </c>
      <c r="I180" s="45">
        <f>VLOOKUP($A24,'Template IF 2'!$B$3:$HH$112,115,FALSE)</f>
        <v>16.65236051502146</v>
      </c>
      <c r="J180" s="45">
        <f>VLOOKUP($A24,'Template IF 2'!$B$3:$HH$112,116,FALSE)</f>
        <v>14.976744186046512</v>
      </c>
      <c r="K180" s="45">
        <f>VLOOKUP($A24,'Template IF 2'!$B$3:$HH$112,117,FALSE)</f>
        <v>16.197183098591548</v>
      </c>
      <c r="N180"/>
      <c r="O180"/>
    </row>
    <row r="181" spans="1:15" ht="14.1" customHeight="1" x14ac:dyDescent="0.2">
      <c r="A181" s="134" t="str">
        <f>A26</f>
        <v>CHB - Kitt, Marsh, Penn, Red Lake and Roseau</v>
      </c>
      <c r="B181" s="49">
        <f>VLOOKUP($A26,'Template IF 2'!$B$3:$HH$112,109,FALSE)</f>
        <v>78.451816745655606</v>
      </c>
      <c r="C181" s="49">
        <f>VLOOKUP($A26,'Template IF 2'!$B$3:$HH$112,110,FALSE)</f>
        <v>80.397264734614126</v>
      </c>
      <c r="D181" s="49">
        <f>VLOOKUP($A26,'Template IF 2'!$B$3:$HH$112,111,FALSE)</f>
        <v>84.731774415405781</v>
      </c>
      <c r="E181" s="49">
        <f>VLOOKUP($A26,'Template IF 2'!$B$3:$HH$112,112,FALSE)</f>
        <v>83.902782669954206</v>
      </c>
      <c r="F181" s="61"/>
      <c r="G181" s="31"/>
      <c r="H181" s="49">
        <f>VLOOKUP($A26,'Template IF 2'!$B$3:$HH$112,114,FALSE)</f>
        <v>14.08</v>
      </c>
      <c r="I181" s="49">
        <f>VLOOKUP($A26,'Template IF 2'!$B$3:$HH$112,115,FALSE)</f>
        <v>16.47782453868566</v>
      </c>
      <c r="J181" s="49">
        <f>VLOOKUP($A26,'Template IF 2'!$B$3:$HH$112,116,FALSE)</f>
        <v>15.755297334244702</v>
      </c>
      <c r="K181" s="49">
        <f>VLOOKUP($A26,'Template IF 2'!$B$3:$HH$112,117,FALSE)</f>
        <v>18.358310626702998</v>
      </c>
      <c r="N181"/>
      <c r="O181"/>
    </row>
    <row r="182" spans="1:15" x14ac:dyDescent="0.2">
      <c r="A182" s="145" t="s">
        <v>255</v>
      </c>
      <c r="B182" s="46"/>
      <c r="C182" s="46"/>
      <c r="D182" s="46"/>
      <c r="E182" s="46"/>
      <c r="F182" s="46"/>
      <c r="G182" s="32"/>
      <c r="H182" s="32"/>
      <c r="I182" s="32"/>
      <c r="J182" s="32"/>
      <c r="K182" s="32"/>
      <c r="L182" s="32"/>
      <c r="N182"/>
      <c r="O182"/>
    </row>
    <row r="183" spans="1:15" x14ac:dyDescent="0.2">
      <c r="A183" s="145"/>
      <c r="B183" s="32"/>
      <c r="C183" s="32"/>
      <c r="D183" s="32"/>
      <c r="E183" s="32"/>
      <c r="F183" s="32"/>
      <c r="G183" s="32"/>
      <c r="H183" s="32"/>
      <c r="I183" s="32"/>
      <c r="J183" s="32"/>
      <c r="K183" s="32"/>
      <c r="L183" s="32"/>
      <c r="N183"/>
      <c r="O183"/>
    </row>
    <row r="184" spans="1:15" ht="15.75" x14ac:dyDescent="0.2">
      <c r="A184" s="135"/>
      <c r="B184" s="163" t="s">
        <v>158</v>
      </c>
      <c r="C184" s="163"/>
      <c r="D184" s="163"/>
      <c r="E184" s="163"/>
      <c r="F184" s="75"/>
      <c r="G184" s="32"/>
      <c r="H184" s="163" t="s">
        <v>236</v>
      </c>
      <c r="I184" s="163"/>
      <c r="J184" s="163"/>
      <c r="K184" s="163"/>
      <c r="L184" s="75"/>
      <c r="N184"/>
      <c r="O184"/>
    </row>
    <row r="185" spans="1:15" ht="11.25" customHeight="1" x14ac:dyDescent="0.2">
      <c r="A185" s="134"/>
      <c r="B185" s="63" t="s">
        <v>271</v>
      </c>
      <c r="C185" s="63" t="s">
        <v>272</v>
      </c>
      <c r="D185" s="63" t="s">
        <v>273</v>
      </c>
      <c r="E185" s="63" t="s">
        <v>274</v>
      </c>
      <c r="F185" s="61"/>
      <c r="G185" s="63"/>
      <c r="H185" s="63" t="s">
        <v>275</v>
      </c>
      <c r="I185" s="63" t="s">
        <v>276</v>
      </c>
      <c r="J185" s="63" t="s">
        <v>277</v>
      </c>
      <c r="K185" s="63" t="s">
        <v>278</v>
      </c>
      <c r="L185" s="52"/>
      <c r="N185"/>
      <c r="O185"/>
    </row>
    <row r="186" spans="1:15" ht="14.1" customHeight="1" x14ac:dyDescent="0.2">
      <c r="A186" s="135" t="s">
        <v>32</v>
      </c>
      <c r="B186" s="34">
        <f>'Template IF 2'!DP3</f>
        <v>23.34391560459051</v>
      </c>
      <c r="C186" s="34">
        <f>'Template IF 2'!DQ3</f>
        <v>25.431733730020262</v>
      </c>
      <c r="D186" s="34">
        <f>'Template IF 2'!DR3</f>
        <v>27.948284579270496</v>
      </c>
      <c r="E186" s="34">
        <f>'Template IF 2'!DS3</f>
        <v>32.866793482202127</v>
      </c>
      <c r="F186" s="52"/>
      <c r="G186" s="32"/>
      <c r="H186" s="33">
        <f>'Template IF 2'!DU3</f>
        <v>2340</v>
      </c>
      <c r="I186" s="33">
        <f>'Template IF 2'!DV3</f>
        <v>1990</v>
      </c>
      <c r="J186" s="33">
        <f>'Template IF 2'!DW3</f>
        <v>1728</v>
      </c>
      <c r="K186" s="33">
        <f>'Template IF 2'!DX3</f>
        <v>1893</v>
      </c>
      <c r="N186"/>
      <c r="O186"/>
    </row>
    <row r="187" spans="1:15" ht="14.1" customHeight="1" x14ac:dyDescent="0.2">
      <c r="A187" s="135" t="str">
        <f>A16</f>
        <v>Kittson County</v>
      </c>
      <c r="B187" s="45">
        <f>VLOOKUP($A16,'Template IF 2'!$B$3:$HH$112,119,FALSE)</f>
        <v>14.736842105263158</v>
      </c>
      <c r="C187" s="45">
        <f>VLOOKUP($A16,'Template IF 2'!$B$3:$HH$112,120,FALSE)</f>
        <v>17.894736842105264</v>
      </c>
      <c r="D187" s="45">
        <f>VLOOKUP($A16,'Template IF 2'!$B$3:$HH$112,121,FALSE)</f>
        <v>19.431279620853079</v>
      </c>
      <c r="E187" s="45">
        <f>VLOOKUP($A16,'Template IF 2'!$B$3:$HH$112,122,FALSE)</f>
        <v>15.96244131455399</v>
      </c>
      <c r="G187" s="32"/>
      <c r="H187" s="52">
        <f>VLOOKUP($A16,'Template IF 2'!$B$3:$HH$112,124,FALSE)</f>
        <v>4</v>
      </c>
      <c r="I187" s="52">
        <f>VLOOKUP($A16,'Template IF 2'!$B$3:$HH$112,125,FALSE)</f>
        <v>2</v>
      </c>
      <c r="J187" s="52">
        <f>VLOOKUP($A16,'Template IF 2'!$B$3:$HH$112,126,FALSE)</f>
        <v>1</v>
      </c>
      <c r="K187" s="52">
        <f>VLOOKUP($A16,'Template IF 2'!$B$3:$HH$112,127,FALSE)</f>
        <v>0</v>
      </c>
      <c r="N187"/>
      <c r="O187"/>
    </row>
    <row r="188" spans="1:15" ht="14.1" customHeight="1" x14ac:dyDescent="0.2">
      <c r="A188" s="135" t="str">
        <f>A18</f>
        <v>Marshall County</v>
      </c>
      <c r="B188" s="45">
        <f>VLOOKUP($A18,'Template IF 2'!$B$3:$HH$112,119,FALSE)</f>
        <v>15.833333333333334</v>
      </c>
      <c r="C188" s="45">
        <f>VLOOKUP($A18,'Template IF 2'!$B$3:$HH$112,120,FALSE)</f>
        <v>22.826086956521738</v>
      </c>
      <c r="D188" s="45">
        <f>VLOOKUP($A18,'Template IF 2'!$B$3:$HH$112,121,FALSE)</f>
        <v>21.616541353383457</v>
      </c>
      <c r="E188" s="45">
        <f>VLOOKUP($A18,'Template IF 2'!$B$3:$HH$112,122,FALSE)</f>
        <v>26.078799249530956</v>
      </c>
      <c r="G188" s="32"/>
      <c r="H188" s="52">
        <f>VLOOKUP($A18,'Template IF 2'!$B$3:$HH$112,124,FALSE)</f>
        <v>2</v>
      </c>
      <c r="I188" s="52">
        <f>VLOOKUP($A18,'Template IF 2'!$B$3:$HH$112,125,FALSE)</f>
        <v>4</v>
      </c>
      <c r="J188" s="52">
        <f>VLOOKUP($A18,'Template IF 2'!$B$3:$HH$112,126,FALSE)</f>
        <v>4</v>
      </c>
      <c r="K188" s="52">
        <f>VLOOKUP($A18,'Template IF 2'!$B$3:$HH$112,127,FALSE)</f>
        <v>5</v>
      </c>
      <c r="N188"/>
      <c r="O188"/>
    </row>
    <row r="189" spans="1:15" ht="14.1" customHeight="1" x14ac:dyDescent="0.2">
      <c r="A189" s="135" t="str">
        <f>A20</f>
        <v>Pennington County</v>
      </c>
      <c r="B189" s="45">
        <f>VLOOKUP($A20,'Template IF 2'!$B$3:$HH$112,119,FALSE)</f>
        <v>28.953771289537713</v>
      </c>
      <c r="C189" s="45">
        <f>VLOOKUP($A20,'Template IF 2'!$B$3:$HH$112,120,FALSE)</f>
        <v>33.217592592592595</v>
      </c>
      <c r="D189" s="45">
        <f>VLOOKUP($A20,'Template IF 2'!$B$3:$HH$112,121,FALSE)</f>
        <v>32.463110102156641</v>
      </c>
      <c r="E189" s="45">
        <f>VLOOKUP($A20,'Template IF 2'!$B$3:$HH$112,122,FALSE)</f>
        <v>43.099787685774949</v>
      </c>
      <c r="G189" s="32"/>
      <c r="H189" s="52">
        <f>VLOOKUP($A20,'Template IF 2'!$B$3:$HH$112,124,FALSE)</f>
        <v>5</v>
      </c>
      <c r="I189" s="52">
        <f>VLOOKUP($A20,'Template IF 2'!$B$3:$HH$112,125,FALSE)</f>
        <v>7</v>
      </c>
      <c r="J189" s="52">
        <f>VLOOKUP($A20,'Template IF 2'!$B$3:$HH$112,126,FALSE)</f>
        <v>5</v>
      </c>
      <c r="K189" s="52">
        <f>VLOOKUP($A20,'Template IF 2'!$B$3:$HH$112,127,FALSE)</f>
        <v>5</v>
      </c>
      <c r="N189"/>
      <c r="O189"/>
    </row>
    <row r="190" spans="1:15" ht="14.1" customHeight="1" x14ac:dyDescent="0.2">
      <c r="A190" s="135" t="str">
        <f>A22</f>
        <v>Red Lake County</v>
      </c>
      <c r="B190" s="45">
        <f>VLOOKUP($A22,'Template IF 2'!$B$3:$HH$112,119,FALSE)</f>
        <v>18.725099601593627</v>
      </c>
      <c r="C190" s="45">
        <f>VLOOKUP($A22,'Template IF 2'!$B$3:$HH$112,120,FALSE)</f>
        <v>25.10460251046025</v>
      </c>
      <c r="D190" s="45">
        <f>VLOOKUP($A22,'Template IF 2'!$B$3:$HH$112,121,FALSE)</f>
        <v>25.316455696202532</v>
      </c>
      <c r="E190" s="45">
        <f>VLOOKUP($A22,'Template IF 2'!$B$3:$HH$112,122,FALSE)</f>
        <v>29.056603773584907</v>
      </c>
      <c r="G190" s="32"/>
      <c r="H190" s="52">
        <f>VLOOKUP($A22,'Template IF 2'!$B$3:$HH$112,124,FALSE)</f>
        <v>1</v>
      </c>
      <c r="I190" s="52">
        <f>VLOOKUP($A22,'Template IF 2'!$B$3:$HH$112,125,FALSE)</f>
        <v>2</v>
      </c>
      <c r="J190" s="52">
        <f>VLOOKUP($A22,'Template IF 2'!$B$3:$HH$112,126,FALSE)</f>
        <v>3</v>
      </c>
      <c r="K190" s="52">
        <f>VLOOKUP($A22,'Template IF 2'!$B$3:$HH$112,127,FALSE)</f>
        <v>0</v>
      </c>
      <c r="N190"/>
      <c r="O190"/>
    </row>
    <row r="191" spans="1:15" ht="14.1" customHeight="1" x14ac:dyDescent="0.2">
      <c r="A191" s="135" t="str">
        <f>A24</f>
        <v>Roseau County</v>
      </c>
      <c r="B191" s="45">
        <f>VLOOKUP($A24,'Template IF 2'!$B$3:$HH$112,119,FALSE)</f>
        <v>18.775181305398871</v>
      </c>
      <c r="C191" s="45">
        <f>VLOOKUP($A24,'Template IF 2'!$B$3:$HH$112,120,FALSE)</f>
        <v>24.765157984628523</v>
      </c>
      <c r="D191" s="45">
        <f>VLOOKUP($A24,'Template IF 2'!$B$3:$HH$112,121,FALSE)</f>
        <v>27.973977695167285</v>
      </c>
      <c r="E191" s="45">
        <f>VLOOKUP($A24,'Template IF 2'!$B$3:$HH$112,122,FALSE)</f>
        <v>33.70221327967807</v>
      </c>
      <c r="G191" s="32"/>
      <c r="H191" s="52">
        <f>VLOOKUP($A24,'Template IF 2'!$B$3:$HH$112,124,FALSE)</f>
        <v>9</v>
      </c>
      <c r="I191" s="52">
        <f>VLOOKUP($A24,'Template IF 2'!$B$3:$HH$112,125,FALSE)</f>
        <v>7</v>
      </c>
      <c r="J191" s="52">
        <f>VLOOKUP($A24,'Template IF 2'!$B$3:$HH$112,126,FALSE)</f>
        <v>8</v>
      </c>
      <c r="K191" s="52">
        <f>VLOOKUP($A24,'Template IF 2'!$B$3:$HH$112,127,FALSE)</f>
        <v>5</v>
      </c>
      <c r="N191"/>
      <c r="O191"/>
    </row>
    <row r="192" spans="1:15" ht="14.1" customHeight="1" x14ac:dyDescent="0.2">
      <c r="A192" s="134" t="str">
        <f>A26</f>
        <v>CHB - Kitt, Marsh, Penn, Red Lake and Roseau</v>
      </c>
      <c r="B192" s="49">
        <f>VLOOKUP($A26,'Template IF 2'!$B$3:$HH$112,119,FALSE)</f>
        <v>29.905277401894452</v>
      </c>
      <c r="C192" s="49">
        <f>VLOOKUP($A26,'Template IF 2'!$B$3:$HH$112,120,FALSE)</f>
        <v>26.165220186435231</v>
      </c>
      <c r="D192" s="49">
        <f>VLOOKUP($A26,'Template IF 2'!$B$3:$HH$112,121,FALSE)</f>
        <v>27.340823970037452</v>
      </c>
      <c r="E192" s="49">
        <f>VLOOKUP($A26,'Template IF 2'!$B$3:$HH$112,122,FALSE)</f>
        <v>33.627417712928398</v>
      </c>
      <c r="F192" s="61"/>
      <c r="G192" s="31"/>
      <c r="H192" s="61">
        <f>VLOOKUP($A26,'Template IF 2'!$B$3:$HH$112,124,FALSE)</f>
        <v>21</v>
      </c>
      <c r="I192" s="61">
        <f>VLOOKUP($A26,'Template IF 2'!$B$3:$HH$112,125,FALSE)</f>
        <v>22</v>
      </c>
      <c r="J192" s="61">
        <f>VLOOKUP($A26,'Template IF 2'!$B$3:$HH$112,126,FALSE)</f>
        <v>21</v>
      </c>
      <c r="K192" s="61">
        <f>VLOOKUP($A26,'Template IF 2'!$B$3:$HH$112,127,FALSE)</f>
        <v>15</v>
      </c>
      <c r="N192"/>
      <c r="O192"/>
    </row>
    <row r="193" spans="1:15" x14ac:dyDescent="0.2">
      <c r="A193" s="145" t="s">
        <v>255</v>
      </c>
      <c r="B193" s="46"/>
      <c r="C193" s="46"/>
      <c r="D193" s="46"/>
      <c r="E193" s="46"/>
      <c r="F193" s="46"/>
      <c r="G193" s="32"/>
      <c r="H193" s="32"/>
      <c r="I193" s="32"/>
      <c r="J193" s="32"/>
      <c r="K193" s="32"/>
      <c r="L193" s="32"/>
      <c r="N193"/>
      <c r="O193"/>
    </row>
    <row r="194" spans="1:15" x14ac:dyDescent="0.2">
      <c r="A194" s="145"/>
      <c r="B194" s="32"/>
      <c r="C194" s="32"/>
      <c r="D194" s="32"/>
      <c r="E194" s="32"/>
      <c r="F194" s="32"/>
      <c r="G194" s="32"/>
      <c r="H194" s="50"/>
      <c r="I194" s="50"/>
      <c r="J194" s="50"/>
      <c r="K194" s="50"/>
      <c r="L194" s="50"/>
      <c r="N194"/>
      <c r="O194"/>
    </row>
    <row r="195" spans="1:15" x14ac:dyDescent="0.2">
      <c r="A195" s="135"/>
      <c r="B195" s="163" t="s">
        <v>237</v>
      </c>
      <c r="C195" s="163"/>
      <c r="D195" s="163"/>
      <c r="E195" s="163"/>
      <c r="F195" s="163"/>
      <c r="G195" s="32"/>
      <c r="H195" s="163" t="s">
        <v>66</v>
      </c>
      <c r="I195" s="163"/>
      <c r="J195" s="163"/>
      <c r="K195" s="163"/>
      <c r="L195" s="75"/>
      <c r="N195"/>
      <c r="O195"/>
    </row>
    <row r="196" spans="1:15" ht="25.5" x14ac:dyDescent="0.2">
      <c r="A196" s="134"/>
      <c r="B196" s="53" t="s">
        <v>35</v>
      </c>
      <c r="C196" s="66" t="s">
        <v>54</v>
      </c>
      <c r="D196" s="66" t="s">
        <v>51</v>
      </c>
      <c r="E196" s="53" t="s">
        <v>38</v>
      </c>
      <c r="F196" s="53" t="s">
        <v>63</v>
      </c>
      <c r="G196" s="63"/>
      <c r="H196" s="63" t="s">
        <v>271</v>
      </c>
      <c r="I196" s="63" t="s">
        <v>272</v>
      </c>
      <c r="J196" s="63" t="s">
        <v>273</v>
      </c>
      <c r="K196" s="63" t="s">
        <v>274</v>
      </c>
      <c r="L196" s="74"/>
      <c r="N196"/>
      <c r="O196"/>
    </row>
    <row r="197" spans="1:15" ht="14.1" customHeight="1" x14ac:dyDescent="0.2">
      <c r="A197" s="135" t="s">
        <v>32</v>
      </c>
      <c r="B197" s="39">
        <f>'Template IF 2'!EE3</f>
        <v>75.2</v>
      </c>
      <c r="C197" s="39">
        <f>'Template IF 2'!EF3</f>
        <v>9.6999999999999993</v>
      </c>
      <c r="D197" s="39">
        <f>'Template IF 2'!EG3</f>
        <v>2</v>
      </c>
      <c r="E197" s="39">
        <f>'Template IF 2'!EH3</f>
        <v>7.3</v>
      </c>
      <c r="F197" s="39">
        <f>'Template IF 2'!EI3</f>
        <v>7.5</v>
      </c>
      <c r="G197" s="50"/>
      <c r="H197" s="34">
        <f>'Template IF 2'!HI3</f>
        <v>34.842822598373267</v>
      </c>
      <c r="I197" s="34">
        <f>'Template IF 2'!HJ3</f>
        <v>30.809412975826962</v>
      </c>
      <c r="J197" s="34">
        <f>'Template IF 2'!HK3</f>
        <v>26.86007863923707</v>
      </c>
      <c r="K197" s="34">
        <f>'Template IF 2'!EJ3</f>
        <v>26.05224385776291</v>
      </c>
      <c r="N197"/>
      <c r="O197"/>
    </row>
    <row r="198" spans="1:15" ht="14.1" customHeight="1" x14ac:dyDescent="0.2">
      <c r="A198" s="135" t="str">
        <f>A16</f>
        <v>Kittson County</v>
      </c>
      <c r="B198" s="39">
        <f>VLOOKUP($A16,'Template IF 2'!$B$3:$HH$112,134,FALSE)</f>
        <v>97.777777777777771</v>
      </c>
      <c r="C198" s="39">
        <f>VLOOKUP($A16,'Template IF 2'!$B$3:$HH$112,135,FALSE)</f>
        <v>0</v>
      </c>
      <c r="D198" s="39">
        <f>VLOOKUP($A16,'Template IF 2'!$B$3:$HH$112,136,FALSE)</f>
        <v>0</v>
      </c>
      <c r="E198" s="39">
        <f>VLOOKUP($A16,'Template IF 2'!$B$3:$HH$112,137,FALSE)</f>
        <v>2.2222222222222223</v>
      </c>
      <c r="F198" s="39">
        <f>VLOOKUP($A16,'Template IF 2'!$B$3:$HH$112,138,FALSE)</f>
        <v>0</v>
      </c>
      <c r="G198" s="50"/>
      <c r="H198" s="39">
        <f>VLOOKUP($A16,'Template IF 2'!$B$3:$HK$112,216,FALSE)</f>
        <v>24.937655860349128</v>
      </c>
      <c r="I198" s="39" t="str">
        <f>VLOOKUP($A16,'Template IF 2'!$B$3:$HK$112,217,FALSE)</f>
        <v>*</v>
      </c>
      <c r="J198" s="39" t="str">
        <f>VLOOKUP($A16,'Template IF 2'!$B$3:$HK$112,218,FALSE)</f>
        <v>*</v>
      </c>
      <c r="K198" s="39" t="str">
        <f>VLOOKUP($A16,'Template IF 2'!$B$3:$HH$112,139,FALSE)</f>
        <v>*</v>
      </c>
      <c r="N198"/>
      <c r="O198"/>
    </row>
    <row r="199" spans="1:15" ht="14.1" customHeight="1" x14ac:dyDescent="0.2">
      <c r="A199" s="135" t="str">
        <f>A18</f>
        <v>Marshall County</v>
      </c>
      <c r="B199" s="39">
        <f>VLOOKUP($A18,'Template IF 2'!$B$3:$HH$112,134,FALSE)</f>
        <v>96.15384615384616</v>
      </c>
      <c r="C199" s="39">
        <f>VLOOKUP($A18,'Template IF 2'!$B$3:$HH$112,135,FALSE)</f>
        <v>0</v>
      </c>
      <c r="D199" s="39">
        <f>VLOOKUP($A18,'Template IF 2'!$B$3:$HH$112,136,FALSE)</f>
        <v>0</v>
      </c>
      <c r="E199" s="39">
        <f>VLOOKUP($A18,'Template IF 2'!$B$3:$HH$112,137,FALSE)</f>
        <v>0</v>
      </c>
      <c r="F199" s="39">
        <f>VLOOKUP($A18,'Template IF 2'!$B$3:$HH$112,138,FALSE)</f>
        <v>3.883495145631068</v>
      </c>
      <c r="G199" s="50"/>
      <c r="H199" s="39">
        <f>VLOOKUP($A18,'Template IF 2'!$B$3:$HK$112,216,FALSE)</f>
        <v>30.451332245785753</v>
      </c>
      <c r="I199" s="39">
        <f>VLOOKUP($A18,'Template IF 2'!$B$3:$HK$112,217,FALSE)</f>
        <v>25.290844714213456</v>
      </c>
      <c r="J199" s="39">
        <f>VLOOKUP($A18,'Template IF 2'!$B$3:$HK$112,218,FALSE)</f>
        <v>22.187822497420022</v>
      </c>
      <c r="K199" s="39">
        <f>VLOOKUP($A18,'Template IF 2'!$B$3:$HH$112,139,FALSE)</f>
        <v>25.730180806675939</v>
      </c>
      <c r="N199"/>
      <c r="O199"/>
    </row>
    <row r="200" spans="1:15" ht="14.1" customHeight="1" x14ac:dyDescent="0.2">
      <c r="A200" s="135" t="str">
        <f>A20</f>
        <v>Pennington County</v>
      </c>
      <c r="B200" s="39">
        <f>VLOOKUP($A20,'Template IF 2'!$B$3:$HH$112,134,FALSE)</f>
        <v>90.395480225988706</v>
      </c>
      <c r="C200" s="39">
        <f>VLOOKUP($A20,'Template IF 2'!$B$3:$HH$112,135,FALSE)</f>
        <v>1.6949152542372881</v>
      </c>
      <c r="D200" s="39">
        <f>VLOOKUP($A20,'Template IF 2'!$B$3:$HH$112,136,FALSE)</f>
        <v>3.9548022598870056</v>
      </c>
      <c r="E200" s="39">
        <f>VLOOKUP($A20,'Template IF 2'!$B$3:$HH$112,137,FALSE)</f>
        <v>0.56497175141242939</v>
      </c>
      <c r="F200" s="39">
        <f>VLOOKUP($A20,'Template IF 2'!$B$3:$HH$112,138,FALSE)</f>
        <v>4.5197740112994351</v>
      </c>
      <c r="G200" s="50"/>
      <c r="H200" s="39">
        <f>VLOOKUP($A20,'Template IF 2'!$B$3:$HK$112,216,FALSE)</f>
        <v>39.584166333466612</v>
      </c>
      <c r="I200" s="39">
        <f>VLOOKUP($A20,'Template IF 2'!$B$3:$HK$112,217,FALSE)</f>
        <v>35.196687370600415</v>
      </c>
      <c r="J200" s="39">
        <f>VLOOKUP($A20,'Template IF 2'!$B$3:$HK$112,218,FALSE)</f>
        <v>28.243962341383543</v>
      </c>
      <c r="K200" s="39">
        <f>VLOOKUP($A20,'Template IF 2'!$B$3:$HH$112,139,FALSE)</f>
        <v>32.112166440524646</v>
      </c>
      <c r="N200"/>
      <c r="O200"/>
    </row>
    <row r="201" spans="1:15" ht="14.1" customHeight="1" x14ac:dyDescent="0.2">
      <c r="A201" s="135" t="str">
        <f>A22</f>
        <v>Red Lake County</v>
      </c>
      <c r="B201" s="39">
        <f>VLOOKUP($A22,'Template IF 2'!$B$3:$HH$112,134,FALSE)</f>
        <v>92.452830188679243</v>
      </c>
      <c r="C201" s="39">
        <f>VLOOKUP($A22,'Template IF 2'!$B$3:$HH$112,135,FALSE)</f>
        <v>0</v>
      </c>
      <c r="D201" s="39">
        <f>VLOOKUP($A22,'Template IF 2'!$B$3:$HH$112,136,FALSE)</f>
        <v>5.6603773584905657</v>
      </c>
      <c r="E201" s="39">
        <f>VLOOKUP($A22,'Template IF 2'!$B$3:$HH$112,137,FALSE)</f>
        <v>0</v>
      </c>
      <c r="F201" s="39">
        <f>VLOOKUP($A22,'Template IF 2'!$B$3:$HH$112,138,FALSE)</f>
        <v>3.7735849056603774</v>
      </c>
      <c r="G201" s="50"/>
      <c r="H201" s="39">
        <f>VLOOKUP($A22,'Template IF 2'!$B$3:$HK$112,216,FALSE)</f>
        <v>30.013642564802183</v>
      </c>
      <c r="I201" s="39">
        <f>VLOOKUP($A22,'Template IF 2'!$B$3:$HK$112,217,FALSE)</f>
        <v>29.62962962962963</v>
      </c>
      <c r="J201" s="39" t="str">
        <f>VLOOKUP($A22,'Template IF 2'!$B$3:$HK$112,218,FALSE)</f>
        <v>*</v>
      </c>
      <c r="K201" s="39" t="str">
        <f>VLOOKUP($A22,'Template IF 2'!$B$3:$HH$112,139,FALSE)</f>
        <v>*</v>
      </c>
      <c r="N201"/>
      <c r="O201"/>
    </row>
    <row r="202" spans="1:15" ht="14.1" customHeight="1" x14ac:dyDescent="0.2">
      <c r="A202" s="135" t="str">
        <f>A24</f>
        <v>Roseau County</v>
      </c>
      <c r="B202" s="39">
        <f>VLOOKUP($A24,'Template IF 2'!$B$3:$HH$112,134,FALSE)</f>
        <v>94.761904761904759</v>
      </c>
      <c r="C202" s="39">
        <f>VLOOKUP($A24,'Template IF 2'!$B$3:$HH$112,135,FALSE)</f>
        <v>0</v>
      </c>
      <c r="D202" s="39">
        <f>VLOOKUP($A24,'Template IF 2'!$B$3:$HH$112,136,FALSE)</f>
        <v>0.47619047619047616</v>
      </c>
      <c r="E202" s="39">
        <f>VLOOKUP($A24,'Template IF 2'!$B$3:$HH$112,137,FALSE)</f>
        <v>4.2857142857142856</v>
      </c>
      <c r="F202" s="39">
        <f>VLOOKUP($A24,'Template IF 2'!$B$3:$HH$112,138,FALSE)</f>
        <v>0.47619047619047616</v>
      </c>
      <c r="G202" s="50"/>
      <c r="H202" s="39">
        <f>VLOOKUP($A24,'Template IF 2'!$B$3:$HK$112,216,FALSE)</f>
        <v>53.024026512013258</v>
      </c>
      <c r="I202" s="39">
        <f>VLOOKUP($A24,'Template IF 2'!$B$3:$HK$112,217,FALSE)</f>
        <v>38.952085487762844</v>
      </c>
      <c r="J202" s="39">
        <f>VLOOKUP($A24,'Template IF 2'!$B$3:$HK$112,218,FALSE)</f>
        <v>28.774752475247524</v>
      </c>
      <c r="K202" s="39">
        <f>VLOOKUP($A24,'Template IF 2'!$B$3:$HH$112,139,FALSE)</f>
        <v>28.061224489795919</v>
      </c>
      <c r="N202"/>
      <c r="O202"/>
    </row>
    <row r="203" spans="1:15" ht="14.1" customHeight="1" x14ac:dyDescent="0.2">
      <c r="A203" s="134" t="str">
        <f>A26</f>
        <v>CHB - Kitt, Marsh, Penn, Red Lake and Roseau</v>
      </c>
      <c r="B203" s="49">
        <f>VLOOKUP($A26,'Template IF 2'!$B$3:$HH$112,134,FALSE)</f>
        <v>93.718166383701188</v>
      </c>
      <c r="C203" s="49">
        <f>VLOOKUP($A26,'Template IF 2'!$B$3:$HH$112,135,FALSE)</f>
        <v>0.50933786078098475</v>
      </c>
      <c r="D203" s="49">
        <f>VLOOKUP($A26,'Template IF 2'!$B$3:$HH$112,136,FALSE)</f>
        <v>1.8675721561969441</v>
      </c>
      <c r="E203" s="49">
        <f>VLOOKUP($A26,'Template IF 2'!$B$3:$HH$112,137,FALSE)</f>
        <v>1.8675721561969441</v>
      </c>
      <c r="F203" s="49">
        <f>VLOOKUP($A26,'Template IF 2'!$B$3:$HH$112,138,FALSE)</f>
        <v>2.5510204081632653</v>
      </c>
      <c r="G203" s="31"/>
      <c r="H203" s="49">
        <f>VLOOKUP($A26,'Template IF 2'!$B$3:$HK$112,216,FALSE)</f>
        <v>39.208589697189048</v>
      </c>
      <c r="I203" s="49">
        <f>VLOOKUP($A26,'Template IF 2'!$B$3:$HK$112,217,FALSE)</f>
        <v>32.517741764643574</v>
      </c>
      <c r="J203" s="49">
        <f>VLOOKUP($A26,'Template IF 2'!$B$3:$HK$112,218,FALSE)</f>
        <v>24.721746575342465</v>
      </c>
      <c r="K203" s="49">
        <f>VLOOKUP($A26,'Template IF 2'!$B$3:$HH$112,139,FALSE)</f>
        <v>27.665405193788335</v>
      </c>
      <c r="N203"/>
      <c r="O203"/>
    </row>
    <row r="204" spans="1:15" x14ac:dyDescent="0.2">
      <c r="A204" s="145" t="s">
        <v>254</v>
      </c>
      <c r="B204" s="37"/>
      <c r="C204" s="37"/>
      <c r="D204" s="37"/>
      <c r="E204" s="37"/>
      <c r="F204" s="37"/>
      <c r="G204" s="32"/>
      <c r="H204" s="38" t="s">
        <v>246</v>
      </c>
      <c r="I204" s="32"/>
      <c r="J204" s="32"/>
      <c r="K204" s="32"/>
      <c r="L204" s="32"/>
      <c r="N204"/>
      <c r="O204"/>
    </row>
    <row r="205" spans="1:15" ht="18.75" x14ac:dyDescent="0.25">
      <c r="A205" s="165" t="s">
        <v>238</v>
      </c>
      <c r="B205" s="165"/>
      <c r="C205" s="165"/>
      <c r="D205" s="165"/>
      <c r="E205" s="165"/>
      <c r="F205" s="165"/>
      <c r="G205" s="165"/>
      <c r="H205" s="165"/>
      <c r="I205" s="165"/>
      <c r="J205" s="165"/>
      <c r="K205" s="165"/>
      <c r="L205" s="165"/>
      <c r="N205"/>
      <c r="O205"/>
    </row>
    <row r="206" spans="1:15" x14ac:dyDescent="0.2">
      <c r="A206" s="12"/>
      <c r="B206" s="32"/>
      <c r="C206" s="32"/>
      <c r="D206" s="32"/>
      <c r="E206" s="32"/>
      <c r="F206" s="32"/>
      <c r="G206" s="32"/>
      <c r="H206" s="32"/>
      <c r="I206" s="32"/>
      <c r="J206" s="32"/>
      <c r="K206" s="32"/>
      <c r="L206" s="32"/>
      <c r="N206"/>
      <c r="O206"/>
    </row>
    <row r="207" spans="1:15" x14ac:dyDescent="0.2">
      <c r="A207" s="30"/>
      <c r="B207" s="163" t="s">
        <v>19</v>
      </c>
      <c r="C207" s="163"/>
      <c r="D207" s="163"/>
      <c r="E207" s="163"/>
      <c r="F207" s="75"/>
      <c r="G207" s="32"/>
      <c r="H207" s="163" t="s">
        <v>239</v>
      </c>
      <c r="I207" s="163"/>
      <c r="J207" s="163"/>
      <c r="K207" s="163"/>
      <c r="L207" s="163"/>
      <c r="N207"/>
      <c r="O207"/>
    </row>
    <row r="208" spans="1:15" ht="25.5" x14ac:dyDescent="0.2">
      <c r="A208" s="28"/>
      <c r="B208" s="63" t="s">
        <v>271</v>
      </c>
      <c r="C208" s="63" t="s">
        <v>272</v>
      </c>
      <c r="D208" s="63" t="s">
        <v>273</v>
      </c>
      <c r="E208" s="63" t="s">
        <v>274</v>
      </c>
      <c r="F208" s="62"/>
      <c r="G208" s="63"/>
      <c r="H208" s="29" t="s">
        <v>35</v>
      </c>
      <c r="I208" s="29" t="s">
        <v>54</v>
      </c>
      <c r="J208" s="29" t="s">
        <v>51</v>
      </c>
      <c r="K208" s="29" t="s">
        <v>38</v>
      </c>
      <c r="L208" s="29" t="s">
        <v>64</v>
      </c>
      <c r="N208"/>
      <c r="O208"/>
    </row>
    <row r="209" spans="1:24" ht="14.1" customHeight="1" x14ac:dyDescent="0.2">
      <c r="A209" s="135" t="s">
        <v>32</v>
      </c>
      <c r="B209" s="55">
        <f>'Template IF 2'!EL3</f>
        <v>180398</v>
      </c>
      <c r="C209" s="55">
        <f>'Template IF 2'!EM3</f>
        <v>187264</v>
      </c>
      <c r="D209" s="55">
        <f>'Template IF 2'!EN3</f>
        <v>188055</v>
      </c>
      <c r="E209" s="55">
        <f>'Template IF 2'!EO3</f>
        <v>189138</v>
      </c>
      <c r="G209" s="32"/>
      <c r="H209" s="55">
        <f>'Template IF 2'!HD3</f>
        <v>36793</v>
      </c>
      <c r="I209" s="55">
        <f>'Template IF 2'!HE3</f>
        <v>921</v>
      </c>
      <c r="J209" s="55">
        <f>'Template IF 2'!HF3</f>
        <v>439</v>
      </c>
      <c r="K209" s="55">
        <f>'Template IF 2'!HG3</f>
        <v>530</v>
      </c>
      <c r="L209" s="55">
        <f>'Template IF 2'!HH3</f>
        <v>313</v>
      </c>
      <c r="N209"/>
      <c r="O209"/>
    </row>
    <row r="210" spans="1:24" ht="14.1" customHeight="1" x14ac:dyDescent="0.2">
      <c r="A210" s="135" t="str">
        <f>A16</f>
        <v>Kittson County</v>
      </c>
      <c r="B210" s="51">
        <f>VLOOKUP($A16,'Template IF 2'!$B$3:$HH$112,141,FALSE)</f>
        <v>439</v>
      </c>
      <c r="C210" s="51">
        <f>VLOOKUP($A16,'Template IF 2'!$B$3:$HH$112,142,FALSE)</f>
        <v>388</v>
      </c>
      <c r="D210" s="51">
        <f>VLOOKUP($A16,'Template IF 2'!$B$3:$HH$112,143,FALSE)</f>
        <v>361</v>
      </c>
      <c r="E210" s="51">
        <f>VLOOKUP($A16,'Template IF 2'!$B$3:$HH$112,144,FALSE)</f>
        <v>356</v>
      </c>
      <c r="G210" s="32"/>
      <c r="H210" s="51">
        <f>VLOOKUP($A16,'Template IF 2'!$B$3:$HH$112,211,FALSE)</f>
        <v>66</v>
      </c>
      <c r="I210" s="51">
        <f>VLOOKUP($A16,'Template IF 2'!$B$3:$HH$112,212,FALSE)</f>
        <v>0</v>
      </c>
      <c r="J210" s="51">
        <f>VLOOKUP($A16,'Template IF 2'!$B$3:$HH$112,213,FALSE)</f>
        <v>0</v>
      </c>
      <c r="K210" s="51">
        <f>VLOOKUP($A16,'Template IF 2'!$B$3:$HH$112,214,FALSE)</f>
        <v>0</v>
      </c>
      <c r="L210" s="51">
        <f>VLOOKUP($A16,'Template IF 2'!$B$3:$HH$112,215,FALSE)</f>
        <v>0</v>
      </c>
      <c r="N210"/>
      <c r="O210"/>
    </row>
    <row r="211" spans="1:24" ht="14.1" customHeight="1" x14ac:dyDescent="0.2">
      <c r="A211" s="135" t="str">
        <f>A18</f>
        <v>Marshall County</v>
      </c>
      <c r="B211" s="51">
        <f>VLOOKUP($A18,'Template IF 2'!$B$3:$HH$112,141,FALSE)</f>
        <v>586</v>
      </c>
      <c r="C211" s="51">
        <f>VLOOKUP($A18,'Template IF 2'!$B$3:$HH$112,142,FALSE)</f>
        <v>551</v>
      </c>
      <c r="D211" s="51">
        <f>VLOOKUP($A18,'Template IF 2'!$B$3:$HH$112,143,FALSE)</f>
        <v>445</v>
      </c>
      <c r="E211" s="51">
        <f>VLOOKUP($A18,'Template IF 2'!$B$3:$HH$112,144,FALSE)</f>
        <v>431</v>
      </c>
      <c r="G211" s="32"/>
      <c r="H211" s="51">
        <f>VLOOKUP($A18,'Template IF 2'!$B$3:$HH$112,211,FALSE)</f>
        <v>84</v>
      </c>
      <c r="I211" s="51">
        <f>VLOOKUP($A18,'Template IF 2'!$B$3:$HH$112,212,FALSE)</f>
        <v>1</v>
      </c>
      <c r="J211" s="51">
        <f>VLOOKUP($A18,'Template IF 2'!$B$3:$HH$112,213,FALSE)</f>
        <v>0</v>
      </c>
      <c r="K211" s="51">
        <f>VLOOKUP($A18,'Template IF 2'!$B$3:$HH$112,214,FALSE)</f>
        <v>1</v>
      </c>
      <c r="L211" s="51">
        <f>VLOOKUP($A18,'Template IF 2'!$B$3:$HH$112,215,FALSE)</f>
        <v>0</v>
      </c>
      <c r="N211"/>
      <c r="O211"/>
    </row>
    <row r="212" spans="1:24" ht="14.1" customHeight="1" x14ac:dyDescent="0.2">
      <c r="A212" s="135" t="str">
        <f>A20</f>
        <v>Pennington County</v>
      </c>
      <c r="B212" s="51">
        <f>VLOOKUP($A20,'Template IF 2'!$B$3:$HH$112,141,FALSE)</f>
        <v>756</v>
      </c>
      <c r="C212" s="51">
        <f>VLOOKUP($A20,'Template IF 2'!$B$3:$HH$112,142,FALSE)</f>
        <v>744</v>
      </c>
      <c r="D212" s="51">
        <f>VLOOKUP($A20,'Template IF 2'!$B$3:$HH$112,143,FALSE)</f>
        <v>719</v>
      </c>
      <c r="E212" s="51">
        <f>VLOOKUP($A20,'Template IF 2'!$B$3:$HH$112,144,FALSE)</f>
        <v>649</v>
      </c>
      <c r="G212" s="32"/>
      <c r="H212" s="51">
        <f>VLOOKUP($A20,'Template IF 2'!$B$3:$HH$112,211,FALSE)</f>
        <v>119</v>
      </c>
      <c r="I212" s="51">
        <f>VLOOKUP($A20,'Template IF 2'!$B$3:$HH$112,212,FALSE)</f>
        <v>0</v>
      </c>
      <c r="J212" s="51">
        <f>VLOOKUP($A20,'Template IF 2'!$B$3:$HH$112,213,FALSE)</f>
        <v>2</v>
      </c>
      <c r="K212" s="51">
        <f>VLOOKUP($A20,'Template IF 2'!$B$3:$HH$112,214,FALSE)</f>
        <v>1</v>
      </c>
      <c r="L212" s="51">
        <f>VLOOKUP($A20,'Template IF 2'!$B$3:$HH$112,215,FALSE)</f>
        <v>1</v>
      </c>
      <c r="N212"/>
      <c r="O212"/>
    </row>
    <row r="213" spans="1:24" ht="14.1" customHeight="1" x14ac:dyDescent="0.2">
      <c r="A213" s="135" t="str">
        <f>A22</f>
        <v>Red Lake County</v>
      </c>
      <c r="B213" s="51">
        <f>VLOOKUP($A22,'Template IF 2'!$B$3:$HH$112,141,FALSE)</f>
        <v>288</v>
      </c>
      <c r="C213" s="51">
        <f>VLOOKUP($A22,'Template IF 2'!$B$3:$HH$112,142,FALSE)</f>
        <v>249</v>
      </c>
      <c r="D213" s="51">
        <f>VLOOKUP($A22,'Template IF 2'!$B$3:$HH$112,143,FALSE)</f>
        <v>228</v>
      </c>
      <c r="E213" s="51">
        <f>VLOOKUP($A22,'Template IF 2'!$B$3:$HH$112,144,FALSE)</f>
        <v>204</v>
      </c>
      <c r="G213" s="32"/>
      <c r="H213" s="51">
        <f>VLOOKUP($A22,'Template IF 2'!$B$3:$HH$112,211,FALSE)</f>
        <v>32</v>
      </c>
      <c r="I213" s="51">
        <f>VLOOKUP($A22,'Template IF 2'!$B$3:$HH$112,212,FALSE)</f>
        <v>0</v>
      </c>
      <c r="J213" s="51">
        <f>VLOOKUP($A22,'Template IF 2'!$B$3:$HH$112,213,FALSE)</f>
        <v>2</v>
      </c>
      <c r="K213" s="51">
        <f>VLOOKUP($A22,'Template IF 2'!$B$3:$HH$112,214,FALSE)</f>
        <v>0</v>
      </c>
      <c r="L213" s="51">
        <f>VLOOKUP($A22,'Template IF 2'!$B$3:$HH$112,215,FALSE)</f>
        <v>0</v>
      </c>
      <c r="N213"/>
      <c r="O213"/>
    </row>
    <row r="214" spans="1:24" ht="14.1" customHeight="1" x14ac:dyDescent="0.2">
      <c r="A214" s="135" t="str">
        <f>A24</f>
        <v>Roseau County</v>
      </c>
      <c r="B214" s="51">
        <f>VLOOKUP($A24,'Template IF 2'!$B$3:$HH$112,141,FALSE)</f>
        <v>668</v>
      </c>
      <c r="C214" s="51">
        <f>VLOOKUP($A24,'Template IF 2'!$B$3:$HH$112,142,FALSE)</f>
        <v>700</v>
      </c>
      <c r="D214" s="51">
        <f>VLOOKUP($A24,'Template IF 2'!$B$3:$HH$112,143,FALSE)</f>
        <v>680</v>
      </c>
      <c r="E214" s="51">
        <f>VLOOKUP($A24,'Template IF 2'!$B$3:$HH$112,144,FALSE)</f>
        <v>633</v>
      </c>
      <c r="G214" s="32"/>
      <c r="H214" s="51">
        <f>VLOOKUP($A24,'Template IF 2'!$B$3:$HH$112,211,FALSE)</f>
        <v>126</v>
      </c>
      <c r="I214" s="51">
        <f>VLOOKUP($A24,'Template IF 2'!$B$3:$HH$112,212,FALSE)</f>
        <v>0</v>
      </c>
      <c r="J214" s="51">
        <f>VLOOKUP($A24,'Template IF 2'!$B$3:$HH$112,213,FALSE)</f>
        <v>2</v>
      </c>
      <c r="K214" s="51">
        <f>VLOOKUP($A24,'Template IF 2'!$B$3:$HH$112,214,FALSE)</f>
        <v>2</v>
      </c>
      <c r="L214" s="51">
        <f>VLOOKUP($A24,'Template IF 2'!$B$3:$HH$112,215,FALSE)</f>
        <v>0</v>
      </c>
      <c r="N214"/>
      <c r="O214"/>
    </row>
    <row r="215" spans="1:24" ht="14.1" customHeight="1" x14ac:dyDescent="0.2">
      <c r="A215" s="134" t="str">
        <f>A26</f>
        <v>CHB - Kitt, Marsh, Penn, Red Lake and Roseau</v>
      </c>
      <c r="B215" s="47">
        <f>VLOOKUP($A26,'Template IF 2'!$B$3:$HH$112,141,FALSE)</f>
        <v>2737</v>
      </c>
      <c r="C215" s="47">
        <f>VLOOKUP($A26,'Template IF 2'!$B$3:$HH$112,142,FALSE)</f>
        <v>2632</v>
      </c>
      <c r="D215" s="47">
        <f>VLOOKUP($A26,'Template IF 2'!$B$3:$HH$112,143,FALSE)</f>
        <v>2433</v>
      </c>
      <c r="E215" s="47">
        <f>VLOOKUP($A26,'Template IF 2'!$B$3:$HH$112,144,FALSE)</f>
        <v>2273</v>
      </c>
      <c r="F215" s="61"/>
      <c r="G215" s="63"/>
      <c r="H215" s="47">
        <f>VLOOKUP($A26,'Template IF 2'!$B$3:$HH$112,211,FALSE)</f>
        <v>427</v>
      </c>
      <c r="I215" s="47">
        <f>VLOOKUP($A26,'Template IF 2'!$B$3:$HH$112,212,FALSE)</f>
        <v>1</v>
      </c>
      <c r="J215" s="47">
        <f>VLOOKUP($A26,'Template IF 2'!$B$3:$HH$112,213,FALSE)</f>
        <v>6</v>
      </c>
      <c r="K215" s="47">
        <f>VLOOKUP($A26,'Template IF 2'!$B$3:$HH$112,214,FALSE)</f>
        <v>4</v>
      </c>
      <c r="L215" s="47">
        <f>VLOOKUP($A26,'Template IF 2'!$B$3:$HH$112,215,FALSE)</f>
        <v>1</v>
      </c>
      <c r="N215"/>
      <c r="O215"/>
    </row>
    <row r="216" spans="1:24" x14ac:dyDescent="0.2">
      <c r="A216" s="135"/>
      <c r="B216" s="54"/>
      <c r="C216" s="54"/>
      <c r="D216" s="56"/>
      <c r="E216" s="56"/>
      <c r="F216" s="54"/>
      <c r="G216" s="32"/>
      <c r="H216" s="51"/>
      <c r="I216" s="51"/>
      <c r="J216" s="51"/>
      <c r="K216" s="51"/>
      <c r="L216" s="51"/>
      <c r="N216"/>
      <c r="O216"/>
    </row>
    <row r="217" spans="1:24" x14ac:dyDescent="0.2">
      <c r="A217" s="135"/>
      <c r="B217" s="33"/>
      <c r="C217" s="33"/>
      <c r="D217" s="33"/>
      <c r="E217" s="33"/>
      <c r="F217" s="50"/>
      <c r="G217" s="32"/>
      <c r="H217" s="32"/>
      <c r="I217" s="32"/>
      <c r="J217" s="32"/>
      <c r="K217" s="32"/>
      <c r="L217" s="32"/>
      <c r="N217"/>
      <c r="O217"/>
    </row>
    <row r="218" spans="1:24" x14ac:dyDescent="0.2">
      <c r="A218" s="135"/>
      <c r="B218" s="163" t="s">
        <v>62</v>
      </c>
      <c r="C218" s="163"/>
      <c r="D218" s="163"/>
      <c r="E218" s="163"/>
      <c r="F218" s="75"/>
      <c r="G218" s="32"/>
      <c r="H218" s="163" t="s">
        <v>167</v>
      </c>
      <c r="I218" s="163"/>
      <c r="J218" s="163"/>
      <c r="K218" s="163"/>
      <c r="L218" s="75"/>
      <c r="N218"/>
      <c r="O218"/>
    </row>
    <row r="219" spans="1:24" x14ac:dyDescent="0.2">
      <c r="A219" s="134"/>
      <c r="B219" s="63" t="s">
        <v>271</v>
      </c>
      <c r="C219" s="63" t="s">
        <v>272</v>
      </c>
      <c r="D219" s="63" t="s">
        <v>273</v>
      </c>
      <c r="E219" s="63" t="s">
        <v>274</v>
      </c>
      <c r="F219" s="63"/>
      <c r="G219" s="63"/>
      <c r="H219" s="63" t="s">
        <v>271</v>
      </c>
      <c r="I219" s="63" t="s">
        <v>272</v>
      </c>
      <c r="J219" s="63" t="s">
        <v>273</v>
      </c>
      <c r="K219" s="63" t="s">
        <v>274</v>
      </c>
      <c r="N219"/>
      <c r="O219"/>
    </row>
    <row r="220" spans="1:24" ht="14.1" customHeight="1" x14ac:dyDescent="0.2">
      <c r="A220" s="135" t="s">
        <v>32</v>
      </c>
      <c r="B220" s="34">
        <f>'Template IF 2'!EV3</f>
        <v>812.9</v>
      </c>
      <c r="C220" s="34">
        <f>'Template IF 2'!EW3</f>
        <v>783.1</v>
      </c>
      <c r="D220" s="34">
        <f>'Template IF 2'!EX3</f>
        <v>714</v>
      </c>
      <c r="E220" s="34">
        <f>'Template IF 2'!EY3</f>
        <v>663.2</v>
      </c>
      <c r="G220" s="32"/>
      <c r="H220" s="34">
        <f>'Template IF 2'!EQ3</f>
        <v>797.64978992262672</v>
      </c>
      <c r="I220" s="34">
        <f>'Template IF 2'!ER3</f>
        <v>788.02500265846504</v>
      </c>
      <c r="J220" s="34">
        <f>'Template IF 2'!ES3</f>
        <v>743.37717172133227</v>
      </c>
      <c r="K220" s="34">
        <f>'Template IF 2'!ET3</f>
        <v>723.13577990869442</v>
      </c>
      <c r="N220"/>
      <c r="O220"/>
    </row>
    <row r="221" spans="1:24" ht="14.1" customHeight="1" x14ac:dyDescent="0.2">
      <c r="A221" s="135" t="str">
        <f>A16</f>
        <v>Kittson County</v>
      </c>
      <c r="B221" s="34">
        <f>VLOOKUP($A16,'Template IF 2'!$B$3:$HH$112,151,FALSE)</f>
        <v>940.39683573000002</v>
      </c>
      <c r="C221" s="34">
        <f>VLOOKUP($A16,'Template IF 2'!$B$3:$HH$112,152,FALSE)</f>
        <v>853.85912200999996</v>
      </c>
      <c r="D221" s="34">
        <f>VLOOKUP($A16,'Template IF 2'!$B$3:$HH$112,153,FALSE)</f>
        <v>777.74997570000005</v>
      </c>
      <c r="E221" s="34">
        <f>VLOOKUP($A16,'Template IF 2'!$B$3:$HH$112,154,FALSE)</f>
        <v>763.05286371</v>
      </c>
      <c r="G221" s="32"/>
      <c r="H221" s="34">
        <f>VLOOKUP($A16,'Template IF 2'!$B$3:$HH$112,146,FALSE)</f>
        <v>1577.8880023003378</v>
      </c>
      <c r="I221" s="34">
        <f>VLOOKUP($A16,'Template IF 2'!$B$3:$HH$112,147,FALSE)</f>
        <v>1460.8983771979367</v>
      </c>
      <c r="J221" s="34">
        <f>VLOOKUP($A16,'Template IF 2'!$B$3:$HH$112,148,FALSE)</f>
        <v>1455.3517436000807</v>
      </c>
      <c r="K221" s="34">
        <f>VLOOKUP($A16,'Template IF 2'!$B$3:$HH$112,149,FALSE)</f>
        <v>1576.3372298972724</v>
      </c>
      <c r="M221" s="64"/>
      <c r="N221"/>
      <c r="O221"/>
      <c r="P221" s="64"/>
      <c r="Q221" s="64"/>
      <c r="S221" s="64"/>
      <c r="T221" s="64"/>
      <c r="U221" s="64"/>
      <c r="V221" s="64"/>
      <c r="X221" s="64"/>
    </row>
    <row r="222" spans="1:24" ht="14.1" customHeight="1" x14ac:dyDescent="0.2">
      <c r="A222" s="135" t="str">
        <f>A18</f>
        <v>Marshall County</v>
      </c>
      <c r="B222" s="34">
        <f>VLOOKUP($A18,'Template IF 2'!$B$3:$HH$112,151,FALSE)</f>
        <v>808.49054627999999</v>
      </c>
      <c r="C222" s="34">
        <f>VLOOKUP($A18,'Template IF 2'!$B$3:$HH$112,152,FALSE)</f>
        <v>761.48681292999902</v>
      </c>
      <c r="D222" s="34">
        <f>VLOOKUP($A18,'Template IF 2'!$B$3:$HH$112,153,FALSE)</f>
        <v>596.18488190000005</v>
      </c>
      <c r="E222" s="34">
        <f>VLOOKUP($A18,'Template IF 2'!$B$3:$HH$112,154,FALSE)</f>
        <v>554.48497153000005</v>
      </c>
      <c r="G222" s="32"/>
      <c r="H222" s="34">
        <f>VLOOKUP($A18,'Template IF 2'!$B$3:$HH$112,146,FALSE)</f>
        <v>1096.5363672086974</v>
      </c>
      <c r="I222" s="34">
        <f>VLOOKUP($A18,'Template IF 2'!$B$3:$HH$112,147,FALSE)</f>
        <v>1066.7957405614713</v>
      </c>
      <c r="J222" s="34">
        <f>VLOOKUP($A18,'Template IF 2'!$B$3:$HH$112,148,FALSE)</f>
        <v>892.66012717899343</v>
      </c>
      <c r="K222" s="34">
        <f>VLOOKUP($A18,'Template IF 2'!$B$3:$HH$112,149,FALSE)</f>
        <v>903.6776114395941</v>
      </c>
      <c r="M222" s="64"/>
      <c r="N222"/>
      <c r="O222"/>
      <c r="P222" s="64"/>
      <c r="Q222" s="64"/>
      <c r="S222" s="64"/>
      <c r="T222" s="64"/>
      <c r="U222" s="64"/>
      <c r="X222" s="64"/>
    </row>
    <row r="223" spans="1:24" ht="14.1" customHeight="1" x14ac:dyDescent="0.2">
      <c r="A223" s="135" t="str">
        <f>A20</f>
        <v>Pennington County</v>
      </c>
      <c r="B223" s="34">
        <f>VLOOKUP($A20,'Template IF 2'!$B$3:$HH$112,151,FALSE)</f>
        <v>831.42814231</v>
      </c>
      <c r="C223" s="34">
        <f>VLOOKUP($A20,'Template IF 2'!$B$3:$HH$112,152,FALSE)</f>
        <v>798.32304431</v>
      </c>
      <c r="D223" s="34">
        <f>VLOOKUP($A20,'Template IF 2'!$B$3:$HH$112,153,FALSE)</f>
        <v>782.63643350999996</v>
      </c>
      <c r="E223" s="34">
        <f>VLOOKUP($A20,'Template IF 2'!$B$3:$HH$112,154,FALSE)</f>
        <v>677.88781840000001</v>
      </c>
      <c r="G223" s="32"/>
      <c r="H223" s="34">
        <f>VLOOKUP($A20,'Template IF 2'!$B$3:$HH$112,146,FALSE)</f>
        <v>1128.088814611436</v>
      </c>
      <c r="I223" s="34">
        <f>VLOOKUP($A20,'Template IF 2'!$B$3:$HH$112,147,FALSE)</f>
        <v>1097.1185890819004</v>
      </c>
      <c r="J223" s="34">
        <f>VLOOKUP($A20,'Template IF 2'!$B$3:$HH$112,148,FALSE)</f>
        <v>1062.7919351977769</v>
      </c>
      <c r="K223" s="34">
        <f>VLOOKUP($A20,'Template IF 2'!$B$3:$HH$112,149,FALSE)</f>
        <v>940.79786617186596</v>
      </c>
      <c r="N223"/>
      <c r="O223"/>
    </row>
    <row r="224" spans="1:24" ht="14.1" customHeight="1" x14ac:dyDescent="0.2">
      <c r="A224" s="135" t="str">
        <f>A22</f>
        <v>Red Lake County</v>
      </c>
      <c r="B224" s="34">
        <f>VLOOKUP($A22,'Template IF 2'!$B$3:$HH$112,151,FALSE)</f>
        <v>941.11569053000005</v>
      </c>
      <c r="C224" s="34">
        <f>VLOOKUP($A22,'Template IF 2'!$B$3:$HH$112,152,FALSE)</f>
        <v>837.59479297999997</v>
      </c>
      <c r="D224" s="34">
        <f>VLOOKUP($A22,'Template IF 2'!$B$3:$HH$112,153,FALSE)</f>
        <v>704.94585920999998</v>
      </c>
      <c r="E224" s="34">
        <f>VLOOKUP($A22,'Template IF 2'!$B$3:$HH$112,154,FALSE)</f>
        <v>696.42285402000005</v>
      </c>
      <c r="G224" s="32"/>
      <c r="H224" s="34">
        <f>VLOOKUP($A22,'Template IF 2'!$B$3:$HH$112,146,FALSE)</f>
        <v>1298.9355944434421</v>
      </c>
      <c r="I224" s="34">
        <f>VLOOKUP($A22,'Template IF 2'!$B$3:$HH$112,147,FALSE)</f>
        <v>1160.4604557953116</v>
      </c>
      <c r="J224" s="34">
        <f>VLOOKUP($A22,'Template IF 2'!$B$3:$HH$112,148,FALSE)</f>
        <v>1057.759220598469</v>
      </c>
      <c r="K224" s="34">
        <f>VLOOKUP($A22,'Template IF 2'!$B$3:$HH$112,149,FALSE)</f>
        <v>988.75533152384651</v>
      </c>
      <c r="N224"/>
      <c r="O224"/>
    </row>
    <row r="225" spans="1:15" ht="14.1" customHeight="1" x14ac:dyDescent="0.2">
      <c r="A225" s="135" t="str">
        <f>A24</f>
        <v>Roseau County</v>
      </c>
      <c r="B225" s="34">
        <f>VLOOKUP($A24,'Template IF 2'!$B$3:$HH$112,151,FALSE)</f>
        <v>821.33465519000003</v>
      </c>
      <c r="C225" s="34">
        <f>VLOOKUP($A24,'Template IF 2'!$B$3:$HH$112,152,FALSE)</f>
        <v>826.74325850000002</v>
      </c>
      <c r="D225" s="34">
        <f>VLOOKUP($A24,'Template IF 2'!$B$3:$HH$112,153,FALSE)</f>
        <v>731.35486651999997</v>
      </c>
      <c r="E225" s="34">
        <f>VLOOKUP($A24,'Template IF 2'!$B$3:$HH$112,154,FALSE)</f>
        <v>685.89557726999897</v>
      </c>
      <c r="G225" s="32"/>
      <c r="H225" s="34">
        <f>VLOOKUP($A24,'Template IF 2'!$B$3:$HH$112,146,FALSE)</f>
        <v>855.16040658524719</v>
      </c>
      <c r="I225" s="34">
        <f>VLOOKUP($A24,'Template IF 2'!$B$3:$HH$112,147,FALSE)</f>
        <v>863.55785837651126</v>
      </c>
      <c r="J225" s="34">
        <f>VLOOKUP($A24,'Template IF 2'!$B$3:$HH$112,148,FALSE)</f>
        <v>833.44568508009661</v>
      </c>
      <c r="K225" s="34">
        <f>VLOOKUP($A24,'Template IF 2'!$B$3:$HH$112,149,FALSE)</f>
        <v>795.70595333869665</v>
      </c>
      <c r="N225"/>
      <c r="O225"/>
    </row>
    <row r="226" spans="1:15" ht="14.1" customHeight="1" x14ac:dyDescent="0.2">
      <c r="A226" s="134" t="str">
        <f>A26</f>
        <v>CHB - Kitt, Marsh, Penn, Red Lake and Roseau</v>
      </c>
      <c r="B226" s="36">
        <f>VLOOKUP($A26,'Template IF 2'!$B$3:$HH$112,151,FALSE)</f>
        <v>851.221</v>
      </c>
      <c r="C226" s="36">
        <f>VLOOKUP($A26,'Template IF 2'!$B$3:$HH$112,152,FALSE)</f>
        <v>822.65899999999999</v>
      </c>
      <c r="D226" s="36">
        <f>VLOOKUP($A26,'Template IF 2'!$B$3:$HH$112,153,FALSE)</f>
        <v>713.28199999999993</v>
      </c>
      <c r="E226" s="36">
        <f>VLOOKUP($A26,'Template IF 2'!$B$3:$HH$112,154,FALSE)</f>
        <v>660.298</v>
      </c>
      <c r="F226" s="61"/>
      <c r="G226" s="63"/>
      <c r="H226" s="36">
        <f>VLOOKUP($A26,'Template IF 2'!$B$3:$HH$112,146,FALSE)</f>
        <v>1101.1204312755215</v>
      </c>
      <c r="I226" s="36">
        <f>VLOOKUP($A26,'Template IF 2'!$B$3:$HH$112,147,FALSE)</f>
        <v>1058.9844693007162</v>
      </c>
      <c r="J226" s="36">
        <f>VLOOKUP($A26,'Template IF 2'!$B$3:$HH$112,148,FALSE)</f>
        <v>991.23250167038771</v>
      </c>
      <c r="K226" s="36">
        <f>VLOOKUP($A26,'Template IF 2'!$B$3:$HH$112,149,FALSE)</f>
        <v>949.27457547839595</v>
      </c>
      <c r="N226"/>
      <c r="O226"/>
    </row>
    <row r="227" spans="1:15" x14ac:dyDescent="0.2">
      <c r="A227" s="145"/>
      <c r="B227" s="57"/>
      <c r="C227" s="57"/>
      <c r="D227" s="57"/>
      <c r="E227" s="57"/>
      <c r="F227" s="57"/>
      <c r="G227" s="32"/>
      <c r="H227" s="32"/>
      <c r="I227" s="32"/>
      <c r="J227" s="32"/>
      <c r="K227" s="32"/>
      <c r="L227" s="32"/>
      <c r="N227"/>
      <c r="O227"/>
    </row>
    <row r="228" spans="1:15" x14ac:dyDescent="0.2">
      <c r="A228" s="135"/>
      <c r="B228" s="163" t="s">
        <v>59</v>
      </c>
      <c r="C228" s="163"/>
      <c r="D228" s="163"/>
      <c r="E228" s="163"/>
      <c r="F228" s="75"/>
      <c r="G228" s="32"/>
      <c r="H228" s="163" t="s">
        <v>60</v>
      </c>
      <c r="I228" s="163"/>
      <c r="J228" s="163"/>
      <c r="K228" s="163"/>
      <c r="L228" s="75"/>
      <c r="N228"/>
      <c r="O228"/>
    </row>
    <row r="229" spans="1:15" x14ac:dyDescent="0.2">
      <c r="A229" s="134"/>
      <c r="B229" s="63" t="s">
        <v>271</v>
      </c>
      <c r="C229" s="63" t="s">
        <v>272</v>
      </c>
      <c r="D229" s="63" t="s">
        <v>273</v>
      </c>
      <c r="E229" s="63" t="s">
        <v>274</v>
      </c>
      <c r="F229" s="63"/>
      <c r="G229" s="63"/>
      <c r="H229" s="63" t="s">
        <v>271</v>
      </c>
      <c r="I229" s="63" t="s">
        <v>272</v>
      </c>
      <c r="J229" s="63" t="s">
        <v>273</v>
      </c>
      <c r="K229" s="63" t="s">
        <v>274</v>
      </c>
      <c r="L229" s="50"/>
      <c r="N229"/>
      <c r="O229"/>
    </row>
    <row r="230" spans="1:15" ht="14.1" customHeight="1" x14ac:dyDescent="0.2">
      <c r="A230" s="135" t="s">
        <v>32</v>
      </c>
      <c r="B230" s="34">
        <f>'Template IF 2'!GO3</f>
        <v>1038.22740039</v>
      </c>
      <c r="C230" s="34">
        <f>'Template IF 2'!GP3</f>
        <v>967.66828755999995</v>
      </c>
      <c r="D230" s="34">
        <f>'Template IF 2'!GQ3</f>
        <v>861.84129031999998</v>
      </c>
      <c r="E230" s="34">
        <f>'Template IF 2'!GR3</f>
        <v>794.56009222</v>
      </c>
      <c r="G230" s="32"/>
      <c r="H230" s="34">
        <f>'Template IF 2'!GT3</f>
        <v>655.28405958999997</v>
      </c>
      <c r="I230" s="34">
        <f>'Template IF 2'!GU3</f>
        <v>649.86770246000003</v>
      </c>
      <c r="J230" s="34">
        <f>'Template IF 2'!GV3</f>
        <v>602.26322567</v>
      </c>
      <c r="K230" s="34">
        <f>'Template IF 2'!GW3</f>
        <v>561.84478101000002</v>
      </c>
      <c r="N230"/>
      <c r="O230"/>
    </row>
    <row r="231" spans="1:15" ht="14.1" customHeight="1" x14ac:dyDescent="0.2">
      <c r="A231" s="135" t="str">
        <f>A16</f>
        <v>Kittson County</v>
      </c>
      <c r="B231" s="34">
        <f>VLOOKUP($A16,'Template IF 2'!$B$3:$HH$112,196,FALSE)</f>
        <v>1162.7535175800001</v>
      </c>
      <c r="C231" s="34">
        <f>VLOOKUP($A16,'Template IF 2'!$B$3:$HH$112,197,FALSE)</f>
        <v>993.39264423999998</v>
      </c>
      <c r="D231" s="34">
        <f>VLOOKUP($A16,'Template IF 2'!$B$3:$HH$112,198,FALSE)</f>
        <v>985.86539095000001</v>
      </c>
      <c r="E231" s="34">
        <f>VLOOKUP($A16,'Template IF 2'!$B$3:$HH$112,199,FALSE)</f>
        <v>1025.6201595800001</v>
      </c>
      <c r="G231" s="32"/>
      <c r="H231" s="34">
        <f>VLOOKUP($A16,'Template IF 2'!$B$3:$HH$112,201,FALSE)</f>
        <v>757.01394631999995</v>
      </c>
      <c r="I231" s="34">
        <f>VLOOKUP($A16,'Template IF 2'!$B$3:$HH$112,202,FALSE)</f>
        <v>735.22729362999996</v>
      </c>
      <c r="J231" s="34">
        <f>VLOOKUP($A16,'Template IF 2'!$B$3:$HH$112,203,FALSE)</f>
        <v>602.58013758000004</v>
      </c>
      <c r="K231" s="34">
        <f>VLOOKUP($A16,'Template IF 2'!$B$3:$HH$112,204,FALSE)</f>
        <v>553.11228007</v>
      </c>
      <c r="N231"/>
      <c r="O231"/>
    </row>
    <row r="232" spans="1:15" ht="14.1" customHeight="1" x14ac:dyDescent="0.2">
      <c r="A232" s="135" t="str">
        <f>A18</f>
        <v>Marshall County</v>
      </c>
      <c r="B232" s="34">
        <f>VLOOKUP($A18,'Template IF 2'!$B$3:$HH$112,196,FALSE)</f>
        <v>1014.64447507</v>
      </c>
      <c r="C232" s="34">
        <f>VLOOKUP($A18,'Template IF 2'!$B$3:$HH$112,197,FALSE)</f>
        <v>934.13334197999995</v>
      </c>
      <c r="D232" s="34">
        <f>VLOOKUP($A18,'Template IF 2'!$B$3:$HH$112,198,FALSE)</f>
        <v>755.16392572999996</v>
      </c>
      <c r="E232" s="34">
        <f>VLOOKUP($A18,'Template IF 2'!$B$3:$HH$112,199,FALSE)</f>
        <v>728.08423589999995</v>
      </c>
      <c r="G232" s="32"/>
      <c r="H232" s="34">
        <f>VLOOKUP($A18,'Template IF 2'!$B$3:$HH$112,201,FALSE)</f>
        <v>629.35662019999995</v>
      </c>
      <c r="I232" s="34">
        <f>VLOOKUP($A18,'Template IF 2'!$B$3:$HH$112,202,FALSE)</f>
        <v>592.51920013999995</v>
      </c>
      <c r="J232" s="34">
        <f>VLOOKUP($A18,'Template IF 2'!$B$3:$HH$112,203,FALSE)</f>
        <v>459.06094869999998</v>
      </c>
      <c r="K232" s="34">
        <f>VLOOKUP($A18,'Template IF 2'!$B$3:$HH$112,204,FALSE)</f>
        <v>407.20727340000002</v>
      </c>
      <c r="N232"/>
      <c r="O232"/>
    </row>
    <row r="233" spans="1:15" ht="14.1" customHeight="1" x14ac:dyDescent="0.2">
      <c r="A233" s="135" t="str">
        <f>A20</f>
        <v>Pennington County</v>
      </c>
      <c r="B233" s="34">
        <f>VLOOKUP($A20,'Template IF 2'!$B$3:$HH$112,196,FALSE)</f>
        <v>1070.12642852</v>
      </c>
      <c r="C233" s="34">
        <f>VLOOKUP($A20,'Template IF 2'!$B$3:$HH$112,197,FALSE)</f>
        <v>988.23685773</v>
      </c>
      <c r="D233" s="34">
        <f>VLOOKUP($A20,'Template IF 2'!$B$3:$HH$112,198,FALSE)</f>
        <v>1003.76308052</v>
      </c>
      <c r="E233" s="34">
        <f>VLOOKUP($A20,'Template IF 2'!$B$3:$HH$112,199,FALSE)</f>
        <v>822.63338175000001</v>
      </c>
      <c r="G233" s="32"/>
      <c r="H233" s="34">
        <f>VLOOKUP($A20,'Template IF 2'!$B$3:$HH$112,201,FALSE)</f>
        <v>645.76029779999999</v>
      </c>
      <c r="I233" s="34">
        <f>VLOOKUP($A20,'Template IF 2'!$B$3:$HH$112,202,FALSE)</f>
        <v>651.74648308999997</v>
      </c>
      <c r="J233" s="34">
        <f>VLOOKUP($A20,'Template IF 2'!$B$3:$HH$112,203,FALSE)</f>
        <v>618.63252164999994</v>
      </c>
      <c r="K233" s="34">
        <f>VLOOKUP($A20,'Template IF 2'!$B$3:$HH$112,204,FALSE)</f>
        <v>573.46304080000004</v>
      </c>
      <c r="N233"/>
      <c r="O233"/>
    </row>
    <row r="234" spans="1:15" ht="14.1" customHeight="1" x14ac:dyDescent="0.2">
      <c r="A234" s="135" t="str">
        <f>A22</f>
        <v>Red Lake County</v>
      </c>
      <c r="B234" s="34">
        <f>VLOOKUP($A22,'Template IF 2'!$B$3:$HH$112,196,FALSE)</f>
        <v>1236.6264234800001</v>
      </c>
      <c r="C234" s="34">
        <f>VLOOKUP($A22,'Template IF 2'!$B$3:$HH$112,197,FALSE)</f>
        <v>1032.35755477</v>
      </c>
      <c r="D234" s="34">
        <f>VLOOKUP($A22,'Template IF 2'!$B$3:$HH$112,198,FALSE)</f>
        <v>879.03833402999999</v>
      </c>
      <c r="E234" s="34">
        <f>VLOOKUP($A22,'Template IF 2'!$B$3:$HH$112,199,FALSE)</f>
        <v>943.22667952999996</v>
      </c>
      <c r="G234" s="32"/>
      <c r="H234" s="34">
        <f>VLOOKUP($A22,'Template IF 2'!$B$3:$HH$112,201,FALSE)</f>
        <v>693.25162542999999</v>
      </c>
      <c r="I234" s="34">
        <f>VLOOKUP($A22,'Template IF 2'!$B$3:$HH$112,202,FALSE)</f>
        <v>646.32814665000001</v>
      </c>
      <c r="J234" s="34">
        <f>VLOOKUP($A22,'Template IF 2'!$B$3:$HH$112,203,FALSE)</f>
        <v>555.98374791000003</v>
      </c>
      <c r="K234" s="34">
        <f>VLOOKUP($A22,'Template IF 2'!$B$3:$HH$112,204,FALSE)</f>
        <v>519.72651966000001</v>
      </c>
      <c r="N234"/>
      <c r="O234"/>
    </row>
    <row r="235" spans="1:15" ht="14.1" customHeight="1" x14ac:dyDescent="0.2">
      <c r="A235" s="135" t="str">
        <f>A24</f>
        <v>Roseau County</v>
      </c>
      <c r="B235" s="34">
        <f>VLOOKUP($A24,'Template IF 2'!$B$3:$HH$112,196,FALSE)</f>
        <v>1015.80508688</v>
      </c>
      <c r="C235" s="34">
        <f>VLOOKUP($A24,'Template IF 2'!$B$3:$HH$112,197,FALSE)</f>
        <v>973.31877919999999</v>
      </c>
      <c r="D235" s="34">
        <f>VLOOKUP($A24,'Template IF 2'!$B$3:$HH$112,198,FALSE)</f>
        <v>936.23721492000004</v>
      </c>
      <c r="E235" s="34">
        <f>VLOOKUP($A24,'Template IF 2'!$B$3:$HH$112,199,FALSE)</f>
        <v>820.77924539000003</v>
      </c>
      <c r="G235" s="32"/>
      <c r="H235" s="34">
        <f>VLOOKUP($A24,'Template IF 2'!$B$3:$HH$112,201,FALSE)</f>
        <v>658.65897938000001</v>
      </c>
      <c r="I235" s="34">
        <f>VLOOKUP($A24,'Template IF 2'!$B$3:$HH$112,202,FALSE)</f>
        <v>682.10184369000001</v>
      </c>
      <c r="J235" s="34">
        <f>VLOOKUP($A24,'Template IF 2'!$B$3:$HH$112,203,FALSE)</f>
        <v>561.82293325000001</v>
      </c>
      <c r="K235" s="34">
        <f>VLOOKUP($A24,'Template IF 2'!$B$3:$HH$112,204,FALSE)</f>
        <v>562.04032084000005</v>
      </c>
      <c r="N235"/>
      <c r="O235"/>
    </row>
    <row r="236" spans="1:15" ht="14.1" customHeight="1" x14ac:dyDescent="0.2">
      <c r="A236" s="134" t="str">
        <f>A26</f>
        <v>CHB - Kitt, Marsh, Penn, Red Lake and Roseau</v>
      </c>
      <c r="B236" s="36">
        <f>VLOOKUP($A26,'Template IF 2'!$B$3:$HH$112,196,FALSE)</f>
        <v>1075.2660000000001</v>
      </c>
      <c r="C236" s="36">
        <f>VLOOKUP($A26,'Template IF 2'!$B$3:$HH$112,197,FALSE)</f>
        <v>986.58799999999997</v>
      </c>
      <c r="D236" s="36">
        <f>VLOOKUP($A26,'Template IF 2'!$B$3:$HH$112,198,FALSE)</f>
        <v>896.54399999999998</v>
      </c>
      <c r="E236" s="36">
        <f>VLOOKUP($A26,'Template IF 2'!$B$3:$HH$112,199,FALSE)</f>
        <v>824.404</v>
      </c>
      <c r="F236" s="61"/>
      <c r="G236" s="63"/>
      <c r="H236" s="36">
        <f>VLOOKUP($A26,'Template IF 2'!$B$3:$HH$112,201,FALSE)</f>
        <v>667.77199999999993</v>
      </c>
      <c r="I236" s="36">
        <f>VLOOKUP($A26,'Template IF 2'!$B$3:$HH$112,202,FALSE)</f>
        <v>670.87299999999993</v>
      </c>
      <c r="J236" s="36">
        <f>VLOOKUP($A26,'Template IF 2'!$B$3:$HH$112,203,FALSE)</f>
        <v>559.83400000000006</v>
      </c>
      <c r="K236" s="36">
        <f>VLOOKUP($A26,'Template IF 2'!$B$3:$HH$112,204,FALSE)</f>
        <v>524.077</v>
      </c>
      <c r="N236"/>
      <c r="O236"/>
    </row>
    <row r="237" spans="1:15" x14ac:dyDescent="0.2">
      <c r="A237" s="146" t="s">
        <v>246</v>
      </c>
      <c r="B237" s="34"/>
      <c r="C237" s="34"/>
      <c r="D237" s="34"/>
      <c r="E237" s="34"/>
      <c r="F237" s="39"/>
      <c r="G237" s="50"/>
      <c r="H237" s="34"/>
      <c r="I237" s="34"/>
      <c r="J237" s="34"/>
      <c r="K237" s="34"/>
      <c r="L237" s="39"/>
      <c r="N237"/>
      <c r="O237"/>
    </row>
    <row r="238" spans="1:15" ht="18.75" x14ac:dyDescent="0.25">
      <c r="A238" s="165" t="s">
        <v>238</v>
      </c>
      <c r="B238" s="165"/>
      <c r="C238" s="165"/>
      <c r="D238" s="165"/>
      <c r="E238" s="165"/>
      <c r="F238" s="165"/>
      <c r="G238" s="165"/>
      <c r="H238" s="165"/>
      <c r="I238" s="165"/>
      <c r="J238" s="165"/>
      <c r="K238" s="165"/>
      <c r="L238" s="165"/>
      <c r="N238"/>
      <c r="O238"/>
    </row>
    <row r="239" spans="1:15" x14ac:dyDescent="0.2">
      <c r="A239" s="30"/>
      <c r="B239" s="163" t="s">
        <v>55</v>
      </c>
      <c r="C239" s="163"/>
      <c r="D239" s="163"/>
      <c r="E239" s="163"/>
      <c r="F239" s="75"/>
      <c r="G239" s="32"/>
      <c r="H239" s="163" t="s">
        <v>164</v>
      </c>
      <c r="I239" s="163"/>
      <c r="J239" s="163"/>
      <c r="K239" s="163"/>
      <c r="L239" s="75"/>
      <c r="N239"/>
      <c r="O239"/>
    </row>
    <row r="240" spans="1:15" x14ac:dyDescent="0.2">
      <c r="A240" s="28"/>
      <c r="B240" s="63" t="s">
        <v>271</v>
      </c>
      <c r="C240" s="63" t="s">
        <v>272</v>
      </c>
      <c r="D240" s="63" t="s">
        <v>273</v>
      </c>
      <c r="E240" s="63" t="s">
        <v>274</v>
      </c>
      <c r="F240" s="63"/>
      <c r="G240" s="63"/>
      <c r="H240" s="63" t="s">
        <v>271</v>
      </c>
      <c r="I240" s="63" t="s">
        <v>272</v>
      </c>
      <c r="J240" s="63" t="s">
        <v>273</v>
      </c>
      <c r="K240" s="63" t="s">
        <v>274</v>
      </c>
      <c r="L240" s="50"/>
      <c r="N240"/>
      <c r="O240"/>
    </row>
    <row r="241" spans="1:24" ht="14.1" customHeight="1" x14ac:dyDescent="0.2">
      <c r="A241" s="135" t="s">
        <v>32</v>
      </c>
      <c r="B241" s="33">
        <f>'Template IF 2'!FA3</f>
        <v>51979</v>
      </c>
      <c r="C241" s="33">
        <f>'Template IF 2'!FB3</f>
        <v>47283</v>
      </c>
      <c r="D241" s="33">
        <f>'Template IF 2'!FC3</f>
        <v>41236</v>
      </c>
      <c r="E241" s="33">
        <f>'Template IF 2'!FD3</f>
        <v>36893</v>
      </c>
      <c r="G241" s="32"/>
      <c r="H241" s="34">
        <f>'Template IF 2'!FU3</f>
        <v>234.16935484999999</v>
      </c>
      <c r="I241" s="34">
        <f>'Template IF 2'!FV3</f>
        <v>196.37519061</v>
      </c>
      <c r="J241" s="34">
        <f>'Template IF 2'!FW3</f>
        <v>154.11566668</v>
      </c>
      <c r="K241" s="34">
        <f>'Template IF 2'!FX3</f>
        <v>126.55212321</v>
      </c>
      <c r="N241"/>
      <c r="O241"/>
    </row>
    <row r="242" spans="1:24" ht="14.1" customHeight="1" x14ac:dyDescent="0.2">
      <c r="A242" s="135" t="str">
        <f>A16</f>
        <v>Kittson County</v>
      </c>
      <c r="B242" s="33">
        <f>VLOOKUP($A16,'Template IF 2'!$B$3:$HH$112,156,FALSE)</f>
        <v>171</v>
      </c>
      <c r="C242" s="33">
        <f>VLOOKUP($A16,'Template IF 2'!$B$3:$HH$112,157,FALSE)</f>
        <v>139</v>
      </c>
      <c r="D242" s="33">
        <f>VLOOKUP($A16,'Template IF 2'!$B$3:$HH$112,158,FALSE)</f>
        <v>117</v>
      </c>
      <c r="E242" s="33">
        <f>VLOOKUP($A16,'Template IF 2'!$B$3:$HH$112,159,FALSE)</f>
        <v>90</v>
      </c>
      <c r="G242" s="32"/>
      <c r="H242" s="45">
        <f>VLOOKUP($A16,'Template IF 2'!$B$3:$HH$112,176,FALSE)</f>
        <v>343.63743937999999</v>
      </c>
      <c r="I242" s="45">
        <f>VLOOKUP($A16,'Template IF 2'!$B$3:$HH$112,177,FALSE)</f>
        <v>293.70251374999998</v>
      </c>
      <c r="J242" s="45">
        <f>VLOOKUP($A16,'Template IF 2'!$B$3:$HH$112,178,FALSE)</f>
        <v>224.66623267</v>
      </c>
      <c r="K242" s="45">
        <f>VLOOKUP($A16,'Template IF 2'!$B$3:$HH$112,179,FALSE)</f>
        <v>189.692958769999</v>
      </c>
      <c r="N242"/>
      <c r="O242"/>
    </row>
    <row r="243" spans="1:24" ht="14.1" customHeight="1" x14ac:dyDescent="0.2">
      <c r="A243" s="135" t="str">
        <f>A18</f>
        <v>Marshall County</v>
      </c>
      <c r="B243" s="33">
        <f>VLOOKUP($A18,'Template IF 2'!$B$3:$HH$112,156,FALSE)</f>
        <v>185</v>
      </c>
      <c r="C243" s="33">
        <f>VLOOKUP($A18,'Template IF 2'!$B$3:$HH$112,157,FALSE)</f>
        <v>168</v>
      </c>
      <c r="D243" s="33">
        <f>VLOOKUP($A18,'Template IF 2'!$B$3:$HH$112,158,FALSE)</f>
        <v>133</v>
      </c>
      <c r="E243" s="33">
        <f>VLOOKUP($A18,'Template IF 2'!$B$3:$HH$112,159,FALSE)</f>
        <v>103</v>
      </c>
      <c r="G243" s="32"/>
      <c r="H243" s="45">
        <f>VLOOKUP($A18,'Template IF 2'!$B$3:$HH$112,176,FALSE)</f>
        <v>249.36022116999999</v>
      </c>
      <c r="I243" s="45">
        <f>VLOOKUP($A18,'Template IF 2'!$B$3:$HH$112,177,FALSE)</f>
        <v>223.77079257</v>
      </c>
      <c r="J243" s="45">
        <f>VLOOKUP($A18,'Template IF 2'!$B$3:$HH$112,178,FALSE)</f>
        <v>168.96351165999999</v>
      </c>
      <c r="K243" s="45">
        <f>VLOOKUP($A18,'Template IF 2'!$B$3:$HH$112,179,FALSE)</f>
        <v>124.56592809999999</v>
      </c>
      <c r="N243"/>
      <c r="O243"/>
    </row>
    <row r="244" spans="1:24" ht="14.1" customHeight="1" x14ac:dyDescent="0.2">
      <c r="A244" s="135" t="str">
        <f>A20</f>
        <v>Pennington County</v>
      </c>
      <c r="B244" s="33">
        <f>VLOOKUP($A20,'Template IF 2'!$B$3:$HH$112,156,FALSE)</f>
        <v>204</v>
      </c>
      <c r="C244" s="33">
        <f>VLOOKUP($A20,'Template IF 2'!$B$3:$HH$112,157,FALSE)</f>
        <v>199</v>
      </c>
      <c r="D244" s="33">
        <f>VLOOKUP($A20,'Template IF 2'!$B$3:$HH$112,158,FALSE)</f>
        <v>190</v>
      </c>
      <c r="E244" s="33">
        <f>VLOOKUP($A20,'Template IF 2'!$B$3:$HH$112,159,FALSE)</f>
        <v>139</v>
      </c>
      <c r="G244" s="32"/>
      <c r="H244" s="45">
        <f>VLOOKUP($A20,'Template IF 2'!$B$3:$HH$112,176,FALSE)</f>
        <v>221.31135144000001</v>
      </c>
      <c r="I244" s="45">
        <f>VLOOKUP($A20,'Template IF 2'!$B$3:$HH$112,177,FALSE)</f>
        <v>208.38537338</v>
      </c>
      <c r="J244" s="45">
        <f>VLOOKUP($A20,'Template IF 2'!$B$3:$HH$112,178,FALSE)</f>
        <v>200.20473125999999</v>
      </c>
      <c r="K244" s="45">
        <f>VLOOKUP($A20,'Template IF 2'!$B$3:$HH$112,179,FALSE)</f>
        <v>143.58812497</v>
      </c>
      <c r="N244"/>
      <c r="O244"/>
    </row>
    <row r="245" spans="1:24" ht="14.1" customHeight="1" x14ac:dyDescent="0.2">
      <c r="A245" s="135" t="str">
        <f>A22</f>
        <v>Red Lake County</v>
      </c>
      <c r="B245" s="33">
        <f>VLOOKUP($A22,'Template IF 2'!$B$3:$HH$112,156,FALSE)</f>
        <v>71</v>
      </c>
      <c r="C245" s="33">
        <f>VLOOKUP($A22,'Template IF 2'!$B$3:$HH$112,157,FALSE)</f>
        <v>78</v>
      </c>
      <c r="D245" s="33">
        <f>VLOOKUP($A22,'Template IF 2'!$B$3:$HH$112,158,FALSE)</f>
        <v>59</v>
      </c>
      <c r="E245" s="33">
        <f>VLOOKUP($A22,'Template IF 2'!$B$3:$HH$112,159,FALSE)</f>
        <v>51</v>
      </c>
      <c r="G245" s="32"/>
      <c r="H245" s="45">
        <f>VLOOKUP($A22,'Template IF 2'!$B$3:$HH$112,176,FALSE)</f>
        <v>232.05020772</v>
      </c>
      <c r="I245" s="45">
        <f>VLOOKUP($A22,'Template IF 2'!$B$3:$HH$112,177,FALSE)</f>
        <v>258.68173948999998</v>
      </c>
      <c r="J245" s="45">
        <f>VLOOKUP($A22,'Template IF 2'!$B$3:$HH$112,178,FALSE)</f>
        <v>180.40934822</v>
      </c>
      <c r="K245" s="45">
        <f>VLOOKUP($A22,'Template IF 2'!$B$3:$HH$112,179,FALSE)</f>
        <v>162.69306778999999</v>
      </c>
      <c r="N245"/>
      <c r="O245"/>
    </row>
    <row r="246" spans="1:24" ht="14.1" customHeight="1" x14ac:dyDescent="0.2">
      <c r="A246" s="135" t="str">
        <f>A24</f>
        <v>Roseau County</v>
      </c>
      <c r="B246" s="33">
        <f>VLOOKUP($A24,'Template IF 2'!$B$3:$HH$112,156,FALSE)</f>
        <v>191</v>
      </c>
      <c r="C246" s="33">
        <f>VLOOKUP($A24,'Template IF 2'!$B$3:$HH$112,157,FALSE)</f>
        <v>225</v>
      </c>
      <c r="D246" s="33">
        <f>VLOOKUP($A24,'Template IF 2'!$B$3:$HH$112,158,FALSE)</f>
        <v>196</v>
      </c>
      <c r="E246" s="33">
        <f>VLOOKUP($A24,'Template IF 2'!$B$3:$HH$112,159,FALSE)</f>
        <v>162</v>
      </c>
      <c r="G246" s="32"/>
      <c r="H246" s="45">
        <f>VLOOKUP($A24,'Template IF 2'!$B$3:$HH$112,176,FALSE)</f>
        <v>234.76131323999999</v>
      </c>
      <c r="I246" s="45">
        <f>VLOOKUP($A24,'Template IF 2'!$B$3:$HH$112,177,FALSE)</f>
        <v>264.99037784000001</v>
      </c>
      <c r="J246" s="45">
        <f>VLOOKUP($A24,'Template IF 2'!$B$3:$HH$112,178,FALSE)</f>
        <v>203.18075916999999</v>
      </c>
      <c r="K246" s="45">
        <f>VLOOKUP($A24,'Template IF 2'!$B$3:$HH$112,179,FALSE)</f>
        <v>174.63393687999999</v>
      </c>
      <c r="N246"/>
      <c r="O246"/>
    </row>
    <row r="247" spans="1:24" ht="14.1" customHeight="1" x14ac:dyDescent="0.2">
      <c r="A247" s="134" t="str">
        <f>A26</f>
        <v>CHB - Kitt, Marsh, Penn, Red Lake and Roseau</v>
      </c>
      <c r="B247" s="35">
        <f>VLOOKUP($A26,'Template IF 2'!$B$3:$HH$112,156,FALSE)</f>
        <v>822</v>
      </c>
      <c r="C247" s="35">
        <f>VLOOKUP($A26,'Template IF 2'!$B$3:$HH$112,157,FALSE)</f>
        <v>809</v>
      </c>
      <c r="D247" s="35">
        <f>VLOOKUP($A26,'Template IF 2'!$B$3:$HH$112,158,FALSE)</f>
        <v>695</v>
      </c>
      <c r="E247" s="35">
        <f>VLOOKUP($A26,'Template IF 2'!$B$3:$HH$112,159,FALSE)</f>
        <v>545</v>
      </c>
      <c r="F247" s="47"/>
      <c r="G247" s="63"/>
      <c r="H247" s="49">
        <f>VLOOKUP($A26,'Template IF 2'!$B$3:$HH$112,176,FALSE)</f>
        <v>249.75800000000004</v>
      </c>
      <c r="I247" s="49">
        <f>VLOOKUP($A26,'Template IF 2'!$B$3:$HH$112,177,FALSE)</f>
        <v>248.76999999999998</v>
      </c>
      <c r="J247" s="49">
        <f>VLOOKUP($A26,'Template IF 2'!$B$3:$HH$112,178,FALSE)</f>
        <v>194.82599999999999</v>
      </c>
      <c r="K247" s="49">
        <f>VLOOKUP($A26,'Template IF 2'!$B$3:$HH$112,179,FALSE)</f>
        <v>153.11099999999999</v>
      </c>
      <c r="N247"/>
      <c r="O247"/>
    </row>
    <row r="248" spans="1:24" ht="6" customHeight="1" x14ac:dyDescent="0.2">
      <c r="A248" s="145"/>
      <c r="B248" s="58"/>
      <c r="C248" s="58"/>
      <c r="D248" s="58"/>
      <c r="E248" s="58"/>
      <c r="F248" s="58"/>
      <c r="G248" s="32"/>
      <c r="H248" s="32"/>
      <c r="I248" s="32"/>
      <c r="J248" s="32"/>
      <c r="K248" s="32"/>
      <c r="L248" s="32"/>
      <c r="N248"/>
      <c r="O248"/>
    </row>
    <row r="249" spans="1:24" x14ac:dyDescent="0.2">
      <c r="A249" s="135"/>
      <c r="B249" s="163" t="s">
        <v>56</v>
      </c>
      <c r="C249" s="163"/>
      <c r="D249" s="163"/>
      <c r="E249" s="163"/>
      <c r="F249" s="75"/>
      <c r="G249" s="50"/>
      <c r="H249" s="163" t="s">
        <v>165</v>
      </c>
      <c r="I249" s="163"/>
      <c r="J249" s="163"/>
      <c r="K249" s="163"/>
      <c r="L249" s="75"/>
      <c r="N249"/>
      <c r="O249"/>
    </row>
    <row r="250" spans="1:24" x14ac:dyDescent="0.2">
      <c r="A250" s="134"/>
      <c r="B250" s="63" t="s">
        <v>271</v>
      </c>
      <c r="C250" s="63" t="s">
        <v>272</v>
      </c>
      <c r="D250" s="63" t="s">
        <v>273</v>
      </c>
      <c r="E250" s="63" t="s">
        <v>274</v>
      </c>
      <c r="F250" s="63"/>
      <c r="G250" s="63"/>
      <c r="H250" s="63" t="s">
        <v>271</v>
      </c>
      <c r="I250" s="63" t="s">
        <v>272</v>
      </c>
      <c r="J250" s="63" t="s">
        <v>273</v>
      </c>
      <c r="K250" s="63" t="s">
        <v>274</v>
      </c>
      <c r="L250" s="52"/>
      <c r="N250"/>
      <c r="O250"/>
    </row>
    <row r="251" spans="1:24" ht="14.1" customHeight="1" x14ac:dyDescent="0.2">
      <c r="A251" s="135" t="s">
        <v>32</v>
      </c>
      <c r="B251" s="33">
        <f>'Template IF 2'!FF3</f>
        <v>42528</v>
      </c>
      <c r="C251" s="33">
        <f>'Template IF 2'!FG3</f>
        <v>44447</v>
      </c>
      <c r="D251" s="33">
        <f>'Template IF 2'!FH3</f>
        <v>45206</v>
      </c>
      <c r="E251" s="33">
        <f>'Template IF 2'!FI3</f>
        <v>46841</v>
      </c>
      <c r="G251" s="32"/>
      <c r="H251" s="34">
        <f>'Template IF 2'!FZ3</f>
        <v>196.33153300000001</v>
      </c>
      <c r="I251" s="34">
        <f>'Template IF 2'!GA3</f>
        <v>191.55026144999999</v>
      </c>
      <c r="J251" s="34">
        <f>'Template IF 2'!GB3</f>
        <v>178.2303685</v>
      </c>
      <c r="K251" s="34">
        <f>'Template IF 2'!GC3</f>
        <v>169.60137904000001</v>
      </c>
      <c r="N251"/>
      <c r="O251"/>
    </row>
    <row r="252" spans="1:24" ht="14.1" customHeight="1" x14ac:dyDescent="0.2">
      <c r="A252" s="135" t="str">
        <f>A16</f>
        <v>Kittson County</v>
      </c>
      <c r="B252" s="33">
        <f>VLOOKUP($A16,'Template IF 2'!$B$3:$HH$112,161,FALSE)</f>
        <v>78</v>
      </c>
      <c r="C252" s="33">
        <f>VLOOKUP($A16,'Template IF 2'!$B$3:$HH$112,162,FALSE)</f>
        <v>82</v>
      </c>
      <c r="D252" s="33">
        <f>VLOOKUP($A16,'Template IF 2'!$B$3:$HH$112,163,FALSE)</f>
        <v>64</v>
      </c>
      <c r="E252" s="33">
        <f>VLOOKUP($A16,'Template IF 2'!$B$3:$HH$112,164,FALSE)</f>
        <v>74</v>
      </c>
      <c r="G252" s="32"/>
      <c r="H252" s="45">
        <f>VLOOKUP($A16,'Template IF 2'!$B$3:$HH$112,181,FALSE)</f>
        <v>187.05838764999999</v>
      </c>
      <c r="I252" s="45">
        <f>VLOOKUP($A16,'Template IF 2'!$B$3:$HH$112,182,FALSE)</f>
        <v>195.41483181000001</v>
      </c>
      <c r="J252" s="45">
        <f>VLOOKUP($A16,'Template IF 2'!$B$3:$HH$112,183,FALSE)</f>
        <v>158.30084459</v>
      </c>
      <c r="K252" s="45">
        <f>VLOOKUP($A16,'Template IF 2'!$B$3:$HH$112,184,FALSE)</f>
        <v>175.30083529000001</v>
      </c>
      <c r="N252"/>
      <c r="O252"/>
    </row>
    <row r="253" spans="1:24" ht="14.1" customHeight="1" x14ac:dyDescent="0.2">
      <c r="A253" s="135" t="str">
        <f>A18</f>
        <v>Marshall County</v>
      </c>
      <c r="B253" s="33">
        <f>VLOOKUP($A18,'Template IF 2'!$B$3:$HH$112,161,FALSE)</f>
        <v>132</v>
      </c>
      <c r="C253" s="33">
        <f>VLOOKUP($A18,'Template IF 2'!$B$3:$HH$112,162,FALSE)</f>
        <v>128</v>
      </c>
      <c r="D253" s="33">
        <f>VLOOKUP($A18,'Template IF 2'!$B$3:$HH$112,163,FALSE)</f>
        <v>103</v>
      </c>
      <c r="E253" s="33">
        <f>VLOOKUP($A18,'Template IF 2'!$B$3:$HH$112,164,FALSE)</f>
        <v>119</v>
      </c>
      <c r="G253" s="32"/>
      <c r="H253" s="45">
        <f>VLOOKUP($A18,'Template IF 2'!$B$3:$HH$112,181,FALSE)</f>
        <v>182.72587716000001</v>
      </c>
      <c r="I253" s="45">
        <f>VLOOKUP($A18,'Template IF 2'!$B$3:$HH$112,182,FALSE)</f>
        <v>176.01550827</v>
      </c>
      <c r="J253" s="45">
        <f>VLOOKUP($A18,'Template IF 2'!$B$3:$HH$112,183,FALSE)</f>
        <v>144.05047253000001</v>
      </c>
      <c r="K253" s="45">
        <f>VLOOKUP($A18,'Template IF 2'!$B$3:$HH$112,184,FALSE)</f>
        <v>157.37691636</v>
      </c>
      <c r="M253" s="64"/>
      <c r="N253"/>
      <c r="O253"/>
      <c r="P253" s="64"/>
      <c r="Q253" s="64"/>
      <c r="S253" s="64"/>
      <c r="T253" s="64"/>
      <c r="U253" s="64"/>
      <c r="V253" s="64"/>
      <c r="X253" s="64"/>
    </row>
    <row r="254" spans="1:24" ht="14.1" customHeight="1" x14ac:dyDescent="0.2">
      <c r="A254" s="135" t="str">
        <f>A20</f>
        <v>Pennington County</v>
      </c>
      <c r="B254" s="33">
        <f>VLOOKUP($A20,'Template IF 2'!$B$3:$HH$112,161,FALSE)</f>
        <v>154</v>
      </c>
      <c r="C254" s="33">
        <f>VLOOKUP($A20,'Template IF 2'!$B$3:$HH$112,162,FALSE)</f>
        <v>156</v>
      </c>
      <c r="D254" s="33">
        <f>VLOOKUP($A20,'Template IF 2'!$B$3:$HH$112,163,FALSE)</f>
        <v>153</v>
      </c>
      <c r="E254" s="33">
        <f>VLOOKUP($A20,'Template IF 2'!$B$3:$HH$112,164,FALSE)</f>
        <v>150</v>
      </c>
      <c r="G254" s="32"/>
      <c r="H254" s="45">
        <f>VLOOKUP($A20,'Template IF 2'!$B$3:$HH$112,181,FALSE)</f>
        <v>181.56580761000001</v>
      </c>
      <c r="I254" s="45">
        <f>VLOOKUP($A20,'Template IF 2'!$B$3:$HH$112,182,FALSE)</f>
        <v>184.42511906999999</v>
      </c>
      <c r="J254" s="45">
        <f>VLOOKUP($A20,'Template IF 2'!$B$3:$HH$112,183,FALSE)</f>
        <v>179.58445044999999</v>
      </c>
      <c r="K254" s="45">
        <f>VLOOKUP($A20,'Template IF 2'!$B$3:$HH$112,184,FALSE)</f>
        <v>163.89459712999999</v>
      </c>
      <c r="M254" s="64"/>
      <c r="N254"/>
      <c r="O254"/>
      <c r="P254" s="64"/>
      <c r="Q254" s="64"/>
      <c r="S254" s="64"/>
      <c r="T254" s="64"/>
      <c r="U254" s="64"/>
      <c r="V254" s="64"/>
      <c r="X254" s="64"/>
    </row>
    <row r="255" spans="1:24" ht="14.1" customHeight="1" x14ac:dyDescent="0.2">
      <c r="A255" s="135" t="str">
        <f>A22</f>
        <v>Red Lake County</v>
      </c>
      <c r="B255" s="33">
        <f>VLOOKUP($A22,'Template IF 2'!$B$3:$HH$112,161,FALSE)</f>
        <v>51</v>
      </c>
      <c r="C255" s="33">
        <f>VLOOKUP($A22,'Template IF 2'!$B$3:$HH$112,162,FALSE)</f>
        <v>48</v>
      </c>
      <c r="D255" s="33">
        <f>VLOOKUP($A22,'Template IF 2'!$B$3:$HH$112,163,FALSE)</f>
        <v>49</v>
      </c>
      <c r="E255" s="33">
        <f>VLOOKUP($A22,'Template IF 2'!$B$3:$HH$112,164,FALSE)</f>
        <v>47</v>
      </c>
      <c r="G255" s="32"/>
      <c r="H255" s="45">
        <f>VLOOKUP($A22,'Template IF 2'!$B$3:$HH$112,181,FALSE)</f>
        <v>173.82172120999999</v>
      </c>
      <c r="I255" s="45">
        <f>VLOOKUP($A22,'Template IF 2'!$B$3:$HH$112,182,FALSE)</f>
        <v>169.85134357000001</v>
      </c>
      <c r="J255" s="45">
        <f>VLOOKUP($A22,'Template IF 2'!$B$3:$HH$112,183,FALSE)</f>
        <v>164.40568440000001</v>
      </c>
      <c r="K255" s="45">
        <f>VLOOKUP($A22,'Template IF 2'!$B$3:$HH$112,184,FALSE)</f>
        <v>164.60157516999999</v>
      </c>
      <c r="N255"/>
      <c r="O255"/>
    </row>
    <row r="256" spans="1:24" ht="14.1" customHeight="1" x14ac:dyDescent="0.2">
      <c r="A256" s="135" t="str">
        <f>A24</f>
        <v>Roseau County</v>
      </c>
      <c r="B256" s="33">
        <f>VLOOKUP($A24,'Template IF 2'!$B$3:$HH$112,161,FALSE)</f>
        <v>158</v>
      </c>
      <c r="C256" s="33">
        <f>VLOOKUP($A24,'Template IF 2'!$B$3:$HH$112,162,FALSE)</f>
        <v>162</v>
      </c>
      <c r="D256" s="33">
        <f>VLOOKUP($A24,'Template IF 2'!$B$3:$HH$112,163,FALSE)</f>
        <v>151</v>
      </c>
      <c r="E256" s="33">
        <f>VLOOKUP($A24,'Template IF 2'!$B$3:$HH$112,164,FALSE)</f>
        <v>137</v>
      </c>
      <c r="G256" s="32"/>
      <c r="H256" s="45">
        <f>VLOOKUP($A24,'Template IF 2'!$B$3:$HH$112,181,FALSE)</f>
        <v>197.86579621000001</v>
      </c>
      <c r="I256" s="45">
        <f>VLOOKUP($A24,'Template IF 2'!$B$3:$HH$112,182,FALSE)</f>
        <v>195.51700417000001</v>
      </c>
      <c r="J256" s="45">
        <f>VLOOKUP($A24,'Template IF 2'!$B$3:$HH$112,183,FALSE)</f>
        <v>175.68013141</v>
      </c>
      <c r="K256" s="45">
        <f>VLOOKUP($A24,'Template IF 2'!$B$3:$HH$112,184,FALSE)</f>
        <v>154.38477592999999</v>
      </c>
      <c r="N256"/>
      <c r="O256"/>
    </row>
    <row r="257" spans="1:24" ht="14.1" customHeight="1" x14ac:dyDescent="0.2">
      <c r="A257" s="134" t="str">
        <f>A26</f>
        <v>CHB - Kitt, Marsh, Penn, Red Lake and Roseau</v>
      </c>
      <c r="B257" s="35">
        <f>VLOOKUP($A26,'Template IF 2'!$B$3:$HH$112,161,FALSE)</f>
        <v>573</v>
      </c>
      <c r="C257" s="35">
        <f>VLOOKUP($A26,'Template IF 2'!$B$3:$HH$112,162,FALSE)</f>
        <v>576</v>
      </c>
      <c r="D257" s="35">
        <f>VLOOKUP($A26,'Template IF 2'!$B$3:$HH$112,163,FALSE)</f>
        <v>520</v>
      </c>
      <c r="E257" s="35">
        <f>VLOOKUP($A26,'Template IF 2'!$B$3:$HH$112,164,FALSE)</f>
        <v>527</v>
      </c>
      <c r="F257" s="61"/>
      <c r="G257" s="63"/>
      <c r="H257" s="49">
        <f>VLOOKUP($A26,'Template IF 2'!$B$3:$HH$112,181,FALSE)</f>
        <v>184.965</v>
      </c>
      <c r="I257" s="49">
        <f>VLOOKUP($A26,'Template IF 2'!$B$3:$HH$112,182,FALSE)</f>
        <v>188.35500000000002</v>
      </c>
      <c r="J257" s="49">
        <f>VLOOKUP($A26,'Template IF 2'!$B$3:$HH$112,183,FALSE)</f>
        <v>163.429</v>
      </c>
      <c r="K257" s="49">
        <f>VLOOKUP($A26,'Template IF 2'!$B$3:$HH$112,184,FALSE)</f>
        <v>163.066</v>
      </c>
      <c r="N257"/>
      <c r="O257"/>
    </row>
    <row r="258" spans="1:24" ht="8.25" customHeight="1" x14ac:dyDescent="0.2">
      <c r="A258" s="145"/>
      <c r="B258" s="58"/>
      <c r="C258" s="58"/>
      <c r="D258" s="58"/>
      <c r="E258" s="58"/>
      <c r="F258" s="58"/>
      <c r="G258" s="32"/>
      <c r="H258" s="32"/>
      <c r="I258" s="32"/>
      <c r="J258" s="32"/>
      <c r="K258" s="32"/>
      <c r="L258" s="32"/>
      <c r="N258"/>
      <c r="O258"/>
    </row>
    <row r="259" spans="1:24" ht="15.75" customHeight="1" x14ac:dyDescent="0.2">
      <c r="A259" s="135"/>
      <c r="B259" s="163" t="s">
        <v>57</v>
      </c>
      <c r="C259" s="163"/>
      <c r="D259" s="163"/>
      <c r="E259" s="163"/>
      <c r="F259" s="75"/>
      <c r="G259" s="32"/>
      <c r="H259" s="163" t="s">
        <v>166</v>
      </c>
      <c r="I259" s="163"/>
      <c r="J259" s="163"/>
      <c r="K259" s="163"/>
      <c r="L259" s="75"/>
      <c r="N259"/>
      <c r="O259"/>
    </row>
    <row r="260" spans="1:24" ht="14.25" customHeight="1" x14ac:dyDescent="0.2">
      <c r="A260" s="134"/>
      <c r="B260" s="63" t="s">
        <v>271</v>
      </c>
      <c r="C260" s="63" t="s">
        <v>272</v>
      </c>
      <c r="D260" s="63" t="s">
        <v>273</v>
      </c>
      <c r="E260" s="63" t="s">
        <v>274</v>
      </c>
      <c r="F260" s="63"/>
      <c r="G260" s="63"/>
      <c r="H260" s="63" t="s">
        <v>271</v>
      </c>
      <c r="I260" s="63" t="s">
        <v>272</v>
      </c>
      <c r="J260" s="63" t="s">
        <v>273</v>
      </c>
      <c r="K260" s="63" t="s">
        <v>274</v>
      </c>
      <c r="L260" s="50"/>
      <c r="N260"/>
      <c r="O260"/>
    </row>
    <row r="261" spans="1:24" ht="14.1" customHeight="1" x14ac:dyDescent="0.2">
      <c r="A261" s="135" t="s">
        <v>32</v>
      </c>
      <c r="B261" s="33">
        <f>'Template IF 2'!FK3</f>
        <v>14712</v>
      </c>
      <c r="C261" s="33">
        <f>'Template IF 2'!FL3</f>
        <v>14620</v>
      </c>
      <c r="D261" s="33">
        <f>'Template IF 2'!FM3</f>
        <v>12865</v>
      </c>
      <c r="E261" s="33">
        <f>'Template IF 2'!FN3</f>
        <v>10566</v>
      </c>
      <c r="G261" s="32"/>
      <c r="H261" s="34">
        <f>'Template IF 2'!GE3</f>
        <v>65.333105279999998</v>
      </c>
      <c r="I261" s="34">
        <f>'Template IF 2'!GF3</f>
        <v>59.836208759999998</v>
      </c>
      <c r="J261" s="34">
        <f>'Template IF 2'!GG3</f>
        <v>47.613712329999998</v>
      </c>
      <c r="K261" s="34">
        <f>'Template IF 2'!GH3</f>
        <v>36.207636350000001</v>
      </c>
      <c r="N261"/>
      <c r="O261"/>
    </row>
    <row r="262" spans="1:24" ht="14.1" customHeight="1" x14ac:dyDescent="0.2">
      <c r="A262" s="135" t="str">
        <f>A16</f>
        <v>Kittson County</v>
      </c>
      <c r="B262" s="33">
        <f>VLOOKUP($A16,'Template IF 2'!$B$3:$HH$112,166,FALSE)</f>
        <v>34</v>
      </c>
      <c r="C262" s="33">
        <f>VLOOKUP($A16,'Template IF 2'!$B$3:$HH$112,167,FALSE)</f>
        <v>33</v>
      </c>
      <c r="D262" s="33">
        <f>VLOOKUP($A16,'Template IF 2'!$B$3:$HH$112,168,FALSE)</f>
        <v>36</v>
      </c>
      <c r="E262" s="33">
        <f>VLOOKUP($A16,'Template IF 2'!$B$3:$HH$112,169,FALSE)</f>
        <v>22</v>
      </c>
      <c r="G262" s="32"/>
      <c r="H262" s="45">
        <f>VLOOKUP($A16,'Template IF 2'!$B$3:$HH$112,186,FALSE)</f>
        <v>62.844155890000003</v>
      </c>
      <c r="I262" s="45">
        <f>VLOOKUP($A16,'Template IF 2'!$B$3:$HH$112,187,FALSE)</f>
        <v>59.841824559999999</v>
      </c>
      <c r="J262" s="45">
        <f>VLOOKUP($A16,'Template IF 2'!$B$3:$HH$112,188,FALSE)</f>
        <v>63.44765529</v>
      </c>
      <c r="K262" s="45">
        <f>VLOOKUP($A16,'Template IF 2'!$B$3:$HH$112,189,FALSE)</f>
        <v>37.776776839999997</v>
      </c>
      <c r="N262"/>
      <c r="O262"/>
    </row>
    <row r="263" spans="1:24" ht="14.1" customHeight="1" x14ac:dyDescent="0.2">
      <c r="A263" s="135" t="str">
        <f>A18</f>
        <v>Marshall County</v>
      </c>
      <c r="B263" s="33">
        <f>VLOOKUP($A18,'Template IF 2'!$B$3:$HH$112,166,FALSE)</f>
        <v>51</v>
      </c>
      <c r="C263" s="33">
        <f>VLOOKUP($A18,'Template IF 2'!$B$3:$HH$112,167,FALSE)</f>
        <v>44</v>
      </c>
      <c r="D263" s="33">
        <f>VLOOKUP($A18,'Template IF 2'!$B$3:$HH$112,168,FALSE)</f>
        <v>28</v>
      </c>
      <c r="E263" s="33">
        <f>VLOOKUP($A18,'Template IF 2'!$B$3:$HH$112,169,FALSE)</f>
        <v>31</v>
      </c>
      <c r="G263" s="32"/>
      <c r="H263" s="45">
        <f>VLOOKUP($A18,'Template IF 2'!$B$3:$HH$112,186,FALSE)</f>
        <v>68.308978199999999</v>
      </c>
      <c r="I263" s="45">
        <f>VLOOKUP($A18,'Template IF 2'!$B$3:$HH$112,187,FALSE)</f>
        <v>58.270454649999998</v>
      </c>
      <c r="J263" s="45">
        <f>VLOOKUP($A18,'Template IF 2'!$B$3:$HH$112,188,FALSE)</f>
        <v>34.895709250000003</v>
      </c>
      <c r="K263" s="45">
        <f>VLOOKUP($A18,'Template IF 2'!$B$3:$HH$112,189,FALSE)</f>
        <v>35.185846009999999</v>
      </c>
      <c r="M263" s="64"/>
      <c r="N263"/>
      <c r="O263"/>
      <c r="P263" s="64"/>
      <c r="Q263" s="64"/>
      <c r="S263" s="64"/>
      <c r="T263" s="64"/>
      <c r="U263" s="64"/>
      <c r="V263" s="64"/>
      <c r="X263" s="64"/>
    </row>
    <row r="264" spans="1:24" ht="14.1" customHeight="1" x14ac:dyDescent="0.2">
      <c r="A264" s="135" t="str">
        <f>A20</f>
        <v>Pennington County</v>
      </c>
      <c r="B264" s="33">
        <f>VLOOKUP($A20,'Template IF 2'!$B$3:$HH$112,166,FALSE)</f>
        <v>81</v>
      </c>
      <c r="C264" s="33">
        <f>VLOOKUP($A20,'Template IF 2'!$B$3:$HH$112,167,FALSE)</f>
        <v>71</v>
      </c>
      <c r="D264" s="33">
        <f>VLOOKUP($A20,'Template IF 2'!$B$3:$HH$112,168,FALSE)</f>
        <v>58</v>
      </c>
      <c r="E264" s="33">
        <f>VLOOKUP($A20,'Template IF 2'!$B$3:$HH$112,169,FALSE)</f>
        <v>34</v>
      </c>
      <c r="G264" s="32"/>
      <c r="H264" s="45">
        <f>VLOOKUP($A20,'Template IF 2'!$B$3:$HH$112,186,FALSE)</f>
        <v>77.612597399999999</v>
      </c>
      <c r="I264" s="45">
        <f>VLOOKUP($A20,'Template IF 2'!$B$3:$HH$112,187,FALSE)</f>
        <v>71.819101900000007</v>
      </c>
      <c r="J264" s="45">
        <f>VLOOKUP($A20,'Template IF 2'!$B$3:$HH$112,188,FALSE)</f>
        <v>57.589952840000002</v>
      </c>
      <c r="K264" s="45">
        <f>VLOOKUP($A20,'Template IF 2'!$B$3:$HH$112,189,FALSE)</f>
        <v>30.420749480000001</v>
      </c>
      <c r="M264" s="64"/>
      <c r="N264"/>
      <c r="O264"/>
      <c r="P264" s="64"/>
      <c r="Q264" s="64"/>
      <c r="S264" s="64"/>
      <c r="T264" s="64"/>
      <c r="U264" s="64"/>
      <c r="V264" s="64"/>
      <c r="X264" s="64"/>
    </row>
    <row r="265" spans="1:24" ht="14.1" customHeight="1" x14ac:dyDescent="0.2">
      <c r="A265" s="135" t="str">
        <f>A22</f>
        <v>Red Lake County</v>
      </c>
      <c r="B265" s="33">
        <f>VLOOKUP($A22,'Template IF 2'!$B$3:$HH$112,166,FALSE)</f>
        <v>32</v>
      </c>
      <c r="C265" s="33">
        <f>VLOOKUP($A22,'Template IF 2'!$B$3:$HH$112,167,FALSE)</f>
        <v>30</v>
      </c>
      <c r="D265" s="33">
        <f>VLOOKUP($A22,'Template IF 2'!$B$3:$HH$112,168,FALSE)</f>
        <v>20</v>
      </c>
      <c r="E265" s="33">
        <f>VLOOKUP($A22,'Template IF 2'!$B$3:$HH$112,169,FALSE)</f>
        <v>14</v>
      </c>
      <c r="G265" s="32"/>
      <c r="H265" s="45">
        <f>VLOOKUP($A22,'Template IF 2'!$B$3:$HH$112,186,FALSE)</f>
        <v>94.701987340000002</v>
      </c>
      <c r="I265" s="45">
        <f>VLOOKUP($A22,'Template IF 2'!$B$3:$HH$112,187,FALSE)</f>
        <v>91.332123519999996</v>
      </c>
      <c r="J265" s="45" t="str">
        <f>VLOOKUP($A22,'Template IF 2'!$B$3:$HH$112,188,FALSE)</f>
        <v>*</v>
      </c>
      <c r="K265" s="45" t="str">
        <f>VLOOKUP($A22,'Template IF 2'!$B$3:$HH$112,189,FALSE)</f>
        <v>*</v>
      </c>
      <c r="N265"/>
      <c r="O265"/>
    </row>
    <row r="266" spans="1:24" ht="14.1" customHeight="1" x14ac:dyDescent="0.2">
      <c r="A266" s="135" t="str">
        <f>A24</f>
        <v>Roseau County</v>
      </c>
      <c r="B266" s="33">
        <f>VLOOKUP($A24,'Template IF 2'!$B$3:$HH$112,166,FALSE)</f>
        <v>70</v>
      </c>
      <c r="C266" s="33">
        <f>VLOOKUP($A24,'Template IF 2'!$B$3:$HH$112,167,FALSE)</f>
        <v>50</v>
      </c>
      <c r="D266" s="33">
        <f>VLOOKUP($A24,'Template IF 2'!$B$3:$HH$112,168,FALSE)</f>
        <v>43</v>
      </c>
      <c r="E266" s="33">
        <f>VLOOKUP($A24,'Template IF 2'!$B$3:$HH$112,169,FALSE)</f>
        <v>40</v>
      </c>
      <c r="G266" s="32"/>
      <c r="H266" s="45">
        <f>VLOOKUP($A24,'Template IF 2'!$B$3:$HH$112,186,FALSE)</f>
        <v>83.022868000000003</v>
      </c>
      <c r="I266" s="45">
        <f>VLOOKUP($A24,'Template IF 2'!$B$3:$HH$112,187,FALSE)</f>
        <v>56.376544770000002</v>
      </c>
      <c r="J266" s="45">
        <f>VLOOKUP($A24,'Template IF 2'!$B$3:$HH$112,188,FALSE)</f>
        <v>43.918370029999998</v>
      </c>
      <c r="K266" s="45">
        <f>VLOOKUP($A24,'Template IF 2'!$B$3:$HH$112,189,FALSE)</f>
        <v>41.364965519999998</v>
      </c>
      <c r="N266"/>
      <c r="O266"/>
    </row>
    <row r="267" spans="1:24" ht="14.1" customHeight="1" x14ac:dyDescent="0.2">
      <c r="A267" s="134" t="str">
        <f>A26</f>
        <v>CHB - Kitt, Marsh, Penn, Red Lake and Roseau</v>
      </c>
      <c r="B267" s="35">
        <f>VLOOKUP($A26,'Template IF 2'!$B$3:$HH$112,166,FALSE)</f>
        <v>268</v>
      </c>
      <c r="C267" s="35">
        <f>VLOOKUP($A26,'Template IF 2'!$B$3:$HH$112,167,FALSE)</f>
        <v>228</v>
      </c>
      <c r="D267" s="35">
        <f>VLOOKUP($A26,'Template IF 2'!$B$3:$HH$112,168,FALSE)</f>
        <v>185</v>
      </c>
      <c r="E267" s="35">
        <f>VLOOKUP($A26,'Template IF 2'!$B$3:$HH$112,169,FALSE)</f>
        <v>141</v>
      </c>
      <c r="F267" s="61"/>
      <c r="G267" s="63"/>
      <c r="H267" s="49">
        <f>VLOOKUP($A26,'Template IF 2'!$B$3:$HH$112,186,FALSE)</f>
        <v>77.411000000000001</v>
      </c>
      <c r="I267" s="49">
        <f>VLOOKUP($A26,'Template IF 2'!$B$3:$HH$112,187,FALSE)</f>
        <v>66.301999999999992</v>
      </c>
      <c r="J267" s="49">
        <f>VLOOKUP($A26,'Template IF 2'!$B$3:$HH$112,188,FALSE)</f>
        <v>50.460999999999999</v>
      </c>
      <c r="K267" s="49">
        <f>VLOOKUP($A26,'Template IF 2'!$B$3:$HH$112,189,FALSE)</f>
        <v>36.503</v>
      </c>
      <c r="N267"/>
      <c r="O267"/>
    </row>
    <row r="268" spans="1:24" ht="6.75" customHeight="1" x14ac:dyDescent="0.2">
      <c r="A268" s="135"/>
      <c r="B268" s="33"/>
      <c r="C268" s="33"/>
      <c r="D268" s="33"/>
      <c r="E268" s="33"/>
      <c r="F268" s="33"/>
      <c r="G268" s="32"/>
      <c r="H268" s="45"/>
      <c r="I268" s="45"/>
      <c r="J268" s="45"/>
      <c r="K268" s="45"/>
      <c r="L268" s="45"/>
      <c r="N268"/>
      <c r="O268"/>
    </row>
    <row r="269" spans="1:24" x14ac:dyDescent="0.2">
      <c r="A269" s="135"/>
      <c r="B269" s="163" t="s">
        <v>58</v>
      </c>
      <c r="C269" s="163"/>
      <c r="D269" s="163"/>
      <c r="E269" s="163"/>
      <c r="F269" s="75"/>
      <c r="G269" s="32"/>
      <c r="H269" s="163" t="s">
        <v>245</v>
      </c>
      <c r="I269" s="163"/>
      <c r="J269" s="163"/>
      <c r="K269" s="163"/>
      <c r="L269" s="75"/>
      <c r="N269"/>
      <c r="O269"/>
    </row>
    <row r="270" spans="1:24" x14ac:dyDescent="0.2">
      <c r="A270" s="134"/>
      <c r="B270" s="63" t="s">
        <v>271</v>
      </c>
      <c r="C270" s="63" t="s">
        <v>272</v>
      </c>
      <c r="D270" s="63" t="s">
        <v>273</v>
      </c>
      <c r="E270" s="63" t="s">
        <v>274</v>
      </c>
      <c r="F270" s="63"/>
      <c r="G270" s="63"/>
      <c r="H270" s="63" t="s">
        <v>271</v>
      </c>
      <c r="I270" s="63" t="s">
        <v>272</v>
      </c>
      <c r="J270" s="63" t="s">
        <v>273</v>
      </c>
      <c r="K270" s="63" t="s">
        <v>274</v>
      </c>
      <c r="L270" s="50"/>
      <c r="N270"/>
      <c r="O270"/>
    </row>
    <row r="271" spans="1:24" ht="14.1" customHeight="1" x14ac:dyDescent="0.2">
      <c r="A271" s="135" t="s">
        <v>32</v>
      </c>
      <c r="B271" s="33">
        <f>'Template IF 2'!FP3</f>
        <v>7710</v>
      </c>
      <c r="C271" s="33">
        <f>'Template IF 2'!FQ3</f>
        <v>8596</v>
      </c>
      <c r="D271" s="33">
        <f>'Template IF 2'!FR3</f>
        <v>9363</v>
      </c>
      <c r="E271" s="33">
        <f>'Template IF 2'!FS3</f>
        <v>10100</v>
      </c>
      <c r="G271" s="32"/>
      <c r="H271" s="34">
        <f>'Template IF 2'!GJ3</f>
        <v>32.959951709999999</v>
      </c>
      <c r="I271" s="34">
        <f>'Template IF 2'!GK3</f>
        <v>35.085334119999999</v>
      </c>
      <c r="J271" s="34">
        <f>'Template IF 2'!GL3</f>
        <v>35.598075139999999</v>
      </c>
      <c r="K271" s="34">
        <f>'Template IF 2'!GM3</f>
        <v>36.181503820000003</v>
      </c>
      <c r="N271"/>
      <c r="O271"/>
    </row>
    <row r="272" spans="1:24" ht="14.1" customHeight="1" x14ac:dyDescent="0.2">
      <c r="A272" s="135" t="str">
        <f>A16</f>
        <v>Kittson County</v>
      </c>
      <c r="B272" s="33">
        <f>VLOOKUP($A16,'Template IF 2'!$B$3:$HH$112,171,FALSE)</f>
        <v>14</v>
      </c>
      <c r="C272" s="33">
        <f>VLOOKUP($A16,'Template IF 2'!$B$3:$HH$112,172,FALSE)</f>
        <v>13</v>
      </c>
      <c r="D272" s="33">
        <f>VLOOKUP($A16,'Template IF 2'!$B$3:$HH$112,173,FALSE)</f>
        <v>17</v>
      </c>
      <c r="E272" s="33">
        <f>VLOOKUP($A16,'Template IF 2'!$B$3:$HH$112,174,FALSE)</f>
        <v>14</v>
      </c>
      <c r="G272" s="32"/>
      <c r="H272" s="45" t="str">
        <f>VLOOKUP($A16,'Template IF 2'!$B$3:$HH$112,191,FALSE)</f>
        <v>*</v>
      </c>
      <c r="I272" s="45" t="str">
        <f>VLOOKUP($A16,'Template IF 2'!$B$3:$HH$112,192,FALSE)</f>
        <v>*</v>
      </c>
      <c r="J272" s="45" t="str">
        <f>VLOOKUP($A16,'Template IF 2'!$B$3:$HH$112,193,FALSE)</f>
        <v>*</v>
      </c>
      <c r="K272" s="45" t="str">
        <f>VLOOKUP($A16,'Template IF 2'!$B$3:$HH$112,194,FALSE)</f>
        <v>*</v>
      </c>
      <c r="N272"/>
      <c r="O272"/>
    </row>
    <row r="273" spans="1:24" ht="14.1" customHeight="1" x14ac:dyDescent="0.2">
      <c r="A273" s="135" t="str">
        <f>A18</f>
        <v>Marshall County</v>
      </c>
      <c r="B273" s="33">
        <f>VLOOKUP($A18,'Template IF 2'!$B$3:$HH$112,171,FALSE)</f>
        <v>43</v>
      </c>
      <c r="C273" s="33">
        <f>VLOOKUP($A18,'Template IF 2'!$B$3:$HH$112,172,FALSE)</f>
        <v>36</v>
      </c>
      <c r="D273" s="33">
        <f>VLOOKUP($A18,'Template IF 2'!$B$3:$HH$112,173,FALSE)</f>
        <v>17</v>
      </c>
      <c r="E273" s="33">
        <f>VLOOKUP($A18,'Template IF 2'!$B$3:$HH$112,174,FALSE)</f>
        <v>14</v>
      </c>
      <c r="G273" s="32"/>
      <c r="H273" s="45">
        <f>VLOOKUP($A18,'Template IF 2'!$B$3:$HH$112,191,FALSE)</f>
        <v>70.256391550000004</v>
      </c>
      <c r="I273" s="45">
        <f>VLOOKUP($A18,'Template IF 2'!$B$3:$HH$112,192,FALSE)</f>
        <v>65.078647880000005</v>
      </c>
      <c r="J273" s="45" t="str">
        <f>VLOOKUP($A18,'Template IF 2'!$B$3:$HH$112,193,FALSE)</f>
        <v>*</v>
      </c>
      <c r="K273" s="45" t="str">
        <f>VLOOKUP($A18,'Template IF 2'!$B$3:$HH$112,194,FALSE)</f>
        <v>*</v>
      </c>
      <c r="N273"/>
      <c r="O273"/>
    </row>
    <row r="274" spans="1:24" ht="14.1" customHeight="1" x14ac:dyDescent="0.2">
      <c r="A274" s="135" t="str">
        <f>A20</f>
        <v>Pennington County</v>
      </c>
      <c r="B274" s="33">
        <f>VLOOKUP($A20,'Template IF 2'!$B$3:$HH$112,171,FALSE)</f>
        <v>42</v>
      </c>
      <c r="C274" s="33">
        <f>VLOOKUP($A20,'Template IF 2'!$B$3:$HH$112,172,FALSE)</f>
        <v>33</v>
      </c>
      <c r="D274" s="33">
        <f>VLOOKUP($A20,'Template IF 2'!$B$3:$HH$112,173,FALSE)</f>
        <v>30</v>
      </c>
      <c r="E274" s="33">
        <f>VLOOKUP($A20,'Template IF 2'!$B$3:$HH$112,174,FALSE)</f>
        <v>40</v>
      </c>
      <c r="G274" s="32"/>
      <c r="H274" s="45">
        <f>VLOOKUP($A20,'Template IF 2'!$B$3:$HH$112,191,FALSE)</f>
        <v>57.752789219999997</v>
      </c>
      <c r="I274" s="45">
        <f>VLOOKUP($A20,'Template IF 2'!$B$3:$HH$112,192,FALSE)</f>
        <v>42.051399140000001</v>
      </c>
      <c r="J274" s="45">
        <f>VLOOKUP($A20,'Template IF 2'!$B$3:$HH$112,193,FALSE)</f>
        <v>39.38829123</v>
      </c>
      <c r="K274" s="45">
        <f>VLOOKUP($A20,'Template IF 2'!$B$3:$HH$112,194,FALSE)</f>
        <v>51.359476559999997</v>
      </c>
      <c r="N274"/>
      <c r="O274"/>
    </row>
    <row r="275" spans="1:24" ht="14.1" customHeight="1" x14ac:dyDescent="0.2">
      <c r="A275" s="135" t="str">
        <f>A22</f>
        <v>Red Lake County</v>
      </c>
      <c r="B275" s="33">
        <f>VLOOKUP($A22,'Template IF 2'!$B$3:$HH$112,171,FALSE)</f>
        <v>16</v>
      </c>
      <c r="C275" s="33">
        <f>VLOOKUP($A22,'Template IF 2'!$B$3:$HH$112,172,FALSE)</f>
        <v>10</v>
      </c>
      <c r="D275" s="33">
        <f>VLOOKUP($A22,'Template IF 2'!$B$3:$HH$112,173,FALSE)</f>
        <v>11</v>
      </c>
      <c r="E275" s="33">
        <f>VLOOKUP($A22,'Template IF 2'!$B$3:$HH$112,174,FALSE)</f>
        <v>11</v>
      </c>
      <c r="G275" s="32"/>
      <c r="H275" s="45" t="str">
        <f>VLOOKUP($A22,'Template IF 2'!$B$3:$HH$112,191,FALSE)</f>
        <v>*</v>
      </c>
      <c r="I275" s="45" t="str">
        <f>VLOOKUP($A22,'Template IF 2'!$B$3:$HH$112,192,FALSE)</f>
        <v>*</v>
      </c>
      <c r="J275" s="45" t="str">
        <f>VLOOKUP($A22,'Template IF 2'!$B$3:$HH$112,193,FALSE)</f>
        <v>*</v>
      </c>
      <c r="K275" s="45" t="str">
        <f>VLOOKUP($A22,'Template IF 2'!$B$3:$HH$112,194,FALSE)</f>
        <v>*</v>
      </c>
      <c r="N275"/>
      <c r="O275"/>
    </row>
    <row r="276" spans="1:24" ht="14.1" customHeight="1" x14ac:dyDescent="0.2">
      <c r="A276" s="135" t="str">
        <f>A24</f>
        <v>Roseau County</v>
      </c>
      <c r="B276" s="33">
        <f>VLOOKUP($A24,'Template IF 2'!$B$3:$HH$112,171,FALSE)</f>
        <v>39</v>
      </c>
      <c r="C276" s="33">
        <f>VLOOKUP($A24,'Template IF 2'!$B$3:$HH$112,172,FALSE)</f>
        <v>41</v>
      </c>
      <c r="D276" s="33">
        <f>VLOOKUP($A24,'Template IF 2'!$B$3:$HH$112,173,FALSE)</f>
        <v>38</v>
      </c>
      <c r="E276" s="33">
        <f>VLOOKUP($A24,'Template IF 2'!$B$3:$HH$112,174,FALSE)</f>
        <v>32</v>
      </c>
      <c r="G276" s="32"/>
      <c r="H276" s="45">
        <f>VLOOKUP($A24,'Template IF 2'!$B$3:$HH$112,191,FALSE)</f>
        <v>47.894745530000002</v>
      </c>
      <c r="I276" s="45">
        <f>VLOOKUP($A24,'Template IF 2'!$B$3:$HH$112,192,FALSE)</f>
        <v>48.899911320000001</v>
      </c>
      <c r="J276" s="45">
        <f>VLOOKUP($A24,'Template IF 2'!$B$3:$HH$112,193,FALSE)</f>
        <v>44.936234329999998</v>
      </c>
      <c r="K276" s="45">
        <f>VLOOKUP($A24,'Template IF 2'!$B$3:$HH$112,194,FALSE)</f>
        <v>36.05889706</v>
      </c>
      <c r="N276"/>
      <c r="O276"/>
    </row>
    <row r="277" spans="1:24" ht="14.1" customHeight="1" x14ac:dyDescent="0.2">
      <c r="A277" s="134" t="str">
        <f>A26</f>
        <v>CHB - Kitt, Marsh, Penn, Red Lake and Roseau</v>
      </c>
      <c r="B277" s="35">
        <f>VLOOKUP($A26,'Template IF 2'!$B$3:$HH$112,171,FALSE)</f>
        <v>154</v>
      </c>
      <c r="C277" s="35">
        <f>VLOOKUP($A26,'Template IF 2'!$B$3:$HH$112,172,FALSE)</f>
        <v>133</v>
      </c>
      <c r="D277" s="35">
        <f>VLOOKUP($A26,'Template IF 2'!$B$3:$HH$112,173,FALSE)</f>
        <v>113</v>
      </c>
      <c r="E277" s="35">
        <f>VLOOKUP($A26,'Template IF 2'!$B$3:$HH$112,174,FALSE)</f>
        <v>111</v>
      </c>
      <c r="F277" s="61"/>
      <c r="G277" s="63"/>
      <c r="H277" s="49">
        <f>VLOOKUP($A26,'Template IF 2'!$B$3:$HH$112,191,FALSE)</f>
        <v>58.03533151687148</v>
      </c>
      <c r="I277" s="49">
        <f>VLOOKUP($A26,'Template IF 2'!$B$3:$HH$112,192,FALSE)</f>
        <v>49.731833212795202</v>
      </c>
      <c r="J277" s="49">
        <f>VLOOKUP($A26,'Template IF 2'!$B$3:$HH$112,193,FALSE)</f>
        <v>39.869698322874271</v>
      </c>
      <c r="K277" s="49">
        <f>VLOOKUP($A26,'Template IF 2'!$B$3:$HH$112,194,FALSE)</f>
        <v>40.201176118801435</v>
      </c>
      <c r="N277"/>
      <c r="O277"/>
    </row>
    <row r="278" spans="1:24" x14ac:dyDescent="0.2">
      <c r="A278" s="146" t="s">
        <v>246</v>
      </c>
      <c r="N278"/>
      <c r="O278"/>
    </row>
    <row r="279" spans="1:24" x14ac:dyDescent="0.2">
      <c r="N279"/>
      <c r="O279"/>
    </row>
    <row r="280" spans="1:24" x14ac:dyDescent="0.2">
      <c r="N280"/>
      <c r="O280"/>
    </row>
    <row r="281" spans="1:24" x14ac:dyDescent="0.2">
      <c r="N281"/>
      <c r="O281"/>
    </row>
    <row r="282" spans="1:24" x14ac:dyDescent="0.2">
      <c r="N282"/>
      <c r="O282"/>
    </row>
    <row r="283" spans="1:24" x14ac:dyDescent="0.2">
      <c r="M283" s="64"/>
      <c r="N283"/>
      <c r="O283"/>
      <c r="P283" s="64"/>
      <c r="Q283" s="64"/>
      <c r="S283" s="64"/>
      <c r="T283" s="64"/>
      <c r="U283" s="64"/>
      <c r="V283" s="64"/>
      <c r="X283" s="64"/>
    </row>
    <row r="284" spans="1:24" x14ac:dyDescent="0.2">
      <c r="M284" s="64"/>
      <c r="N284"/>
      <c r="O284"/>
      <c r="P284" s="64"/>
      <c r="Q284" s="64"/>
      <c r="S284" s="64"/>
      <c r="T284" s="64"/>
      <c r="U284" s="64"/>
      <c r="V284" s="64"/>
      <c r="X284" s="64"/>
    </row>
    <row r="285" spans="1:24" x14ac:dyDescent="0.2">
      <c r="N285"/>
      <c r="O285"/>
    </row>
    <row r="286" spans="1:24" x14ac:dyDescent="0.2">
      <c r="N286"/>
      <c r="O286"/>
    </row>
    <row r="287" spans="1:24" x14ac:dyDescent="0.2">
      <c r="N287"/>
      <c r="O287"/>
    </row>
    <row r="288" spans="1:24" x14ac:dyDescent="0.2">
      <c r="N288"/>
      <c r="O288"/>
    </row>
    <row r="289" spans="14:15" x14ac:dyDescent="0.2">
      <c r="N289"/>
      <c r="O289"/>
    </row>
    <row r="290" spans="14:15" x14ac:dyDescent="0.2">
      <c r="N290"/>
      <c r="O290"/>
    </row>
    <row r="291" spans="14:15" x14ac:dyDescent="0.2">
      <c r="N291"/>
      <c r="O291"/>
    </row>
    <row r="292" spans="14:15" x14ac:dyDescent="0.2">
      <c r="N292"/>
      <c r="O292"/>
    </row>
    <row r="293" spans="14:15" x14ac:dyDescent="0.2">
      <c r="N293"/>
      <c r="O293"/>
    </row>
    <row r="294" spans="14:15" x14ac:dyDescent="0.2">
      <c r="N294"/>
      <c r="O294"/>
    </row>
    <row r="295" spans="14:15" x14ac:dyDescent="0.2">
      <c r="N295"/>
      <c r="O295"/>
    </row>
    <row r="296" spans="14:15" x14ac:dyDescent="0.2">
      <c r="N296"/>
      <c r="O296"/>
    </row>
    <row r="297" spans="14:15" x14ac:dyDescent="0.2">
      <c r="N297"/>
      <c r="O297"/>
    </row>
    <row r="298" spans="14:15" x14ac:dyDescent="0.2">
      <c r="N298"/>
      <c r="O298"/>
    </row>
    <row r="299" spans="14:15" x14ac:dyDescent="0.2">
      <c r="N299"/>
      <c r="O299"/>
    </row>
    <row r="300" spans="14:15" x14ac:dyDescent="0.2">
      <c r="N300"/>
      <c r="O300"/>
    </row>
    <row r="301" spans="14:15" x14ac:dyDescent="0.2">
      <c r="N301"/>
      <c r="O301"/>
    </row>
    <row r="302" spans="14:15" x14ac:dyDescent="0.2">
      <c r="N302"/>
      <c r="O302"/>
    </row>
    <row r="303" spans="14:15" x14ac:dyDescent="0.2">
      <c r="N303"/>
      <c r="O303"/>
    </row>
    <row r="304" spans="14:15" x14ac:dyDescent="0.2">
      <c r="N304"/>
      <c r="O304"/>
    </row>
    <row r="305" spans="1:15" x14ac:dyDescent="0.2">
      <c r="N305"/>
      <c r="O305"/>
    </row>
    <row r="306" spans="1:15" x14ac:dyDescent="0.2">
      <c r="N306"/>
      <c r="O306"/>
    </row>
    <row r="307" spans="1:15" x14ac:dyDescent="0.2">
      <c r="A307" s="38" t="s">
        <v>247</v>
      </c>
      <c r="N307"/>
      <c r="O307"/>
    </row>
    <row r="308" spans="1:15" x14ac:dyDescent="0.2">
      <c r="A308" s="38" t="s">
        <v>161</v>
      </c>
      <c r="N308"/>
      <c r="O308"/>
    </row>
    <row r="309" spans="1:15" x14ac:dyDescent="0.2">
      <c r="A309" s="38" t="s">
        <v>249</v>
      </c>
      <c r="N309"/>
      <c r="O309"/>
    </row>
    <row r="310" spans="1:15" x14ac:dyDescent="0.2">
      <c r="A310" s="69" t="s">
        <v>250</v>
      </c>
      <c r="N310"/>
      <c r="O310"/>
    </row>
    <row r="311" spans="1:15" x14ac:dyDescent="0.2">
      <c r="A311" s="38" t="s">
        <v>251</v>
      </c>
      <c r="N311"/>
      <c r="O311"/>
    </row>
    <row r="312" spans="1:15" x14ac:dyDescent="0.2">
      <c r="A312" s="69" t="s">
        <v>252</v>
      </c>
      <c r="N312"/>
      <c r="O312"/>
    </row>
    <row r="313" spans="1:15" x14ac:dyDescent="0.2">
      <c r="N313"/>
      <c r="O313"/>
    </row>
    <row r="314" spans="1:15" x14ac:dyDescent="0.2">
      <c r="N314"/>
      <c r="O314"/>
    </row>
    <row r="315" spans="1:15" x14ac:dyDescent="0.2">
      <c r="N315"/>
      <c r="O315"/>
    </row>
    <row r="316" spans="1:15" x14ac:dyDescent="0.2">
      <c r="N316"/>
      <c r="O316"/>
    </row>
    <row r="317" spans="1:15" x14ac:dyDescent="0.2">
      <c r="N317"/>
      <c r="O317"/>
    </row>
    <row r="318" spans="1:15" x14ac:dyDescent="0.2">
      <c r="N318"/>
      <c r="O318"/>
    </row>
    <row r="319" spans="1:15" x14ac:dyDescent="0.2">
      <c r="N319"/>
      <c r="O319"/>
    </row>
    <row r="320" spans="1:15" x14ac:dyDescent="0.2">
      <c r="N320"/>
      <c r="O320"/>
    </row>
    <row r="321" spans="14:18" x14ac:dyDescent="0.2">
      <c r="N321"/>
      <c r="O321"/>
    </row>
    <row r="322" spans="14:18" x14ac:dyDescent="0.2">
      <c r="N322"/>
      <c r="O322"/>
    </row>
    <row r="323" spans="14:18" x14ac:dyDescent="0.2">
      <c r="N323"/>
      <c r="O323"/>
    </row>
    <row r="324" spans="14:18" x14ac:dyDescent="0.2">
      <c r="N324"/>
      <c r="O324"/>
    </row>
    <row r="325" spans="14:18" x14ac:dyDescent="0.2">
      <c r="N325"/>
      <c r="O325"/>
    </row>
    <row r="326" spans="14:18" x14ac:dyDescent="0.2">
      <c r="N326"/>
      <c r="O326"/>
    </row>
    <row r="327" spans="14:18" x14ac:dyDescent="0.2">
      <c r="N327"/>
      <c r="O327"/>
      <c r="R327" t="s">
        <v>244</v>
      </c>
    </row>
    <row r="328" spans="14:18" x14ac:dyDescent="0.2">
      <c r="N328"/>
      <c r="O328"/>
      <c r="R328" t="s">
        <v>69</v>
      </c>
    </row>
    <row r="329" spans="14:18" x14ac:dyDescent="0.2">
      <c r="N329"/>
      <c r="O329"/>
      <c r="R329" t="s">
        <v>70</v>
      </c>
    </row>
    <row r="330" spans="14:18" x14ac:dyDescent="0.2">
      <c r="N330"/>
      <c r="O330"/>
      <c r="R330" t="s">
        <v>71</v>
      </c>
    </row>
    <row r="331" spans="14:18" x14ac:dyDescent="0.2">
      <c r="N331"/>
      <c r="O331"/>
      <c r="R331" t="s">
        <v>72</v>
      </c>
    </row>
    <row r="332" spans="14:18" x14ac:dyDescent="0.2">
      <c r="N332"/>
      <c r="O332"/>
      <c r="R332" t="s">
        <v>73</v>
      </c>
    </row>
    <row r="333" spans="14:18" x14ac:dyDescent="0.2">
      <c r="N333"/>
      <c r="O333"/>
      <c r="R333" t="s">
        <v>74</v>
      </c>
    </row>
    <row r="334" spans="14:18" x14ac:dyDescent="0.2">
      <c r="N334"/>
      <c r="O334"/>
      <c r="R334" t="s">
        <v>75</v>
      </c>
    </row>
    <row r="335" spans="14:18" x14ac:dyDescent="0.2">
      <c r="N335"/>
      <c r="O335"/>
      <c r="R335" t="s">
        <v>76</v>
      </c>
    </row>
    <row r="336" spans="14:18" x14ac:dyDescent="0.2">
      <c r="N336"/>
      <c r="O336"/>
      <c r="R336" t="s">
        <v>77</v>
      </c>
    </row>
    <row r="337" spans="14:18" x14ac:dyDescent="0.2">
      <c r="N337"/>
      <c r="O337"/>
      <c r="R337" t="s">
        <v>155</v>
      </c>
    </row>
    <row r="338" spans="14:18" x14ac:dyDescent="0.2">
      <c r="N338"/>
      <c r="O338"/>
      <c r="R338" t="s">
        <v>78</v>
      </c>
    </row>
    <row r="339" spans="14:18" x14ac:dyDescent="0.2">
      <c r="N339"/>
      <c r="O339"/>
      <c r="R339" t="s">
        <v>79</v>
      </c>
    </row>
    <row r="340" spans="14:18" x14ac:dyDescent="0.2">
      <c r="N340"/>
      <c r="O340"/>
      <c r="R340" t="s">
        <v>80</v>
      </c>
    </row>
    <row r="341" spans="14:18" x14ac:dyDescent="0.2">
      <c r="N341"/>
      <c r="O341"/>
      <c r="R341" t="s">
        <v>81</v>
      </c>
    </row>
    <row r="342" spans="14:18" x14ac:dyDescent="0.2">
      <c r="N342"/>
      <c r="O342"/>
      <c r="R342" t="s">
        <v>82</v>
      </c>
    </row>
    <row r="343" spans="14:18" x14ac:dyDescent="0.2">
      <c r="N343"/>
      <c r="O343"/>
      <c r="R343" t="s">
        <v>83</v>
      </c>
    </row>
    <row r="344" spans="14:18" x14ac:dyDescent="0.2">
      <c r="N344"/>
      <c r="O344"/>
      <c r="R344" t="s">
        <v>84</v>
      </c>
    </row>
    <row r="345" spans="14:18" x14ac:dyDescent="0.2">
      <c r="N345"/>
      <c r="O345"/>
      <c r="R345" t="s">
        <v>85</v>
      </c>
    </row>
    <row r="346" spans="14:18" x14ac:dyDescent="0.2">
      <c r="N346"/>
      <c r="O346"/>
      <c r="R346" t="s">
        <v>86</v>
      </c>
    </row>
    <row r="347" spans="14:18" x14ac:dyDescent="0.2">
      <c r="N347"/>
      <c r="O347"/>
      <c r="R347" t="s">
        <v>87</v>
      </c>
    </row>
    <row r="348" spans="14:18" x14ac:dyDescent="0.2">
      <c r="N348"/>
      <c r="O348"/>
      <c r="R348" t="s">
        <v>88</v>
      </c>
    </row>
    <row r="349" spans="14:18" x14ac:dyDescent="0.2">
      <c r="N349"/>
      <c r="O349"/>
      <c r="R349" t="s">
        <v>89</v>
      </c>
    </row>
    <row r="350" spans="14:18" x14ac:dyDescent="0.2">
      <c r="N350"/>
      <c r="O350"/>
      <c r="R350" t="s">
        <v>90</v>
      </c>
    </row>
    <row r="351" spans="14:18" x14ac:dyDescent="0.2">
      <c r="N351"/>
      <c r="O351"/>
      <c r="R351" t="s">
        <v>91</v>
      </c>
    </row>
    <row r="352" spans="14:18" x14ac:dyDescent="0.2">
      <c r="N352"/>
      <c r="O352"/>
      <c r="R352" t="s">
        <v>92</v>
      </c>
    </row>
    <row r="353" spans="14:18" x14ac:dyDescent="0.2">
      <c r="N353"/>
      <c r="O353"/>
      <c r="R353" t="s">
        <v>93</v>
      </c>
    </row>
    <row r="354" spans="14:18" x14ac:dyDescent="0.2">
      <c r="N354"/>
      <c r="O354"/>
      <c r="R354" t="s">
        <v>94</v>
      </c>
    </row>
    <row r="355" spans="14:18" x14ac:dyDescent="0.2">
      <c r="N355"/>
      <c r="O355"/>
      <c r="R355" t="s">
        <v>95</v>
      </c>
    </row>
    <row r="356" spans="14:18" x14ac:dyDescent="0.2">
      <c r="N356"/>
      <c r="O356"/>
      <c r="R356" t="s">
        <v>96</v>
      </c>
    </row>
    <row r="357" spans="14:18" x14ac:dyDescent="0.2">
      <c r="R357" t="s">
        <v>97</v>
      </c>
    </row>
    <row r="358" spans="14:18" x14ac:dyDescent="0.2">
      <c r="R358" t="s">
        <v>98</v>
      </c>
    </row>
    <row r="359" spans="14:18" x14ac:dyDescent="0.2">
      <c r="R359" t="s">
        <v>99</v>
      </c>
    </row>
    <row r="360" spans="14:18" x14ac:dyDescent="0.2">
      <c r="R360" t="s">
        <v>100</v>
      </c>
    </row>
    <row r="361" spans="14:18" x14ac:dyDescent="0.2">
      <c r="R361" t="s">
        <v>101</v>
      </c>
    </row>
    <row r="362" spans="14:18" x14ac:dyDescent="0.2">
      <c r="R362" t="s">
        <v>102</v>
      </c>
    </row>
    <row r="363" spans="14:18" x14ac:dyDescent="0.2">
      <c r="R363" t="s">
        <v>103</v>
      </c>
    </row>
    <row r="364" spans="14:18" x14ac:dyDescent="0.2">
      <c r="R364" t="s">
        <v>104</v>
      </c>
    </row>
    <row r="365" spans="14:18" x14ac:dyDescent="0.2">
      <c r="R365" t="s">
        <v>105</v>
      </c>
    </row>
    <row r="366" spans="14:18" x14ac:dyDescent="0.2">
      <c r="R366" t="s">
        <v>106</v>
      </c>
    </row>
    <row r="367" spans="14:18" x14ac:dyDescent="0.2">
      <c r="R367" t="s">
        <v>107</v>
      </c>
    </row>
    <row r="368" spans="14:18" x14ac:dyDescent="0.2">
      <c r="R368" t="s">
        <v>108</v>
      </c>
    </row>
    <row r="369" spans="18:18" x14ac:dyDescent="0.2">
      <c r="R369" t="s">
        <v>109</v>
      </c>
    </row>
    <row r="370" spans="18:18" x14ac:dyDescent="0.2">
      <c r="R370" t="s">
        <v>110</v>
      </c>
    </row>
    <row r="371" spans="18:18" x14ac:dyDescent="0.2">
      <c r="R371" t="s">
        <v>111</v>
      </c>
    </row>
    <row r="372" spans="18:18" x14ac:dyDescent="0.2">
      <c r="R372" t="s">
        <v>112</v>
      </c>
    </row>
    <row r="373" spans="18:18" x14ac:dyDescent="0.2">
      <c r="R373" t="s">
        <v>113</v>
      </c>
    </row>
    <row r="374" spans="18:18" x14ac:dyDescent="0.2">
      <c r="R374" t="s">
        <v>114</v>
      </c>
    </row>
    <row r="375" spans="18:18" x14ac:dyDescent="0.2">
      <c r="R375" t="s">
        <v>115</v>
      </c>
    </row>
    <row r="376" spans="18:18" x14ac:dyDescent="0.2">
      <c r="R376" t="s">
        <v>116</v>
      </c>
    </row>
    <row r="377" spans="18:18" x14ac:dyDescent="0.2">
      <c r="R377" t="s">
        <v>117</v>
      </c>
    </row>
    <row r="378" spans="18:18" x14ac:dyDescent="0.2">
      <c r="R378" t="s">
        <v>118</v>
      </c>
    </row>
    <row r="379" spans="18:18" x14ac:dyDescent="0.2">
      <c r="R379" t="s">
        <v>119</v>
      </c>
    </row>
    <row r="380" spans="18:18" x14ac:dyDescent="0.2">
      <c r="R380" t="s">
        <v>120</v>
      </c>
    </row>
    <row r="381" spans="18:18" x14ac:dyDescent="0.2">
      <c r="R381" t="s">
        <v>121</v>
      </c>
    </row>
    <row r="382" spans="18:18" x14ac:dyDescent="0.2">
      <c r="R382" t="s">
        <v>122</v>
      </c>
    </row>
    <row r="383" spans="18:18" x14ac:dyDescent="0.2">
      <c r="R383" t="s">
        <v>123</v>
      </c>
    </row>
    <row r="384" spans="18:18" x14ac:dyDescent="0.2">
      <c r="R384" t="s">
        <v>124</v>
      </c>
    </row>
    <row r="385" spans="18:18" x14ac:dyDescent="0.2">
      <c r="R385" t="s">
        <v>125</v>
      </c>
    </row>
    <row r="386" spans="18:18" x14ac:dyDescent="0.2">
      <c r="R386" t="s">
        <v>126</v>
      </c>
    </row>
    <row r="387" spans="18:18" x14ac:dyDescent="0.2">
      <c r="R387" t="s">
        <v>127</v>
      </c>
    </row>
    <row r="388" spans="18:18" x14ac:dyDescent="0.2">
      <c r="R388" t="s">
        <v>128</v>
      </c>
    </row>
    <row r="389" spans="18:18" x14ac:dyDescent="0.2">
      <c r="R389" t="s">
        <v>129</v>
      </c>
    </row>
    <row r="390" spans="18:18" x14ac:dyDescent="0.2">
      <c r="R390" t="s">
        <v>130</v>
      </c>
    </row>
    <row r="391" spans="18:18" x14ac:dyDescent="0.2">
      <c r="R391" t="s">
        <v>131</v>
      </c>
    </row>
    <row r="392" spans="18:18" x14ac:dyDescent="0.2">
      <c r="R392" t="s">
        <v>132</v>
      </c>
    </row>
    <row r="393" spans="18:18" x14ac:dyDescent="0.2">
      <c r="R393" t="s">
        <v>133</v>
      </c>
    </row>
    <row r="394" spans="18:18" x14ac:dyDescent="0.2">
      <c r="R394" t="s">
        <v>134</v>
      </c>
    </row>
    <row r="395" spans="18:18" x14ac:dyDescent="0.2">
      <c r="R395" t="s">
        <v>135</v>
      </c>
    </row>
    <row r="396" spans="18:18" x14ac:dyDescent="0.2">
      <c r="R396" t="s">
        <v>136</v>
      </c>
    </row>
    <row r="397" spans="18:18" x14ac:dyDescent="0.2">
      <c r="R397" t="s">
        <v>137</v>
      </c>
    </row>
    <row r="398" spans="18:18" x14ac:dyDescent="0.2">
      <c r="R398" t="s">
        <v>138</v>
      </c>
    </row>
    <row r="399" spans="18:18" x14ac:dyDescent="0.2">
      <c r="R399" t="s">
        <v>139</v>
      </c>
    </row>
    <row r="400" spans="18:18" x14ac:dyDescent="0.2">
      <c r="R400" t="s">
        <v>140</v>
      </c>
    </row>
    <row r="401" spans="18:18" x14ac:dyDescent="0.2">
      <c r="R401" t="s">
        <v>141</v>
      </c>
    </row>
    <row r="402" spans="18:18" x14ac:dyDescent="0.2">
      <c r="R402" t="s">
        <v>142</v>
      </c>
    </row>
    <row r="403" spans="18:18" x14ac:dyDescent="0.2">
      <c r="R403" t="s">
        <v>143</v>
      </c>
    </row>
    <row r="404" spans="18:18" x14ac:dyDescent="0.2">
      <c r="R404" t="s">
        <v>144</v>
      </c>
    </row>
    <row r="405" spans="18:18" x14ac:dyDescent="0.2">
      <c r="R405" t="s">
        <v>145</v>
      </c>
    </row>
    <row r="406" spans="18:18" x14ac:dyDescent="0.2">
      <c r="R406" t="s">
        <v>146</v>
      </c>
    </row>
    <row r="407" spans="18:18" x14ac:dyDescent="0.2">
      <c r="R407" t="s">
        <v>147</v>
      </c>
    </row>
    <row r="408" spans="18:18" x14ac:dyDescent="0.2">
      <c r="R408" t="s">
        <v>148</v>
      </c>
    </row>
    <row r="409" spans="18:18" x14ac:dyDescent="0.2">
      <c r="R409" t="s">
        <v>149</v>
      </c>
    </row>
    <row r="410" spans="18:18" x14ac:dyDescent="0.2">
      <c r="R410" t="s">
        <v>150</v>
      </c>
    </row>
    <row r="411" spans="18:18" x14ac:dyDescent="0.2">
      <c r="R411" t="s">
        <v>151</v>
      </c>
    </row>
    <row r="412" spans="18:18" x14ac:dyDescent="0.2">
      <c r="R412" t="s">
        <v>152</v>
      </c>
    </row>
    <row r="413" spans="18:18" x14ac:dyDescent="0.2">
      <c r="R413" t="s">
        <v>153</v>
      </c>
    </row>
    <row r="414" spans="18:18" x14ac:dyDescent="0.2">
      <c r="R414" t="s">
        <v>154</v>
      </c>
    </row>
    <row r="415" spans="18:18" x14ac:dyDescent="0.2">
      <c r="R415" t="s">
        <v>203</v>
      </c>
    </row>
    <row r="416" spans="18:18" x14ac:dyDescent="0.2">
      <c r="R416" t="s">
        <v>240</v>
      </c>
    </row>
    <row r="417" spans="18:18" x14ac:dyDescent="0.2">
      <c r="R417" t="s">
        <v>241</v>
      </c>
    </row>
    <row r="418" spans="18:18" x14ac:dyDescent="0.2">
      <c r="R418" t="s">
        <v>204</v>
      </c>
    </row>
    <row r="419" spans="18:18" x14ac:dyDescent="0.2">
      <c r="R419" t="s">
        <v>205</v>
      </c>
    </row>
    <row r="420" spans="18:18" x14ac:dyDescent="0.2">
      <c r="R420" t="s">
        <v>207</v>
      </c>
    </row>
    <row r="421" spans="18:18" x14ac:dyDescent="0.2">
      <c r="R421" t="s">
        <v>206</v>
      </c>
    </row>
    <row r="422" spans="18:18" x14ac:dyDescent="0.2">
      <c r="R422" t="s">
        <v>242</v>
      </c>
    </row>
    <row r="423" spans="18:18" x14ac:dyDescent="0.2">
      <c r="R423" t="s">
        <v>208</v>
      </c>
    </row>
    <row r="424" spans="18:18" x14ac:dyDescent="0.2">
      <c r="R424" t="s">
        <v>210</v>
      </c>
    </row>
    <row r="425" spans="18:18" x14ac:dyDescent="0.2">
      <c r="R425" t="s">
        <v>209</v>
      </c>
    </row>
    <row r="426" spans="18:18" x14ac:dyDescent="0.2">
      <c r="R426" t="s">
        <v>211</v>
      </c>
    </row>
    <row r="427" spans="18:18" x14ac:dyDescent="0.2">
      <c r="R427" t="s">
        <v>243</v>
      </c>
    </row>
    <row r="428" spans="18:18" x14ac:dyDescent="0.2">
      <c r="R428" t="s">
        <v>212</v>
      </c>
    </row>
    <row r="429" spans="18:18" x14ac:dyDescent="0.2">
      <c r="R429" t="s">
        <v>264</v>
      </c>
    </row>
    <row r="430" spans="18:18" x14ac:dyDescent="0.2">
      <c r="R430" t="s">
        <v>213</v>
      </c>
    </row>
    <row r="431" spans="18:18" x14ac:dyDescent="0.2">
      <c r="R431" t="s">
        <v>219</v>
      </c>
    </row>
    <row r="432" spans="18:18" x14ac:dyDescent="0.2">
      <c r="R432" t="s">
        <v>215</v>
      </c>
    </row>
    <row r="433" spans="18:18" x14ac:dyDescent="0.2">
      <c r="R433" t="s">
        <v>218</v>
      </c>
    </row>
    <row r="434" spans="18:18" x14ac:dyDescent="0.2">
      <c r="R434" t="s">
        <v>216</v>
      </c>
    </row>
  </sheetData>
  <mergeCells count="60">
    <mergeCell ref="H30:L32"/>
    <mergeCell ref="A27:B28"/>
    <mergeCell ref="A2:L11"/>
    <mergeCell ref="B113:E114"/>
    <mergeCell ref="H113:K114"/>
    <mergeCell ref="B46:F46"/>
    <mergeCell ref="B80:F80"/>
    <mergeCell ref="H80:L80"/>
    <mergeCell ref="A26:E26"/>
    <mergeCell ref="A16:E16"/>
    <mergeCell ref="A18:E18"/>
    <mergeCell ref="A20:E20"/>
    <mergeCell ref="A22:E22"/>
    <mergeCell ref="A24:E24"/>
    <mergeCell ref="A135:L135"/>
    <mergeCell ref="A34:L34"/>
    <mergeCell ref="B56:F57"/>
    <mergeCell ref="H56:L57"/>
    <mergeCell ref="A67:L67"/>
    <mergeCell ref="H69:L70"/>
    <mergeCell ref="B70:F70"/>
    <mergeCell ref="B124:E125"/>
    <mergeCell ref="B90:F90"/>
    <mergeCell ref="H90:L90"/>
    <mergeCell ref="A100:L100"/>
    <mergeCell ref="H102:K103"/>
    <mergeCell ref="B103:E103"/>
    <mergeCell ref="B35:F35"/>
    <mergeCell ref="H35:L35"/>
    <mergeCell ref="H45:L46"/>
    <mergeCell ref="H184:K184"/>
    <mergeCell ref="H195:K195"/>
    <mergeCell ref="B207:E207"/>
    <mergeCell ref="A171:L171"/>
    <mergeCell ref="A238:L238"/>
    <mergeCell ref="B195:F195"/>
    <mergeCell ref="A205:L205"/>
    <mergeCell ref="H207:L207"/>
    <mergeCell ref="H269:K269"/>
    <mergeCell ref="B269:E269"/>
    <mergeCell ref="B259:E259"/>
    <mergeCell ref="H259:K259"/>
    <mergeCell ref="B249:E249"/>
    <mergeCell ref="H249:K249"/>
    <mergeCell ref="H124:K125"/>
    <mergeCell ref="B228:E228"/>
    <mergeCell ref="H228:K228"/>
    <mergeCell ref="B239:E239"/>
    <mergeCell ref="H239:K239"/>
    <mergeCell ref="H218:K218"/>
    <mergeCell ref="B218:E218"/>
    <mergeCell ref="B139:E139"/>
    <mergeCell ref="H139:K139"/>
    <mergeCell ref="H149:K150"/>
    <mergeCell ref="B149:E150"/>
    <mergeCell ref="B160:E161"/>
    <mergeCell ref="H160:K161"/>
    <mergeCell ref="B172:E173"/>
    <mergeCell ref="H172:K173"/>
    <mergeCell ref="B184:E184"/>
  </mergeCells>
  <phoneticPr fontId="5" type="noConversion"/>
  <dataValidations xWindow="455" yWindow="204" count="3">
    <dataValidation allowBlank="1" showInputMessage="1" showErrorMessage="1" sqref="B268:F268 H268:L268 B216:F216 H216:L216 B237:F237 H237:L237"/>
    <dataValidation type="list" allowBlank="1" showInputMessage="1" showErrorMessage="1" sqref="A18 A16 A22 A20 A24 A26">
      <formula1>$R$327:$R$434</formula1>
    </dataValidation>
    <dataValidation type="custom" allowBlank="1" showInputMessage="1" showErrorMessage="1" error="Content in these cells cannot be changed._x000a__x000a_Please click Cancel." sqref="B37:L43 B48:L54 B59:L65 B72:L78 B82:L88 B92:L98 B105:K111 B116:K122 B127:K133 B141:K147 B152:K158 B163:K169 B175:K181 B186:K192 B197:K203 B209:L215 B220:K226 B230:K236 B241:K247 B251:K257 B261:K267 B271:K277">
      <formula1>"="</formula1>
    </dataValidation>
  </dataValidations>
  <hyperlinks>
    <hyperlink ref="A310" r:id="rId1"/>
    <hyperlink ref="A312" r:id="rId2"/>
  </hyperlinks>
  <pageMargins left="0.5" right="0.25" top="0.75" bottom="0.75" header="0.3" footer="0.3"/>
  <pageSetup scale="91" orientation="landscape" r:id="rId3"/>
  <headerFooter differentFirst="1" alignWithMargins="0">
    <oddFooter>&amp;L&amp;"Tw Cen MT,Italic"
&amp;"Tw Cen MT,Regular"&amp;9Vital Statistics Trend Report&amp;"Tw Cen MT,Italic"
&amp;"Tw Cen MT,Regular"MDH, Center for Health Statistics&amp;C
&amp;R
&amp;"Tw Cen MT,Regular"&amp;9March 2012&amp;"Times New Roman,Regular"&amp;10
&amp;"Tw Cen MT,Regular"&amp;P</oddFooter>
  </headerFooter>
  <rowBreaks count="8" manualBreakCount="8">
    <brk id="32" max="11" man="1"/>
    <brk id="65" max="11" man="1"/>
    <brk id="98" max="11" man="1"/>
    <brk id="134" max="11" man="1"/>
    <brk id="170" max="11" man="1"/>
    <brk id="204" max="11" man="1"/>
    <brk id="237" max="11" man="1"/>
    <brk id="278"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24"/>
  <sheetViews>
    <sheetView tabSelected="1" workbookViewId="0">
      <selection activeCell="B17" sqref="B16:F24"/>
    </sheetView>
  </sheetViews>
  <sheetFormatPr defaultRowHeight="15" x14ac:dyDescent="0.25"/>
  <cols>
    <col min="2" max="2" width="44.6640625" style="177" customWidth="1"/>
    <col min="3" max="3" width="13" customWidth="1"/>
    <col min="4" max="4" width="13.1640625" customWidth="1"/>
    <col min="5" max="5" width="13.33203125" customWidth="1"/>
    <col min="6" max="6" width="12.5" customWidth="1"/>
  </cols>
  <sheetData>
    <row r="4" spans="2:8" x14ac:dyDescent="0.25">
      <c r="C4" s="163" t="s">
        <v>66</v>
      </c>
      <c r="D4" s="163"/>
      <c r="E4" s="163"/>
      <c r="F4" s="163"/>
    </row>
    <row r="5" spans="2:8" x14ac:dyDescent="0.25">
      <c r="B5" s="178"/>
      <c r="C5" s="63" t="s">
        <v>271</v>
      </c>
      <c r="D5" s="63" t="s">
        <v>272</v>
      </c>
      <c r="E5" s="63" t="s">
        <v>273</v>
      </c>
      <c r="F5" s="63" t="s">
        <v>274</v>
      </c>
    </row>
    <row r="6" spans="2:8" ht="12.75" x14ac:dyDescent="0.2">
      <c r="B6" s="30" t="s">
        <v>32</v>
      </c>
      <c r="C6" s="34">
        <v>34.842822598373267</v>
      </c>
      <c r="D6" s="34">
        <v>30.809412975826962</v>
      </c>
      <c r="E6" s="34">
        <v>26.86007863923707</v>
      </c>
      <c r="F6" s="34">
        <v>26.05224385776291</v>
      </c>
    </row>
    <row r="7" spans="2:8" ht="12.75" x14ac:dyDescent="0.2">
      <c r="B7" s="30" t="s">
        <v>102</v>
      </c>
      <c r="C7" s="39">
        <v>24.937655860349128</v>
      </c>
      <c r="D7" s="39" t="s">
        <v>46</v>
      </c>
      <c r="E7" s="39" t="s">
        <v>46</v>
      </c>
      <c r="F7" s="39" t="s">
        <v>46</v>
      </c>
    </row>
    <row r="8" spans="2:8" ht="12.75" x14ac:dyDescent="0.2">
      <c r="B8" s="30" t="s">
        <v>112</v>
      </c>
      <c r="C8" s="39">
        <v>30.451332245785753</v>
      </c>
      <c r="D8" s="39">
        <v>25.290844714213456</v>
      </c>
      <c r="E8" s="39">
        <v>22.187822497420022</v>
      </c>
      <c r="F8" s="39">
        <v>25.730180806675939</v>
      </c>
    </row>
    <row r="9" spans="2:8" ht="12.75" x14ac:dyDescent="0.2">
      <c r="B9" s="30" t="s">
        <v>124</v>
      </c>
      <c r="C9" s="39">
        <v>39.584166333466612</v>
      </c>
      <c r="D9" s="39">
        <v>35.196687370600415</v>
      </c>
      <c r="E9" s="39">
        <v>28.243962341383543</v>
      </c>
      <c r="F9" s="39">
        <v>32.112166440524646</v>
      </c>
    </row>
    <row r="10" spans="2:8" ht="12.75" x14ac:dyDescent="0.2">
      <c r="B10" s="30" t="s">
        <v>130</v>
      </c>
      <c r="C10" s="39">
        <v>30.013642564802183</v>
      </c>
      <c r="D10" s="39">
        <v>29.62962962962963</v>
      </c>
      <c r="E10" s="39" t="s">
        <v>46</v>
      </c>
      <c r="F10" s="39" t="s">
        <v>46</v>
      </c>
    </row>
    <row r="11" spans="2:8" ht="12.75" x14ac:dyDescent="0.2">
      <c r="B11" s="30" t="s">
        <v>135</v>
      </c>
      <c r="C11" s="39">
        <v>53.024026512013258</v>
      </c>
      <c r="D11" s="39">
        <v>38.952085487762844</v>
      </c>
      <c r="E11" s="39">
        <v>28.774752475247524</v>
      </c>
      <c r="F11" s="39">
        <v>28.061224489795919</v>
      </c>
    </row>
    <row r="12" spans="2:8" ht="12.75" x14ac:dyDescent="0.2">
      <c r="B12" s="28" t="s">
        <v>243</v>
      </c>
      <c r="C12" s="49">
        <v>39.208589697189048</v>
      </c>
      <c r="D12" s="49">
        <v>32.517741764643574</v>
      </c>
      <c r="E12" s="49">
        <v>24.721746575342465</v>
      </c>
      <c r="F12" s="49">
        <v>27.665405193788335</v>
      </c>
    </row>
    <row r="13" spans="2:8" ht="12.75" x14ac:dyDescent="0.2">
      <c r="B13" s="30" t="s">
        <v>246</v>
      </c>
    </row>
    <row r="16" spans="2:8" ht="12.75" x14ac:dyDescent="0.2">
      <c r="B16" s="145"/>
      <c r="C16" s="161" t="s">
        <v>283</v>
      </c>
      <c r="D16" s="162"/>
      <c r="E16" s="162"/>
      <c r="F16" s="162"/>
      <c r="G16" s="32"/>
      <c r="H16" s="32"/>
    </row>
    <row r="17" spans="2:12" ht="12.75" x14ac:dyDescent="0.2">
      <c r="B17" s="135"/>
      <c r="C17" s="163"/>
      <c r="D17" s="163"/>
      <c r="E17" s="163"/>
      <c r="F17" s="163"/>
      <c r="G17" s="32"/>
      <c r="H17" s="32"/>
    </row>
    <row r="18" spans="2:12" ht="12.75" x14ac:dyDescent="0.2">
      <c r="B18" s="134"/>
      <c r="C18" s="63" t="s">
        <v>168</v>
      </c>
      <c r="D18" s="63" t="s">
        <v>196</v>
      </c>
      <c r="E18" s="63" t="s">
        <v>198</v>
      </c>
      <c r="F18" s="63" t="s">
        <v>199</v>
      </c>
      <c r="G18" s="32"/>
      <c r="H18" s="32"/>
      <c r="I18" s="63" t="s">
        <v>168</v>
      </c>
      <c r="J18" s="63" t="s">
        <v>196</v>
      </c>
      <c r="K18" s="63" t="s">
        <v>198</v>
      </c>
      <c r="L18" s="63" t="s">
        <v>199</v>
      </c>
    </row>
    <row r="19" spans="2:12" ht="12.75" x14ac:dyDescent="0.2">
      <c r="B19" s="135" t="s">
        <v>32</v>
      </c>
      <c r="C19" s="39">
        <v>74.8</v>
      </c>
      <c r="D19" s="39">
        <v>74.900000000000006</v>
      </c>
      <c r="E19" s="39">
        <v>75.900000000000006</v>
      </c>
      <c r="F19" s="39">
        <v>76.821750059683467</v>
      </c>
      <c r="G19" s="32"/>
      <c r="H19" s="32"/>
    </row>
    <row r="20" spans="2:12" ht="12.75" x14ac:dyDescent="0.2">
      <c r="B20" s="135" t="s">
        <v>135</v>
      </c>
      <c r="C20" s="39">
        <v>91.186440677966104</v>
      </c>
      <c r="D20" s="39">
        <v>92.31</v>
      </c>
      <c r="E20" s="39">
        <v>94.68</v>
      </c>
      <c r="F20" s="39">
        <v>91.699604743083</v>
      </c>
      <c r="G20" s="32"/>
      <c r="H20" s="32"/>
    </row>
    <row r="21" spans="2:12" ht="12.75" x14ac:dyDescent="0.2">
      <c r="B21" s="135"/>
      <c r="C21" s="39"/>
      <c r="D21" s="39"/>
      <c r="E21" s="39"/>
      <c r="F21" s="39"/>
      <c r="G21" s="32"/>
      <c r="H21" s="32"/>
    </row>
    <row r="22" spans="2:12" x14ac:dyDescent="0.25">
      <c r="B22" s="178"/>
      <c r="C22" s="164" t="s">
        <v>282</v>
      </c>
      <c r="D22" s="164"/>
      <c r="E22" s="164"/>
      <c r="F22" s="164"/>
      <c r="J22" s="143"/>
      <c r="K22" s="143"/>
      <c r="L22" s="143"/>
    </row>
    <row r="23" spans="2:12" ht="12.75" x14ac:dyDescent="0.2">
      <c r="B23" s="135" t="s">
        <v>32</v>
      </c>
      <c r="C23" s="46">
        <v>5.792446123668725</v>
      </c>
      <c r="D23" s="46">
        <v>5.5389140759930919</v>
      </c>
      <c r="E23" s="46">
        <v>4.8605960719681365</v>
      </c>
      <c r="F23" s="46">
        <v>4.7760816750691628</v>
      </c>
      <c r="I23" s="144"/>
      <c r="J23" s="144"/>
      <c r="K23" s="144"/>
      <c r="L23" s="144"/>
    </row>
    <row r="24" spans="2:12" ht="12.75" x14ac:dyDescent="0.2">
      <c r="B24" s="134" t="s">
        <v>135</v>
      </c>
      <c r="C24" s="49">
        <v>4.41</v>
      </c>
      <c r="D24" s="49">
        <v>3.4615384615384617</v>
      </c>
      <c r="E24" s="49">
        <v>1.52</v>
      </c>
      <c r="F24" s="49">
        <v>3.9525691699604741</v>
      </c>
    </row>
  </sheetData>
  <mergeCells count="3">
    <mergeCell ref="C4:F4"/>
    <mergeCell ref="C16:F17"/>
    <mergeCell ref="C22:F22"/>
  </mergeCells>
  <dataValidations count="1">
    <dataValidation type="custom" allowBlank="1" showInputMessage="1" showErrorMessage="1" error="Content in these cells cannot be changed._x000a__x000a_Please click Cancel." sqref="C19:H21 C23:F24">
      <formula1>"="</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Template IF 2</vt:lpstr>
      <vt:lpstr>Title Page</vt:lpstr>
      <vt:lpstr>Instructions</vt:lpstr>
      <vt:lpstr>Trends</vt:lpstr>
      <vt:lpstr>Sheet1</vt:lpstr>
      <vt:lpstr>Trends!Print_Area</vt:lpstr>
    </vt:vector>
  </TitlesOfParts>
  <Company>MDH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Edelman</dc:creator>
  <cp:lastModifiedBy>Kim Edelman</cp:lastModifiedBy>
  <cp:lastPrinted>2012-05-21T15:37:09Z</cp:lastPrinted>
  <dcterms:created xsi:type="dcterms:W3CDTF">2007-03-30T18:14:35Z</dcterms:created>
  <dcterms:modified xsi:type="dcterms:W3CDTF">2012-06-13T21:56:40Z</dcterms:modified>
</cp:coreProperties>
</file>