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135" windowWidth="9735" windowHeight="5655" tabRatio="875" firstSheet="1" activeTab="3"/>
  </bookViews>
  <sheets>
    <sheet name="Template IF 2" sheetId="1" state="hidden" r:id="rId1"/>
    <sheet name="Title Page" sheetId="10" r:id="rId2"/>
    <sheet name="Instructions" sheetId="5" r:id="rId3"/>
    <sheet name="Trends" sheetId="2" r:id="rId4"/>
  </sheets>
  <definedNames>
    <definedName name="_xlnm.Print_Area" localSheetId="3">Trends!$A$1:$L$314</definedName>
  </definedNames>
  <calcPr calcId="145621"/>
</workbook>
</file>

<file path=xl/calcChain.xml><?xml version="1.0" encoding="utf-8"?>
<calcChain xmlns="http://schemas.openxmlformats.org/spreadsheetml/2006/main">
  <c r="M91" i="1" l="1"/>
  <c r="N91" i="1"/>
  <c r="O91" i="1"/>
  <c r="P91" i="1"/>
  <c r="M92" i="1"/>
  <c r="N92" i="1"/>
  <c r="O92" i="1"/>
  <c r="P92" i="1"/>
  <c r="M93" i="1"/>
  <c r="N93" i="1"/>
  <c r="O93" i="1"/>
  <c r="P93" i="1"/>
  <c r="M94" i="1"/>
  <c r="N94" i="1"/>
  <c r="O94" i="1"/>
  <c r="P94" i="1"/>
  <c r="M95" i="1"/>
  <c r="N95" i="1"/>
  <c r="O95" i="1"/>
  <c r="P95" i="1"/>
  <c r="M96" i="1"/>
  <c r="N96" i="1"/>
  <c r="O96" i="1"/>
  <c r="P96" i="1"/>
  <c r="M97" i="1"/>
  <c r="N97" i="1"/>
  <c r="O97" i="1"/>
  <c r="P97" i="1"/>
  <c r="M98" i="1"/>
  <c r="N98" i="1"/>
  <c r="O98" i="1"/>
  <c r="P98" i="1"/>
  <c r="M99" i="1"/>
  <c r="N99" i="1"/>
  <c r="O99" i="1"/>
  <c r="P99" i="1"/>
  <c r="M100" i="1"/>
  <c r="N100" i="1"/>
  <c r="O100" i="1"/>
  <c r="P100" i="1"/>
  <c r="M101" i="1"/>
  <c r="N101" i="1"/>
  <c r="O101" i="1"/>
  <c r="P101" i="1"/>
  <c r="M102" i="1"/>
  <c r="N102" i="1"/>
  <c r="O102" i="1"/>
  <c r="P102" i="1"/>
  <c r="M103" i="1"/>
  <c r="N103" i="1"/>
  <c r="O103" i="1"/>
  <c r="P103" i="1"/>
  <c r="M104" i="1"/>
  <c r="N104" i="1"/>
  <c r="O104" i="1"/>
  <c r="P104" i="1"/>
  <c r="M105" i="1"/>
  <c r="N105" i="1"/>
  <c r="O105" i="1"/>
  <c r="P105" i="1"/>
  <c r="M106" i="1"/>
  <c r="N106" i="1"/>
  <c r="O106" i="1"/>
  <c r="P106" i="1"/>
  <c r="M107" i="1"/>
  <c r="N107" i="1"/>
  <c r="O107" i="1"/>
  <c r="P107" i="1"/>
  <c r="M108" i="1"/>
  <c r="N108" i="1"/>
  <c r="O108" i="1"/>
  <c r="P108" i="1"/>
  <c r="M109" i="1"/>
  <c r="N109" i="1"/>
  <c r="O109" i="1"/>
  <c r="P109" i="1"/>
  <c r="M110" i="1"/>
  <c r="N110" i="1"/>
  <c r="O110" i="1"/>
  <c r="P110" i="1"/>
  <c r="H91" i="1" l="1"/>
  <c r="I91" i="1"/>
  <c r="J91" i="1"/>
  <c r="K91" i="1"/>
  <c r="L91" i="1"/>
  <c r="H92" i="1"/>
  <c r="I92" i="1"/>
  <c r="J92" i="1"/>
  <c r="K92" i="1"/>
  <c r="L92" i="1"/>
  <c r="H93" i="1"/>
  <c r="I93" i="1"/>
  <c r="J93" i="1"/>
  <c r="K93" i="1"/>
  <c r="L93" i="1"/>
  <c r="H94" i="1"/>
  <c r="I94" i="1"/>
  <c r="J94" i="1"/>
  <c r="K94" i="1"/>
  <c r="L94" i="1"/>
  <c r="H95" i="1"/>
  <c r="I95" i="1"/>
  <c r="J95" i="1"/>
  <c r="K95" i="1"/>
  <c r="L95" i="1"/>
  <c r="H96" i="1"/>
  <c r="I96" i="1"/>
  <c r="J96" i="1"/>
  <c r="K96" i="1"/>
  <c r="L96" i="1"/>
  <c r="H97" i="1"/>
  <c r="I97" i="1"/>
  <c r="J97" i="1"/>
  <c r="K97" i="1"/>
  <c r="L97" i="1"/>
  <c r="H98" i="1"/>
  <c r="I98" i="1"/>
  <c r="J98" i="1"/>
  <c r="K98" i="1"/>
  <c r="L98" i="1"/>
  <c r="H99" i="1"/>
  <c r="I99" i="1"/>
  <c r="J99" i="1"/>
  <c r="K99" i="1"/>
  <c r="L99" i="1"/>
  <c r="H100" i="1"/>
  <c r="I100" i="1"/>
  <c r="J100" i="1"/>
  <c r="K100" i="1"/>
  <c r="L100" i="1"/>
  <c r="H101" i="1"/>
  <c r="I101" i="1"/>
  <c r="J101" i="1"/>
  <c r="K101" i="1"/>
  <c r="L101" i="1"/>
  <c r="H102" i="1"/>
  <c r="I102" i="1"/>
  <c r="J102" i="1"/>
  <c r="K102" i="1"/>
  <c r="L102" i="1"/>
  <c r="H103" i="1"/>
  <c r="I103" i="1"/>
  <c r="J103" i="1"/>
  <c r="K103" i="1"/>
  <c r="L103" i="1"/>
  <c r="H104" i="1"/>
  <c r="I104" i="1"/>
  <c r="J104" i="1"/>
  <c r="K104" i="1"/>
  <c r="L104" i="1"/>
  <c r="H105" i="1"/>
  <c r="I105" i="1"/>
  <c r="J105" i="1"/>
  <c r="K105" i="1"/>
  <c r="L105" i="1"/>
  <c r="H106" i="1"/>
  <c r="I106" i="1"/>
  <c r="J106" i="1"/>
  <c r="K106" i="1"/>
  <c r="L106" i="1"/>
  <c r="H107" i="1"/>
  <c r="I107" i="1"/>
  <c r="J107" i="1"/>
  <c r="K107" i="1"/>
  <c r="L107" i="1"/>
  <c r="H108" i="1"/>
  <c r="I108" i="1"/>
  <c r="J108" i="1"/>
  <c r="K108" i="1"/>
  <c r="L108" i="1"/>
  <c r="H109" i="1"/>
  <c r="I109" i="1"/>
  <c r="J109" i="1"/>
  <c r="K109" i="1"/>
  <c r="L109" i="1"/>
  <c r="H110" i="1"/>
  <c r="I110" i="1"/>
  <c r="J110" i="1"/>
  <c r="K110" i="1"/>
  <c r="L110" i="1"/>
  <c r="D91" i="1"/>
  <c r="E91" i="1"/>
  <c r="F91" i="1"/>
  <c r="G91" i="1"/>
  <c r="D92" i="1"/>
  <c r="E92" i="1"/>
  <c r="F92" i="1"/>
  <c r="G92" i="1"/>
  <c r="D93" i="1"/>
  <c r="E93" i="1"/>
  <c r="F93" i="1"/>
  <c r="G93" i="1"/>
  <c r="D94" i="1"/>
  <c r="E94" i="1"/>
  <c r="F94" i="1"/>
  <c r="G94" i="1"/>
  <c r="D95" i="1"/>
  <c r="E95" i="1"/>
  <c r="F95" i="1"/>
  <c r="G95" i="1"/>
  <c r="D96" i="1"/>
  <c r="E96" i="1"/>
  <c r="F96" i="1"/>
  <c r="G96" i="1"/>
  <c r="D97" i="1"/>
  <c r="E97" i="1"/>
  <c r="F97" i="1"/>
  <c r="G97" i="1"/>
  <c r="D98" i="1"/>
  <c r="E98" i="1"/>
  <c r="F98" i="1"/>
  <c r="G98" i="1"/>
  <c r="D99" i="1"/>
  <c r="E99" i="1"/>
  <c r="F99" i="1"/>
  <c r="G99" i="1"/>
  <c r="D100" i="1"/>
  <c r="E100" i="1"/>
  <c r="F100" i="1"/>
  <c r="G100" i="1"/>
  <c r="D101" i="1"/>
  <c r="E101" i="1"/>
  <c r="F101" i="1"/>
  <c r="G101" i="1"/>
  <c r="D102" i="1"/>
  <c r="E102" i="1"/>
  <c r="F102" i="1"/>
  <c r="G102" i="1"/>
  <c r="D103" i="1"/>
  <c r="E103" i="1"/>
  <c r="F103" i="1"/>
  <c r="G103" i="1"/>
  <c r="D104" i="1"/>
  <c r="E104" i="1"/>
  <c r="F104" i="1"/>
  <c r="G104" i="1"/>
  <c r="D105" i="1"/>
  <c r="E105" i="1"/>
  <c r="F105" i="1"/>
  <c r="G105" i="1"/>
  <c r="D106" i="1"/>
  <c r="E106" i="1"/>
  <c r="F106" i="1"/>
  <c r="G106" i="1"/>
  <c r="D107" i="1"/>
  <c r="E107" i="1"/>
  <c r="F107" i="1"/>
  <c r="G107" i="1"/>
  <c r="D108" i="1"/>
  <c r="E108" i="1"/>
  <c r="F108" i="1"/>
  <c r="G108" i="1"/>
  <c r="D109" i="1"/>
  <c r="E109" i="1"/>
  <c r="F109" i="1"/>
  <c r="G109" i="1"/>
  <c r="D110" i="1"/>
  <c r="E110" i="1"/>
  <c r="F110" i="1"/>
  <c r="G110" i="1"/>
  <c r="C109" i="1"/>
  <c r="C110" i="1" l="1"/>
  <c r="C108" i="1"/>
  <c r="C107" i="1"/>
  <c r="C106" i="1"/>
  <c r="C105" i="1"/>
  <c r="C104" i="1"/>
  <c r="C103" i="1"/>
  <c r="C102" i="1"/>
  <c r="C101" i="1"/>
  <c r="C100" i="1"/>
  <c r="C99" i="1"/>
  <c r="C98" i="1"/>
  <c r="C97" i="1"/>
  <c r="C96" i="1"/>
  <c r="C95" i="1"/>
  <c r="C94" i="1"/>
  <c r="C93" i="1"/>
  <c r="C92" i="1"/>
  <c r="C91" i="1"/>
  <c r="I191" i="2" l="1"/>
  <c r="I190" i="2"/>
  <c r="I189" i="2"/>
  <c r="I188" i="2"/>
  <c r="I187" i="2"/>
  <c r="I186" i="2"/>
  <c r="I185" i="2"/>
  <c r="AI319" i="2"/>
  <c r="AI318" i="2"/>
  <c r="AI317" i="2"/>
  <c r="AI316" i="2"/>
  <c r="AI315" i="2"/>
  <c r="AI314" i="2"/>
  <c r="AI313" i="2"/>
  <c r="AH319" i="2"/>
  <c r="AH318" i="2"/>
  <c r="AH317" i="2"/>
  <c r="AH316" i="2"/>
  <c r="AH315" i="2"/>
  <c r="AH314" i="2"/>
  <c r="AH313" i="2"/>
  <c r="AG319" i="2"/>
  <c r="AG318" i="2"/>
  <c r="AG317" i="2"/>
  <c r="AG316" i="2"/>
  <c r="AG315" i="2"/>
  <c r="AG314" i="2"/>
  <c r="AF319" i="2"/>
  <c r="AF318" i="2"/>
  <c r="AF317" i="2"/>
  <c r="AF316" i="2"/>
  <c r="AF315" i="2"/>
  <c r="AF314" i="2"/>
  <c r="AE319" i="2"/>
  <c r="AE318" i="2"/>
  <c r="AE317" i="2"/>
  <c r="AE316" i="2"/>
  <c r="AE315" i="2"/>
  <c r="AE314" i="2"/>
  <c r="AE313" i="2"/>
  <c r="AF313" i="2"/>
  <c r="AG313" i="2"/>
  <c r="AD319" i="2"/>
  <c r="AD318" i="2"/>
  <c r="AD317" i="2"/>
  <c r="AD316" i="2"/>
  <c r="AD315" i="2"/>
  <c r="AD314" i="2"/>
  <c r="AD313" i="2"/>
  <c r="AV319" i="2"/>
  <c r="AV318" i="2"/>
  <c r="AV317" i="2"/>
  <c r="AV316" i="2"/>
  <c r="AV315" i="2"/>
  <c r="AV314" i="2"/>
  <c r="AV313" i="2"/>
  <c r="Y319" i="2"/>
  <c r="Y318" i="2"/>
  <c r="Y317" i="2"/>
  <c r="Y316" i="2"/>
  <c r="Y315" i="2"/>
  <c r="Y314" i="2"/>
  <c r="Y313" i="2"/>
  <c r="T319" i="2"/>
  <c r="T318" i="2"/>
  <c r="T317" i="2"/>
  <c r="T316" i="2"/>
  <c r="T315" i="2"/>
  <c r="T314" i="2"/>
  <c r="T313" i="2"/>
  <c r="J273" i="2"/>
  <c r="J272" i="2"/>
  <c r="J271" i="2"/>
  <c r="J270" i="2"/>
  <c r="J269" i="2"/>
  <c r="J268" i="2"/>
  <c r="J267" i="2"/>
  <c r="C273" i="2"/>
  <c r="C272" i="2"/>
  <c r="C271" i="2"/>
  <c r="C270" i="2"/>
  <c r="C269" i="2"/>
  <c r="C268" i="2"/>
  <c r="C267" i="2"/>
  <c r="H264" i="2"/>
  <c r="H263" i="2"/>
  <c r="H262" i="2"/>
  <c r="H261" i="2"/>
  <c r="H260" i="2"/>
  <c r="H259" i="2"/>
  <c r="H258" i="2"/>
  <c r="K255" i="2"/>
  <c r="K254" i="2"/>
  <c r="K253" i="2"/>
  <c r="K252" i="2"/>
  <c r="K251" i="2"/>
  <c r="K250" i="2"/>
  <c r="K249" i="2"/>
  <c r="D255" i="2"/>
  <c r="D254" i="2"/>
  <c r="D253" i="2"/>
  <c r="D252" i="2"/>
  <c r="D251" i="2"/>
  <c r="D250" i="2"/>
  <c r="D249" i="2"/>
  <c r="I246" i="2"/>
  <c r="I245" i="2"/>
  <c r="I244" i="2"/>
  <c r="I243" i="2"/>
  <c r="I242" i="2"/>
  <c r="I241" i="2"/>
  <c r="I240" i="2"/>
  <c r="B246" i="2"/>
  <c r="B245" i="2"/>
  <c r="B244" i="2"/>
  <c r="B243" i="2"/>
  <c r="B242" i="2"/>
  <c r="B241" i="2"/>
  <c r="B240" i="2"/>
  <c r="E235" i="2"/>
  <c r="E234" i="2"/>
  <c r="E233" i="2"/>
  <c r="E232" i="2"/>
  <c r="E231" i="2"/>
  <c r="E230" i="2"/>
  <c r="E229" i="2"/>
  <c r="J225" i="2"/>
  <c r="J224" i="2"/>
  <c r="J223" i="2"/>
  <c r="J222" i="2"/>
  <c r="J221" i="2"/>
  <c r="J220" i="2"/>
  <c r="J219" i="2"/>
  <c r="C225" i="2"/>
  <c r="C224" i="2"/>
  <c r="C223" i="2"/>
  <c r="C222" i="2"/>
  <c r="C221" i="2"/>
  <c r="C220" i="2"/>
  <c r="C219" i="2"/>
  <c r="I214" i="2"/>
  <c r="I213" i="2"/>
  <c r="I212" i="2"/>
  <c r="I211" i="2"/>
  <c r="I210" i="2"/>
  <c r="I209" i="2"/>
  <c r="I208" i="2"/>
  <c r="H214" i="2"/>
  <c r="H213" i="2"/>
  <c r="H212" i="2"/>
  <c r="H211" i="2"/>
  <c r="H210" i="2"/>
  <c r="H209" i="2"/>
  <c r="H208" i="2"/>
  <c r="J202" i="2" l="1"/>
  <c r="J201" i="2"/>
  <c r="J200" i="2"/>
  <c r="J199" i="2"/>
  <c r="J198" i="2"/>
  <c r="J197" i="2"/>
  <c r="J196" i="2"/>
  <c r="D202" i="2"/>
  <c r="D201" i="2"/>
  <c r="D200" i="2"/>
  <c r="D199" i="2"/>
  <c r="D198" i="2"/>
  <c r="D197" i="2"/>
  <c r="D196" i="2"/>
  <c r="B191" i="2"/>
  <c r="B190" i="2"/>
  <c r="B189" i="2"/>
  <c r="B188" i="2"/>
  <c r="B187" i="2"/>
  <c r="B186" i="2"/>
  <c r="B185" i="2"/>
  <c r="E180" i="2"/>
  <c r="E179" i="2"/>
  <c r="E178" i="2"/>
  <c r="E177" i="2"/>
  <c r="E176" i="2"/>
  <c r="E175" i="2"/>
  <c r="E174" i="2"/>
  <c r="J168" i="2"/>
  <c r="J167" i="2"/>
  <c r="J166" i="2"/>
  <c r="J165" i="2"/>
  <c r="J164" i="2"/>
  <c r="J163" i="2"/>
  <c r="J162" i="2"/>
  <c r="C168" i="2"/>
  <c r="C167" i="2"/>
  <c r="C166" i="2"/>
  <c r="C165" i="2"/>
  <c r="C164" i="2"/>
  <c r="C163" i="2"/>
  <c r="C162" i="2"/>
  <c r="H157" i="2"/>
  <c r="H156" i="2"/>
  <c r="H155" i="2"/>
  <c r="H154" i="2"/>
  <c r="H153" i="2"/>
  <c r="H152" i="2"/>
  <c r="H151" i="2"/>
  <c r="K146" i="2"/>
  <c r="K145" i="2"/>
  <c r="K144" i="2"/>
  <c r="K143" i="2"/>
  <c r="K142" i="2"/>
  <c r="K141" i="2"/>
  <c r="K140" i="2"/>
  <c r="H88" i="2"/>
  <c r="H87" i="2"/>
  <c r="H86" i="2"/>
  <c r="H85" i="2"/>
  <c r="H84" i="2"/>
  <c r="H83" i="2"/>
  <c r="H82" i="2"/>
  <c r="B88" i="2"/>
  <c r="B87" i="2"/>
  <c r="B86" i="2"/>
  <c r="B85" i="2"/>
  <c r="B84" i="2"/>
  <c r="B83" i="2"/>
  <c r="B82" i="2"/>
  <c r="H78" i="2"/>
  <c r="I78" i="2"/>
  <c r="J78" i="2"/>
  <c r="K78" i="2"/>
  <c r="L78" i="2"/>
  <c r="H77" i="2"/>
  <c r="I77" i="2"/>
  <c r="J77" i="2"/>
  <c r="K77" i="2"/>
  <c r="L77" i="2"/>
  <c r="H76" i="2"/>
  <c r="I76" i="2"/>
  <c r="J76" i="2"/>
  <c r="K76" i="2"/>
  <c r="L76" i="2"/>
  <c r="H75" i="2"/>
  <c r="I75" i="2"/>
  <c r="J75" i="2"/>
  <c r="K75" i="2"/>
  <c r="L75" i="2"/>
  <c r="L74" i="2"/>
  <c r="K74" i="2"/>
  <c r="J74" i="2"/>
  <c r="I74" i="2"/>
  <c r="H74" i="2"/>
  <c r="L73" i="2"/>
  <c r="K73" i="2"/>
  <c r="J73" i="2"/>
  <c r="I73" i="2"/>
  <c r="H73" i="2"/>
  <c r="I72" i="2"/>
  <c r="J72" i="2"/>
  <c r="K72" i="2"/>
  <c r="L72" i="2"/>
  <c r="H72" i="2"/>
  <c r="S318" i="2" l="1"/>
  <c r="F196" i="2" l="1"/>
  <c r="H196" i="2"/>
  <c r="I196" i="2"/>
  <c r="E196" i="2"/>
  <c r="E198" i="2"/>
  <c r="F198" i="2"/>
  <c r="H198" i="2"/>
  <c r="I198" i="2"/>
  <c r="E199" i="2"/>
  <c r="F199" i="2"/>
  <c r="H199" i="2"/>
  <c r="I199" i="2"/>
  <c r="E200" i="2"/>
  <c r="F200" i="2"/>
  <c r="H200" i="2"/>
  <c r="I200" i="2"/>
  <c r="E201" i="2"/>
  <c r="F201" i="2"/>
  <c r="H201" i="2"/>
  <c r="I201" i="2"/>
  <c r="E202" i="2"/>
  <c r="F202" i="2"/>
  <c r="H202" i="2"/>
  <c r="I202" i="2"/>
  <c r="I197" i="2"/>
  <c r="H197" i="2"/>
  <c r="F197" i="2"/>
  <c r="E197" i="2"/>
  <c r="AK313" i="2" l="1"/>
  <c r="AL313" i="2"/>
  <c r="AM313" i="2"/>
  <c r="AN313" i="2"/>
  <c r="AJ313" i="2"/>
  <c r="AA313" i="2"/>
  <c r="AB313" i="2"/>
  <c r="AC313" i="2"/>
  <c r="Z313" i="2"/>
  <c r="V313" i="2"/>
  <c r="W313" i="2"/>
  <c r="X313" i="2"/>
  <c r="U313" i="2"/>
  <c r="Q313" i="2"/>
  <c r="R313" i="2"/>
  <c r="S313" i="2"/>
  <c r="K267" i="2"/>
  <c r="E267" i="2"/>
  <c r="H267" i="2"/>
  <c r="I267" i="2"/>
  <c r="D267" i="2"/>
  <c r="J258" i="2"/>
  <c r="K258" i="2"/>
  <c r="B267" i="2"/>
  <c r="I258" i="2"/>
  <c r="C258" i="2"/>
  <c r="D258" i="2"/>
  <c r="E258" i="2"/>
  <c r="B258" i="2"/>
  <c r="H249" i="2"/>
  <c r="I249" i="2"/>
  <c r="J249" i="2"/>
  <c r="E249" i="2"/>
  <c r="K240" i="2"/>
  <c r="B249" i="2"/>
  <c r="C249" i="2"/>
  <c r="J240" i="2"/>
  <c r="D240" i="2"/>
  <c r="E240" i="2"/>
  <c r="H240" i="2"/>
  <c r="C240" i="2"/>
  <c r="I229" i="2"/>
  <c r="J229" i="2"/>
  <c r="K229" i="2"/>
  <c r="H229" i="2"/>
  <c r="B229" i="2"/>
  <c r="C229" i="2"/>
  <c r="D229" i="2"/>
  <c r="K219" i="2"/>
  <c r="I219" i="2"/>
  <c r="H219" i="2"/>
  <c r="E219" i="2"/>
  <c r="D219" i="2"/>
  <c r="K208" i="2"/>
  <c r="L208" i="2"/>
  <c r="B219" i="2"/>
  <c r="J208" i="2"/>
  <c r="AP313" i="2"/>
  <c r="AQ313" i="2"/>
  <c r="AO313" i="2"/>
  <c r="B208" i="2"/>
  <c r="C208" i="2"/>
  <c r="D208" i="2"/>
  <c r="E208" i="2"/>
  <c r="K196" i="2"/>
  <c r="K185" i="2"/>
  <c r="B196" i="2"/>
  <c r="C196" i="2"/>
  <c r="J185" i="2"/>
  <c r="D185" i="2"/>
  <c r="E185" i="2"/>
  <c r="H185" i="2"/>
  <c r="C185" i="2"/>
  <c r="I174" i="2"/>
  <c r="J174" i="2"/>
  <c r="K174" i="2"/>
  <c r="H174" i="2"/>
  <c r="B174" i="2"/>
  <c r="C174" i="2"/>
  <c r="D174" i="2"/>
  <c r="K162" i="2"/>
  <c r="E162" i="2"/>
  <c r="H162" i="2"/>
  <c r="I162" i="2"/>
  <c r="D162" i="2"/>
  <c r="J151" i="2"/>
  <c r="K151" i="2"/>
  <c r="B162" i="2"/>
  <c r="I151" i="2"/>
  <c r="AX313" i="2"/>
  <c r="AY313" i="2"/>
  <c r="AZ313" i="2"/>
  <c r="AW313" i="2"/>
  <c r="AS313" i="2"/>
  <c r="AT313" i="2"/>
  <c r="AU313" i="2"/>
  <c r="AR313" i="2"/>
  <c r="C151" i="2"/>
  <c r="D151" i="2"/>
  <c r="E151" i="2"/>
  <c r="B151" i="2"/>
  <c r="H140" i="2"/>
  <c r="I140" i="2"/>
  <c r="J140" i="2"/>
  <c r="E140" i="2"/>
  <c r="B140" i="2"/>
  <c r="C140" i="2"/>
  <c r="D140" i="2"/>
  <c r="K126" i="2"/>
  <c r="H126" i="2"/>
  <c r="I126" i="2"/>
  <c r="J126" i="2"/>
  <c r="E126" i="2"/>
  <c r="B126" i="2"/>
  <c r="C126" i="2"/>
  <c r="D126" i="2"/>
  <c r="K116" i="2"/>
  <c r="H116" i="2"/>
  <c r="I116" i="2"/>
  <c r="J116" i="2"/>
  <c r="E116" i="2"/>
  <c r="B116" i="2"/>
  <c r="C116" i="2"/>
  <c r="D116" i="2"/>
  <c r="K105" i="2"/>
  <c r="E105" i="2"/>
  <c r="H105" i="2"/>
  <c r="I105" i="2"/>
  <c r="J105" i="2"/>
  <c r="D105" i="2"/>
  <c r="K92" i="2"/>
  <c r="L92" i="2"/>
  <c r="B105" i="2"/>
  <c r="C105" i="2"/>
  <c r="J92" i="2"/>
  <c r="E92" i="2"/>
  <c r="F92" i="2"/>
  <c r="H92" i="2"/>
  <c r="I92" i="2"/>
  <c r="D92" i="2"/>
  <c r="K82" i="2"/>
  <c r="L82" i="2"/>
  <c r="B92" i="2"/>
  <c r="C92" i="2"/>
  <c r="J82" i="2"/>
  <c r="C72" i="2"/>
  <c r="D72" i="2"/>
  <c r="E72" i="2"/>
  <c r="F72" i="2"/>
  <c r="B72" i="2"/>
  <c r="I59" i="2"/>
  <c r="J59" i="2"/>
  <c r="K59" i="2"/>
  <c r="L59" i="2"/>
  <c r="H59" i="2"/>
  <c r="C59" i="2"/>
  <c r="D59" i="2"/>
  <c r="E59" i="2"/>
  <c r="F59" i="2"/>
  <c r="B59" i="2"/>
  <c r="I48" i="2"/>
  <c r="J48" i="2"/>
  <c r="K48" i="2"/>
  <c r="L48" i="2"/>
  <c r="H48" i="2"/>
  <c r="E48" i="2"/>
  <c r="F48" i="2"/>
  <c r="C48" i="2"/>
  <c r="D48" i="2"/>
  <c r="B48" i="2"/>
  <c r="L37" i="2"/>
  <c r="K37" i="2"/>
  <c r="J37" i="2"/>
  <c r="I37" i="2"/>
  <c r="H37" i="2"/>
  <c r="I82" i="2"/>
  <c r="F82" i="2"/>
  <c r="E82" i="2"/>
  <c r="D82" i="2"/>
  <c r="C82" i="2"/>
  <c r="C37" i="2"/>
  <c r="D37" i="2"/>
  <c r="E37" i="2"/>
  <c r="F37" i="2"/>
  <c r="B37" i="2"/>
  <c r="GB117" i="1" l="1"/>
  <c r="GC117" i="1"/>
  <c r="GD117" i="1"/>
  <c r="GE117" i="1"/>
  <c r="GF117" i="1"/>
  <c r="GG117" i="1"/>
  <c r="GH117" i="1"/>
  <c r="GI117" i="1"/>
  <c r="GJ117" i="1"/>
  <c r="GK117" i="1"/>
  <c r="GL117" i="1"/>
  <c r="GM117" i="1"/>
  <c r="GN117" i="1"/>
  <c r="GO117" i="1"/>
  <c r="GP117" i="1"/>
  <c r="GQ117" i="1"/>
  <c r="GR117" i="1"/>
  <c r="GS117" i="1"/>
  <c r="GT117" i="1"/>
  <c r="GU117" i="1"/>
  <c r="GV117" i="1"/>
  <c r="GW117" i="1"/>
  <c r="GX117" i="1"/>
  <c r="GY117" i="1"/>
  <c r="GZ117" i="1"/>
  <c r="HA117" i="1"/>
  <c r="HB117" i="1"/>
  <c r="HC117" i="1"/>
  <c r="HD117" i="1"/>
  <c r="HE117" i="1"/>
  <c r="HF117" i="1"/>
  <c r="HG117" i="1"/>
  <c r="HH117" i="1"/>
  <c r="HI117" i="1"/>
  <c r="HJ117" i="1"/>
  <c r="HK117" i="1"/>
  <c r="HL117" i="1"/>
  <c r="HM117" i="1"/>
  <c r="HN117" i="1"/>
  <c r="HO117" i="1"/>
  <c r="HP117" i="1"/>
  <c r="HQ117" i="1"/>
  <c r="HR117" i="1"/>
  <c r="HS117" i="1"/>
  <c r="HT117" i="1"/>
  <c r="HU117" i="1"/>
  <c r="CW117" i="1"/>
  <c r="CX117" i="1"/>
  <c r="CY117" i="1"/>
  <c r="CZ117" i="1"/>
  <c r="DA117" i="1"/>
  <c r="DB117" i="1"/>
  <c r="DC117" i="1"/>
  <c r="DD117" i="1"/>
  <c r="DE117" i="1"/>
  <c r="DF117" i="1"/>
  <c r="DG117" i="1"/>
  <c r="DH117" i="1"/>
  <c r="DI117" i="1"/>
  <c r="DJ117" i="1"/>
  <c r="DK117" i="1"/>
  <c r="DL117" i="1"/>
  <c r="DM117" i="1"/>
  <c r="DN117" i="1"/>
  <c r="DO117" i="1"/>
  <c r="DP117" i="1"/>
  <c r="DQ117" i="1"/>
  <c r="DR117" i="1"/>
  <c r="DS117" i="1"/>
  <c r="DT117" i="1"/>
  <c r="DU117" i="1"/>
  <c r="DV117" i="1"/>
  <c r="DW117" i="1"/>
  <c r="DX117" i="1"/>
  <c r="DY117" i="1"/>
  <c r="DZ117" i="1"/>
  <c r="EA117" i="1"/>
  <c r="EB117" i="1"/>
  <c r="EC117" i="1"/>
  <c r="ED117" i="1"/>
  <c r="EE117" i="1"/>
  <c r="EF117" i="1"/>
  <c r="EG117" i="1"/>
  <c r="EH117" i="1"/>
  <c r="EI117" i="1"/>
  <c r="EJ117" i="1"/>
  <c r="EK117" i="1"/>
  <c r="EL117" i="1"/>
  <c r="EM117" i="1"/>
  <c r="EN117" i="1"/>
  <c r="EO117" i="1"/>
  <c r="EP117" i="1"/>
  <c r="EQ117" i="1"/>
  <c r="ER117" i="1"/>
  <c r="ES117" i="1"/>
  <c r="ET117" i="1"/>
  <c r="EU117" i="1"/>
  <c r="EV117" i="1"/>
  <c r="EW117" i="1"/>
  <c r="EX117" i="1"/>
  <c r="EY117" i="1"/>
  <c r="EZ117" i="1"/>
  <c r="FA117" i="1"/>
  <c r="FB117" i="1"/>
  <c r="FC117" i="1"/>
  <c r="FD117" i="1"/>
  <c r="FE117" i="1"/>
  <c r="FF117" i="1"/>
  <c r="FG117" i="1"/>
  <c r="FH117" i="1"/>
  <c r="FI117" i="1"/>
  <c r="FJ117" i="1"/>
  <c r="FK117" i="1"/>
  <c r="FL117" i="1"/>
  <c r="FM117" i="1"/>
  <c r="FN117" i="1"/>
  <c r="FO117" i="1"/>
  <c r="FP117" i="1"/>
  <c r="FQ117" i="1"/>
  <c r="FR117" i="1"/>
  <c r="FS117" i="1"/>
  <c r="FT117" i="1"/>
  <c r="FU117" i="1"/>
  <c r="FV117" i="1"/>
  <c r="FW117" i="1"/>
  <c r="FX117" i="1"/>
  <c r="FY117" i="1"/>
  <c r="FZ117" i="1"/>
  <c r="GA117" i="1"/>
  <c r="CD117" i="1"/>
  <c r="CE117" i="1"/>
  <c r="CF117" i="1"/>
  <c r="CG117" i="1"/>
  <c r="CH117" i="1"/>
  <c r="CI117" i="1"/>
  <c r="CJ117" i="1"/>
  <c r="CK117" i="1"/>
  <c r="CL117" i="1"/>
  <c r="CM117" i="1"/>
  <c r="CN117" i="1"/>
  <c r="CO117" i="1"/>
  <c r="CP117" i="1"/>
  <c r="CQ117" i="1"/>
  <c r="CR117" i="1"/>
  <c r="CS117" i="1"/>
  <c r="CT117" i="1"/>
  <c r="CU117" i="1"/>
  <c r="CV117" i="1"/>
  <c r="BN117" i="1"/>
  <c r="BO117" i="1"/>
  <c r="BP117" i="1"/>
  <c r="BQ117" i="1"/>
  <c r="BR117" i="1"/>
  <c r="BS117" i="1"/>
  <c r="BT117" i="1"/>
  <c r="BU117" i="1"/>
  <c r="BV117" i="1"/>
  <c r="BW117" i="1"/>
  <c r="BX117" i="1"/>
  <c r="BY117" i="1"/>
  <c r="BZ117" i="1"/>
  <c r="CA117" i="1"/>
  <c r="CB117" i="1"/>
  <c r="CC117" i="1"/>
  <c r="AP117" i="1"/>
  <c r="AQ117" i="1"/>
  <c r="AR117" i="1"/>
  <c r="AS117" i="1"/>
  <c r="AT117" i="1"/>
  <c r="AU117" i="1"/>
  <c r="AV117" i="1"/>
  <c r="AW117" i="1"/>
  <c r="AX117" i="1"/>
  <c r="AY117" i="1"/>
  <c r="AZ117" i="1"/>
  <c r="BA117" i="1"/>
  <c r="BB117" i="1"/>
  <c r="BC117" i="1"/>
  <c r="BD117" i="1"/>
  <c r="BE117" i="1"/>
  <c r="BF117" i="1"/>
  <c r="BG117" i="1"/>
  <c r="BH117" i="1"/>
  <c r="BI117" i="1"/>
  <c r="BJ117" i="1"/>
  <c r="BK117" i="1"/>
  <c r="BL117" i="1"/>
  <c r="BM117" i="1"/>
  <c r="AC117" i="1"/>
  <c r="AD117" i="1"/>
  <c r="AE117" i="1"/>
  <c r="AF117" i="1"/>
  <c r="AG117" i="1"/>
  <c r="AH117" i="1"/>
  <c r="AI117" i="1"/>
  <c r="AJ117" i="1"/>
  <c r="AK117" i="1"/>
  <c r="AL117" i="1"/>
  <c r="AM117" i="1"/>
  <c r="AN117" i="1"/>
  <c r="AO117" i="1"/>
  <c r="K117" i="1"/>
  <c r="L117" i="1"/>
  <c r="M117" i="1"/>
  <c r="N117" i="1"/>
  <c r="O117" i="1"/>
  <c r="P117" i="1"/>
  <c r="Q117" i="1"/>
  <c r="R117" i="1"/>
  <c r="S117" i="1"/>
  <c r="T117" i="1"/>
  <c r="U117" i="1"/>
  <c r="V117" i="1"/>
  <c r="W117" i="1"/>
  <c r="X117" i="1"/>
  <c r="Y117" i="1"/>
  <c r="Z117" i="1"/>
  <c r="AA117" i="1"/>
  <c r="AB117" i="1"/>
  <c r="D117" i="1"/>
  <c r="E117" i="1"/>
  <c r="F117" i="1"/>
  <c r="G117" i="1"/>
  <c r="H117" i="1"/>
  <c r="I117" i="1"/>
  <c r="J117" i="1"/>
  <c r="C117" i="1"/>
  <c r="C116" i="1"/>
  <c r="D116" i="1" l="1"/>
  <c r="E116" i="1"/>
  <c r="F116" i="1"/>
  <c r="G116" i="1"/>
  <c r="H116" i="1"/>
  <c r="I116" i="1"/>
  <c r="J116" i="1"/>
  <c r="K116" i="1"/>
  <c r="L116" i="1"/>
  <c r="M116" i="1"/>
  <c r="N116" i="1"/>
  <c r="O116" i="1"/>
  <c r="P116" i="1"/>
  <c r="Q116" i="1"/>
  <c r="R116" i="1"/>
  <c r="S116" i="1"/>
  <c r="T116" i="1"/>
  <c r="U116" i="1"/>
  <c r="V116" i="1"/>
  <c r="W116" i="1"/>
  <c r="X116" i="1"/>
  <c r="Y116" i="1"/>
  <c r="Z116" i="1"/>
  <c r="AA116" i="1"/>
  <c r="AB116" i="1"/>
  <c r="AC116" i="1"/>
  <c r="AD116" i="1"/>
  <c r="AE116" i="1"/>
  <c r="AF116" i="1"/>
  <c r="AG116"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BH116" i="1"/>
  <c r="BI116" i="1"/>
  <c r="BJ116" i="1"/>
  <c r="BK116" i="1"/>
  <c r="BL116" i="1"/>
  <c r="BM116" i="1"/>
  <c r="BN116" i="1"/>
  <c r="BO116" i="1"/>
  <c r="BP116" i="1"/>
  <c r="BQ116" i="1"/>
  <c r="BR116" i="1"/>
  <c r="BS116" i="1"/>
  <c r="BT116" i="1"/>
  <c r="BU116" i="1"/>
  <c r="BV116" i="1"/>
  <c r="BW116" i="1"/>
  <c r="BX116" i="1"/>
  <c r="BY116" i="1"/>
  <c r="BZ116" i="1"/>
  <c r="CA116" i="1"/>
  <c r="CB116" i="1"/>
  <c r="CC116" i="1"/>
  <c r="CD116" i="1"/>
  <c r="CE116" i="1"/>
  <c r="CF116" i="1"/>
  <c r="CG116" i="1"/>
  <c r="CH116" i="1"/>
  <c r="CI116" i="1"/>
  <c r="CJ116" i="1"/>
  <c r="CK116" i="1"/>
  <c r="CL116" i="1"/>
  <c r="CM116" i="1"/>
  <c r="CN116" i="1"/>
  <c r="CO116" i="1"/>
  <c r="CP116" i="1"/>
  <c r="CQ116" i="1"/>
  <c r="CR116" i="1"/>
  <c r="CS116" i="1"/>
  <c r="CT116" i="1"/>
  <c r="CU116" i="1"/>
  <c r="CV116" i="1"/>
  <c r="CW116" i="1"/>
  <c r="CX116" i="1"/>
  <c r="CY116" i="1"/>
  <c r="CZ116" i="1"/>
  <c r="DA116" i="1"/>
  <c r="DB116" i="1"/>
  <c r="DC116" i="1"/>
  <c r="DD116" i="1"/>
  <c r="DE116" i="1"/>
  <c r="DF116" i="1"/>
  <c r="DG116" i="1"/>
  <c r="DH116" i="1"/>
  <c r="DI116" i="1"/>
  <c r="DJ116" i="1"/>
  <c r="DK116" i="1"/>
  <c r="DL116" i="1"/>
  <c r="DM116" i="1"/>
  <c r="DN116" i="1"/>
  <c r="DO116" i="1"/>
  <c r="DP116" i="1"/>
  <c r="DQ116" i="1"/>
  <c r="DR116" i="1"/>
  <c r="DS116" i="1"/>
  <c r="DT116" i="1"/>
  <c r="DU116" i="1"/>
  <c r="DV116" i="1"/>
  <c r="DW116" i="1"/>
  <c r="DX116" i="1"/>
  <c r="DY116" i="1"/>
  <c r="DZ116" i="1"/>
  <c r="EA116" i="1"/>
  <c r="EB116" i="1"/>
  <c r="EC116" i="1"/>
  <c r="ED116" i="1"/>
  <c r="EE116" i="1"/>
  <c r="EF116" i="1"/>
  <c r="EG116" i="1"/>
  <c r="EH116" i="1"/>
  <c r="EI116" i="1"/>
  <c r="EJ116" i="1"/>
  <c r="EK116" i="1"/>
  <c r="EL116" i="1"/>
  <c r="EM116" i="1"/>
  <c r="EN116" i="1"/>
  <c r="EO116" i="1"/>
  <c r="EP116" i="1"/>
  <c r="EQ116" i="1"/>
  <c r="ER116" i="1"/>
  <c r="ES116" i="1"/>
  <c r="ET116" i="1"/>
  <c r="EU116" i="1"/>
  <c r="EV116" i="1"/>
  <c r="EW116" i="1"/>
  <c r="EX116" i="1"/>
  <c r="EY116" i="1"/>
  <c r="EZ116" i="1"/>
  <c r="FA116" i="1"/>
  <c r="FB116" i="1"/>
  <c r="FC116" i="1"/>
  <c r="FD116" i="1"/>
  <c r="FE116" i="1"/>
  <c r="FF116" i="1"/>
  <c r="FG116" i="1"/>
  <c r="FH116" i="1"/>
  <c r="FI116" i="1"/>
  <c r="FJ116" i="1"/>
  <c r="FK116" i="1"/>
  <c r="FL116" i="1"/>
  <c r="FM116" i="1"/>
  <c r="FN116" i="1"/>
  <c r="FO116" i="1"/>
  <c r="FP116" i="1"/>
  <c r="FQ116" i="1"/>
  <c r="FR116" i="1"/>
  <c r="FS116" i="1"/>
  <c r="FT116" i="1"/>
  <c r="FU116" i="1"/>
  <c r="FV116" i="1"/>
  <c r="FW116" i="1"/>
  <c r="FX116" i="1"/>
  <c r="FY116" i="1"/>
  <c r="FZ116" i="1"/>
  <c r="GA116" i="1"/>
  <c r="GB116" i="1"/>
  <c r="GC116" i="1"/>
  <c r="GD116" i="1"/>
  <c r="GE116" i="1"/>
  <c r="GF116" i="1"/>
  <c r="GG116" i="1"/>
  <c r="GH116" i="1"/>
  <c r="GI116" i="1"/>
  <c r="GJ116" i="1"/>
  <c r="GK116" i="1"/>
  <c r="GL116" i="1"/>
  <c r="GM116" i="1"/>
  <c r="GN116" i="1"/>
  <c r="GO116" i="1"/>
  <c r="GP116" i="1"/>
  <c r="GQ116" i="1"/>
  <c r="GR116" i="1"/>
  <c r="GS116" i="1"/>
  <c r="GT116" i="1"/>
  <c r="GU116" i="1"/>
  <c r="GV116" i="1"/>
  <c r="GW116" i="1"/>
  <c r="GX116" i="1"/>
  <c r="GY116" i="1"/>
  <c r="GZ116" i="1"/>
  <c r="HA116" i="1"/>
  <c r="HB116" i="1"/>
  <c r="HC116" i="1"/>
  <c r="HD116" i="1"/>
  <c r="HE116" i="1"/>
  <c r="HF116" i="1"/>
  <c r="HG116" i="1"/>
  <c r="HH116" i="1"/>
  <c r="HI116" i="1"/>
  <c r="HJ116" i="1"/>
  <c r="HK116" i="1"/>
  <c r="HL116" i="1"/>
  <c r="HM116" i="1"/>
  <c r="HN116" i="1"/>
  <c r="HO116" i="1"/>
  <c r="HP116" i="1"/>
  <c r="HQ116" i="1"/>
  <c r="HR116" i="1"/>
  <c r="HS116" i="1"/>
  <c r="HT116" i="1"/>
  <c r="HU116" i="1"/>
  <c r="HV116" i="1" l="1"/>
  <c r="S319" i="2"/>
  <c r="R319" i="2"/>
  <c r="Q319" i="2"/>
  <c r="K273" i="2"/>
  <c r="J255" i="2"/>
  <c r="I255" i="2"/>
  <c r="H255" i="2"/>
  <c r="E255" i="2"/>
  <c r="R318" i="2"/>
  <c r="Q318" i="2"/>
  <c r="K272" i="2"/>
  <c r="J254" i="2"/>
  <c r="I254" i="2"/>
  <c r="H254" i="2"/>
  <c r="E254" i="2"/>
  <c r="S317" i="2"/>
  <c r="R317" i="2"/>
  <c r="Q317" i="2"/>
  <c r="K271" i="2"/>
  <c r="J253" i="2"/>
  <c r="I253" i="2"/>
  <c r="H253" i="2"/>
  <c r="E253" i="2"/>
  <c r="S316" i="2"/>
  <c r="R316" i="2"/>
  <c r="Q316" i="2"/>
  <c r="K270" i="2"/>
  <c r="J252" i="2"/>
  <c r="I252" i="2"/>
  <c r="H252" i="2"/>
  <c r="E252" i="2"/>
  <c r="S315" i="2"/>
  <c r="R315" i="2"/>
  <c r="Q315" i="2"/>
  <c r="K269" i="2"/>
  <c r="J251" i="2"/>
  <c r="I251" i="2"/>
  <c r="H251" i="2"/>
  <c r="E251" i="2"/>
  <c r="S314" i="2"/>
  <c r="R314" i="2"/>
  <c r="Q314" i="2"/>
  <c r="K268" i="2"/>
  <c r="J250" i="2"/>
  <c r="I250" i="2"/>
  <c r="H250" i="2"/>
  <c r="E250" i="2"/>
  <c r="I273" i="2"/>
  <c r="H273" i="2"/>
  <c r="E273" i="2"/>
  <c r="D273" i="2"/>
  <c r="C255" i="2"/>
  <c r="B255" i="2"/>
  <c r="K246" i="2"/>
  <c r="J246" i="2"/>
  <c r="I272" i="2"/>
  <c r="H272" i="2"/>
  <c r="E272" i="2"/>
  <c r="D272" i="2"/>
  <c r="C254" i="2"/>
  <c r="B254" i="2"/>
  <c r="K245" i="2"/>
  <c r="J245" i="2"/>
  <c r="I271" i="2"/>
  <c r="H271" i="2"/>
  <c r="E271" i="2"/>
  <c r="D271" i="2"/>
  <c r="C253" i="2"/>
  <c r="B253" i="2"/>
  <c r="K244" i="2"/>
  <c r="J244" i="2"/>
  <c r="I270" i="2"/>
  <c r="H270" i="2"/>
  <c r="E270" i="2"/>
  <c r="D270" i="2"/>
  <c r="C252" i="2"/>
  <c r="B252" i="2"/>
  <c r="K243" i="2"/>
  <c r="J243" i="2"/>
  <c r="I269" i="2"/>
  <c r="H269" i="2"/>
  <c r="E269" i="2"/>
  <c r="D269" i="2"/>
  <c r="C251" i="2"/>
  <c r="B251" i="2"/>
  <c r="K242" i="2"/>
  <c r="J242" i="2"/>
  <c r="I268" i="2"/>
  <c r="H268" i="2"/>
  <c r="E268" i="2"/>
  <c r="D268" i="2"/>
  <c r="C250" i="2"/>
  <c r="B250" i="2"/>
  <c r="K241" i="2"/>
  <c r="J241" i="2"/>
  <c r="B273" i="2"/>
  <c r="K264" i="2"/>
  <c r="J264" i="2"/>
  <c r="I264" i="2"/>
  <c r="H246" i="2"/>
  <c r="E246" i="2"/>
  <c r="D246" i="2"/>
  <c r="C246" i="2"/>
  <c r="B272" i="2"/>
  <c r="K263" i="2"/>
  <c r="J263" i="2"/>
  <c r="I263" i="2"/>
  <c r="H245" i="2"/>
  <c r="E245" i="2"/>
  <c r="D245" i="2"/>
  <c r="C245" i="2"/>
  <c r="B271" i="2"/>
  <c r="K262" i="2"/>
  <c r="J262" i="2"/>
  <c r="I262" i="2"/>
  <c r="H244" i="2"/>
  <c r="E244" i="2"/>
  <c r="D244" i="2"/>
  <c r="C244" i="2"/>
  <c r="B270" i="2"/>
  <c r="K261" i="2"/>
  <c r="J261" i="2"/>
  <c r="I261" i="2"/>
  <c r="H243" i="2"/>
  <c r="E243" i="2"/>
  <c r="D243" i="2"/>
  <c r="C243" i="2"/>
  <c r="B269" i="2"/>
  <c r="K260" i="2"/>
  <c r="J260" i="2"/>
  <c r="I260" i="2"/>
  <c r="H242" i="2"/>
  <c r="E242" i="2"/>
  <c r="D242" i="2"/>
  <c r="C242" i="2"/>
  <c r="B268" i="2"/>
  <c r="K259" i="2"/>
  <c r="J259" i="2"/>
  <c r="I259" i="2"/>
  <c r="H241" i="2"/>
  <c r="E241" i="2"/>
  <c r="D241" i="2"/>
  <c r="C241" i="2"/>
  <c r="E264" i="2"/>
  <c r="D264" i="2"/>
  <c r="C264" i="2"/>
  <c r="B264" i="2"/>
  <c r="K235" i="2"/>
  <c r="J235" i="2"/>
  <c r="I235" i="2"/>
  <c r="H235" i="2"/>
  <c r="E263" i="2"/>
  <c r="D263" i="2"/>
  <c r="C263" i="2"/>
  <c r="B263" i="2"/>
  <c r="K234" i="2"/>
  <c r="J234" i="2"/>
  <c r="I234" i="2"/>
  <c r="H234" i="2"/>
  <c r="E262" i="2"/>
  <c r="D262" i="2"/>
  <c r="C262" i="2"/>
  <c r="B262" i="2"/>
  <c r="K233" i="2"/>
  <c r="J233" i="2"/>
  <c r="I233" i="2"/>
  <c r="H233" i="2"/>
  <c r="E261" i="2"/>
  <c r="D261" i="2"/>
  <c r="C261" i="2"/>
  <c r="B261" i="2"/>
  <c r="K232" i="2"/>
  <c r="J232" i="2"/>
  <c r="I232" i="2"/>
  <c r="H232" i="2"/>
  <c r="E260" i="2"/>
  <c r="D260" i="2"/>
  <c r="C260" i="2"/>
  <c r="B260" i="2"/>
  <c r="K231" i="2"/>
  <c r="J231" i="2"/>
  <c r="I231" i="2"/>
  <c r="H231" i="2"/>
  <c r="E259" i="2"/>
  <c r="D259" i="2"/>
  <c r="C259" i="2"/>
  <c r="B259" i="2"/>
  <c r="K230" i="2"/>
  <c r="J230" i="2"/>
  <c r="I230" i="2"/>
  <c r="H230" i="2"/>
  <c r="AC319" i="2"/>
  <c r="AB319" i="2"/>
  <c r="AA319" i="2"/>
  <c r="Z319" i="2"/>
  <c r="X319" i="2"/>
  <c r="W319" i="2"/>
  <c r="V319" i="2"/>
  <c r="U319" i="2"/>
  <c r="AC318" i="2"/>
  <c r="AB318" i="2"/>
  <c r="AA318" i="2"/>
  <c r="Z318" i="2"/>
  <c r="X318" i="2"/>
  <c r="W318" i="2"/>
  <c r="V318" i="2"/>
  <c r="U318" i="2"/>
  <c r="AC317" i="2"/>
  <c r="AB317" i="2"/>
  <c r="AA317" i="2"/>
  <c r="Z317" i="2"/>
  <c r="X317" i="2"/>
  <c r="W317" i="2"/>
  <c r="V317" i="2"/>
  <c r="U317" i="2"/>
  <c r="AC316" i="2"/>
  <c r="AB316" i="2"/>
  <c r="AA316" i="2"/>
  <c r="Z316" i="2"/>
  <c r="X316" i="2"/>
  <c r="W316" i="2"/>
  <c r="V316" i="2"/>
  <c r="U316" i="2"/>
  <c r="AC315" i="2"/>
  <c r="AB315" i="2"/>
  <c r="AA315" i="2"/>
  <c r="Z315" i="2"/>
  <c r="X315" i="2"/>
  <c r="W315" i="2"/>
  <c r="V315" i="2"/>
  <c r="U315" i="2"/>
  <c r="AC314" i="2"/>
  <c r="AB314" i="2"/>
  <c r="AA314" i="2"/>
  <c r="Z314" i="2"/>
  <c r="X314" i="2"/>
  <c r="W314" i="2"/>
  <c r="V314" i="2"/>
  <c r="U314" i="2"/>
  <c r="I225" i="2"/>
  <c r="H225" i="2"/>
  <c r="E225" i="2"/>
  <c r="D225" i="2"/>
  <c r="D235" i="2"/>
  <c r="C235" i="2"/>
  <c r="B235" i="2"/>
  <c r="K225" i="2"/>
  <c r="I224" i="2"/>
  <c r="H224" i="2"/>
  <c r="E224" i="2"/>
  <c r="D224" i="2"/>
  <c r="D234" i="2"/>
  <c r="C234" i="2"/>
  <c r="B234" i="2"/>
  <c r="K224" i="2"/>
  <c r="I223" i="2"/>
  <c r="H223" i="2"/>
  <c r="E223" i="2"/>
  <c r="D223" i="2"/>
  <c r="D233" i="2"/>
  <c r="C233" i="2"/>
  <c r="B233" i="2"/>
  <c r="K223" i="2"/>
  <c r="I222" i="2"/>
  <c r="H222" i="2"/>
  <c r="E222" i="2"/>
  <c r="D222" i="2"/>
  <c r="D232" i="2"/>
  <c r="C232" i="2"/>
  <c r="B232" i="2"/>
  <c r="K222" i="2"/>
  <c r="I221" i="2"/>
  <c r="H221" i="2"/>
  <c r="E221" i="2"/>
  <c r="D221" i="2"/>
  <c r="D231" i="2"/>
  <c r="C231" i="2"/>
  <c r="B231" i="2"/>
  <c r="K221" i="2"/>
  <c r="I220" i="2"/>
  <c r="H220" i="2"/>
  <c r="E220" i="2"/>
  <c r="D220" i="2"/>
  <c r="D230" i="2"/>
  <c r="C230" i="2"/>
  <c r="B230" i="2"/>
  <c r="K220" i="2"/>
  <c r="AN319" i="2"/>
  <c r="AM319" i="2"/>
  <c r="AL319" i="2"/>
  <c r="AK319" i="2"/>
  <c r="AJ319" i="2"/>
  <c r="B225" i="2"/>
  <c r="L214" i="2"/>
  <c r="K214" i="2"/>
  <c r="J214" i="2"/>
  <c r="AN318" i="2"/>
  <c r="AM318" i="2"/>
  <c r="AL318" i="2"/>
  <c r="AK318" i="2"/>
  <c r="AJ318" i="2"/>
  <c r="B224" i="2"/>
  <c r="L213" i="2"/>
  <c r="K213" i="2"/>
  <c r="J213" i="2"/>
  <c r="AN317" i="2"/>
  <c r="AM317" i="2"/>
  <c r="AL317" i="2"/>
  <c r="AK317" i="2"/>
  <c r="AJ317" i="2"/>
  <c r="B223" i="2"/>
  <c r="L212" i="2"/>
  <c r="K212" i="2"/>
  <c r="J212" i="2"/>
  <c r="AN316" i="2"/>
  <c r="AM316" i="2"/>
  <c r="AL316" i="2"/>
  <c r="AK316" i="2"/>
  <c r="AJ316" i="2"/>
  <c r="B222" i="2"/>
  <c r="L211" i="2"/>
  <c r="K211" i="2"/>
  <c r="J211" i="2"/>
  <c r="AN315" i="2"/>
  <c r="AM315" i="2"/>
  <c r="AL315" i="2"/>
  <c r="AK315" i="2"/>
  <c r="AJ315" i="2"/>
  <c r="B221" i="2"/>
  <c r="L210" i="2"/>
  <c r="K210" i="2"/>
  <c r="J210" i="2"/>
  <c r="AN314" i="2"/>
  <c r="AM314" i="2"/>
  <c r="AL314" i="2"/>
  <c r="AK314" i="2"/>
  <c r="AJ314" i="2"/>
  <c r="B220" i="2"/>
  <c r="L209" i="2"/>
  <c r="K209" i="2"/>
  <c r="J209" i="2"/>
  <c r="AQ319" i="2"/>
  <c r="AP319" i="2"/>
  <c r="AO319" i="2"/>
  <c r="E214" i="2"/>
  <c r="D214" i="2"/>
  <c r="C214" i="2"/>
  <c r="B214" i="2"/>
  <c r="K202" i="2"/>
  <c r="AQ318" i="2"/>
  <c r="AP318" i="2"/>
  <c r="AO318" i="2"/>
  <c r="E213" i="2"/>
  <c r="D213" i="2"/>
  <c r="C213" i="2"/>
  <c r="B213" i="2"/>
  <c r="K201" i="2"/>
  <c r="AQ317" i="2"/>
  <c r="AP317" i="2"/>
  <c r="AO317" i="2"/>
  <c r="E212" i="2"/>
  <c r="D212" i="2"/>
  <c r="C212" i="2"/>
  <c r="B212" i="2"/>
  <c r="K200" i="2"/>
  <c r="AQ316" i="2"/>
  <c r="AP316" i="2"/>
  <c r="AO316" i="2"/>
  <c r="E211" i="2"/>
  <c r="D211" i="2"/>
  <c r="C211" i="2"/>
  <c r="B211" i="2"/>
  <c r="K199" i="2"/>
  <c r="AQ315" i="2"/>
  <c r="AP315" i="2"/>
  <c r="AO315" i="2"/>
  <c r="E210" i="2"/>
  <c r="D210" i="2"/>
  <c r="C210" i="2"/>
  <c r="B210" i="2"/>
  <c r="K198" i="2"/>
  <c r="AQ314" i="2"/>
  <c r="AP314" i="2"/>
  <c r="AO314" i="2"/>
  <c r="E209" i="2"/>
  <c r="D209" i="2"/>
  <c r="C209" i="2"/>
  <c r="B209" i="2"/>
  <c r="K197" i="2"/>
  <c r="C202" i="2"/>
  <c r="B202" i="2"/>
  <c r="K191" i="2"/>
  <c r="J191" i="2"/>
  <c r="H191" i="2"/>
  <c r="E191" i="2"/>
  <c r="D191" i="2"/>
  <c r="C191" i="2"/>
  <c r="C201" i="2"/>
  <c r="B201" i="2"/>
  <c r="K190" i="2"/>
  <c r="J190" i="2"/>
  <c r="H190" i="2"/>
  <c r="E190" i="2"/>
  <c r="D190" i="2"/>
  <c r="C190" i="2"/>
  <c r="C200" i="2"/>
  <c r="B200" i="2"/>
  <c r="K189" i="2"/>
  <c r="J189" i="2"/>
  <c r="H189" i="2"/>
  <c r="E189" i="2"/>
  <c r="D189" i="2"/>
  <c r="C189" i="2"/>
  <c r="C199" i="2"/>
  <c r="B199" i="2"/>
  <c r="K188" i="2"/>
  <c r="J188" i="2"/>
  <c r="H188" i="2"/>
  <c r="E188" i="2"/>
  <c r="D188" i="2"/>
  <c r="C188" i="2"/>
  <c r="C198" i="2"/>
  <c r="B198" i="2"/>
  <c r="K187" i="2"/>
  <c r="J187" i="2"/>
  <c r="H187" i="2"/>
  <c r="E187" i="2"/>
  <c r="D187" i="2"/>
  <c r="C187" i="2"/>
  <c r="C197" i="2"/>
  <c r="B197" i="2"/>
  <c r="K186" i="2"/>
  <c r="J186" i="2"/>
  <c r="H186" i="2"/>
  <c r="E186" i="2"/>
  <c r="D186" i="2"/>
  <c r="C186" i="2"/>
  <c r="K180" i="2"/>
  <c r="J180" i="2"/>
  <c r="I180" i="2"/>
  <c r="H180" i="2"/>
  <c r="D180" i="2"/>
  <c r="C180" i="2"/>
  <c r="B180" i="2"/>
  <c r="K168" i="2"/>
  <c r="K179" i="2"/>
  <c r="J179" i="2"/>
  <c r="I179" i="2"/>
  <c r="H179" i="2"/>
  <c r="D179" i="2"/>
  <c r="C179" i="2"/>
  <c r="B179" i="2"/>
  <c r="K167" i="2"/>
  <c r="K178" i="2"/>
  <c r="J178" i="2"/>
  <c r="I178" i="2"/>
  <c r="H178" i="2"/>
  <c r="D178" i="2"/>
  <c r="C178" i="2"/>
  <c r="B178" i="2"/>
  <c r="K166" i="2"/>
  <c r="K177" i="2"/>
  <c r="J177" i="2"/>
  <c r="I177" i="2"/>
  <c r="H177" i="2"/>
  <c r="D177" i="2"/>
  <c r="C177" i="2"/>
  <c r="B177" i="2"/>
  <c r="K165" i="2"/>
  <c r="K176" i="2"/>
  <c r="J176" i="2"/>
  <c r="I176" i="2"/>
  <c r="H176" i="2"/>
  <c r="D176" i="2"/>
  <c r="C176" i="2"/>
  <c r="B176" i="2"/>
  <c r="K164" i="2"/>
  <c r="K175" i="2"/>
  <c r="J175" i="2"/>
  <c r="I175" i="2"/>
  <c r="H175" i="2"/>
  <c r="D175" i="2"/>
  <c r="C175" i="2"/>
  <c r="B175" i="2"/>
  <c r="K163" i="2"/>
  <c r="I168" i="2"/>
  <c r="H168" i="2"/>
  <c r="E168" i="2"/>
  <c r="D168" i="2"/>
  <c r="AZ319" i="2"/>
  <c r="AY319" i="2"/>
  <c r="AX319" i="2"/>
  <c r="AW319" i="2"/>
  <c r="I167" i="2"/>
  <c r="H167" i="2"/>
  <c r="E167" i="2"/>
  <c r="D167" i="2"/>
  <c r="AZ318" i="2"/>
  <c r="AY318" i="2"/>
  <c r="AX318" i="2"/>
  <c r="AW318" i="2"/>
  <c r="I166" i="2"/>
  <c r="H166" i="2"/>
  <c r="E166" i="2"/>
  <c r="D166" i="2"/>
  <c r="AZ317" i="2"/>
  <c r="AY317" i="2"/>
  <c r="AX317" i="2"/>
  <c r="AW317" i="2"/>
  <c r="I165" i="2"/>
  <c r="H165" i="2"/>
  <c r="E165" i="2"/>
  <c r="D165" i="2"/>
  <c r="AZ316" i="2"/>
  <c r="AY316" i="2"/>
  <c r="AX316" i="2"/>
  <c r="AW316" i="2"/>
  <c r="I164" i="2"/>
  <c r="H164" i="2"/>
  <c r="E164" i="2"/>
  <c r="D164" i="2"/>
  <c r="AZ315" i="2"/>
  <c r="AY315" i="2"/>
  <c r="AX315" i="2"/>
  <c r="AW315" i="2"/>
  <c r="I163" i="2"/>
  <c r="H163" i="2"/>
  <c r="E163" i="2"/>
  <c r="D163" i="2"/>
  <c r="AZ314" i="2"/>
  <c r="AY314" i="2"/>
  <c r="AX314" i="2"/>
  <c r="AW314" i="2"/>
  <c r="B168" i="2"/>
  <c r="K157" i="2"/>
  <c r="J157" i="2"/>
  <c r="I157" i="2"/>
  <c r="AU319" i="2"/>
  <c r="AT319" i="2"/>
  <c r="AS319" i="2"/>
  <c r="AR319" i="2"/>
  <c r="B167" i="2"/>
  <c r="K156" i="2"/>
  <c r="J156" i="2"/>
  <c r="I156" i="2"/>
  <c r="AU318" i="2"/>
  <c r="AT318" i="2"/>
  <c r="AS318" i="2"/>
  <c r="AR318" i="2"/>
  <c r="B166" i="2"/>
  <c r="K155" i="2"/>
  <c r="J155" i="2"/>
  <c r="I155" i="2"/>
  <c r="AU317" i="2"/>
  <c r="AT317" i="2"/>
  <c r="AS317" i="2"/>
  <c r="AR317" i="2"/>
  <c r="B165" i="2"/>
  <c r="K154" i="2"/>
  <c r="J154" i="2"/>
  <c r="I154" i="2"/>
  <c r="AU316" i="2"/>
  <c r="AT316" i="2"/>
  <c r="AS316" i="2"/>
  <c r="AR316" i="2"/>
  <c r="B164" i="2"/>
  <c r="K153" i="2"/>
  <c r="J153" i="2"/>
  <c r="I153" i="2"/>
  <c r="AU315" i="2"/>
  <c r="AT315" i="2"/>
  <c r="AS315" i="2"/>
  <c r="AR315" i="2"/>
  <c r="B163" i="2"/>
  <c r="K152" i="2"/>
  <c r="J152" i="2"/>
  <c r="I152" i="2"/>
  <c r="AU314" i="2"/>
  <c r="AT314" i="2"/>
  <c r="AS314" i="2"/>
  <c r="AR314" i="2"/>
  <c r="E157" i="2"/>
  <c r="D157" i="2"/>
  <c r="C157" i="2"/>
  <c r="B157" i="2"/>
  <c r="J146" i="2"/>
  <c r="I146" i="2"/>
  <c r="H146" i="2"/>
  <c r="E146" i="2"/>
  <c r="E156" i="2"/>
  <c r="D156" i="2"/>
  <c r="C156" i="2"/>
  <c r="B156" i="2"/>
  <c r="J145" i="2"/>
  <c r="I145" i="2"/>
  <c r="H145" i="2"/>
  <c r="E145" i="2"/>
  <c r="E155" i="2"/>
  <c r="D155" i="2"/>
  <c r="C155" i="2"/>
  <c r="B155" i="2"/>
  <c r="J144" i="2"/>
  <c r="I144" i="2"/>
  <c r="H144" i="2"/>
  <c r="E144" i="2"/>
  <c r="E154" i="2"/>
  <c r="D154" i="2"/>
  <c r="C154" i="2"/>
  <c r="B154" i="2"/>
  <c r="J143" i="2"/>
  <c r="I143" i="2"/>
  <c r="H143" i="2"/>
  <c r="E143" i="2"/>
  <c r="E153" i="2"/>
  <c r="D153" i="2"/>
  <c r="C153" i="2"/>
  <c r="B153" i="2"/>
  <c r="J142" i="2"/>
  <c r="I142" i="2"/>
  <c r="H142" i="2"/>
  <c r="E142" i="2"/>
  <c r="E152" i="2"/>
  <c r="D152" i="2"/>
  <c r="C152" i="2"/>
  <c r="B152" i="2"/>
  <c r="J141" i="2"/>
  <c r="I141" i="2"/>
  <c r="H141" i="2"/>
  <c r="E141" i="2"/>
  <c r="D146" i="2"/>
  <c r="C146" i="2"/>
  <c r="B146" i="2"/>
  <c r="K132" i="2"/>
  <c r="D145" i="2"/>
  <c r="C145" i="2"/>
  <c r="B145" i="2"/>
  <c r="K131" i="2"/>
  <c r="D144" i="2"/>
  <c r="C144" i="2"/>
  <c r="B144" i="2"/>
  <c r="K130" i="2"/>
  <c r="D143" i="2"/>
  <c r="C143" i="2"/>
  <c r="B143" i="2"/>
  <c r="K129" i="2"/>
  <c r="D142" i="2"/>
  <c r="C142" i="2"/>
  <c r="B142" i="2"/>
  <c r="K128" i="2"/>
  <c r="D141" i="2"/>
  <c r="C141" i="2"/>
  <c r="B141" i="2"/>
  <c r="K127" i="2"/>
  <c r="J132" i="2"/>
  <c r="I132" i="2"/>
  <c r="H132" i="2"/>
  <c r="E132" i="2"/>
  <c r="D132" i="2"/>
  <c r="C132" i="2"/>
  <c r="B132" i="2"/>
  <c r="K122" i="2"/>
  <c r="J131" i="2"/>
  <c r="I131" i="2"/>
  <c r="H131" i="2"/>
  <c r="E131" i="2"/>
  <c r="D131" i="2"/>
  <c r="C131" i="2"/>
  <c r="B131" i="2"/>
  <c r="K121" i="2"/>
  <c r="J130" i="2"/>
  <c r="I130" i="2"/>
  <c r="H130" i="2"/>
  <c r="E130" i="2"/>
  <c r="D130" i="2"/>
  <c r="C130" i="2"/>
  <c r="B130" i="2"/>
  <c r="K120" i="2"/>
  <c r="J129" i="2"/>
  <c r="I129" i="2"/>
  <c r="H129" i="2"/>
  <c r="E129" i="2"/>
  <c r="D129" i="2"/>
  <c r="C129" i="2"/>
  <c r="B129" i="2"/>
  <c r="K119" i="2"/>
  <c r="J128" i="2"/>
  <c r="I128" i="2"/>
  <c r="H128" i="2"/>
  <c r="E128" i="2"/>
  <c r="D128" i="2"/>
  <c r="C128" i="2"/>
  <c r="B128" i="2"/>
  <c r="K118" i="2"/>
  <c r="J127" i="2"/>
  <c r="I127" i="2"/>
  <c r="H127" i="2"/>
  <c r="E127" i="2"/>
  <c r="D127" i="2"/>
  <c r="C127" i="2"/>
  <c r="B127" i="2"/>
  <c r="K117" i="2"/>
  <c r="J122" i="2"/>
  <c r="I122" i="2"/>
  <c r="H122" i="2"/>
  <c r="E122" i="2"/>
  <c r="D122" i="2"/>
  <c r="C122" i="2"/>
  <c r="B122" i="2"/>
  <c r="K111" i="2"/>
  <c r="J121" i="2"/>
  <c r="I121" i="2"/>
  <c r="H121" i="2"/>
  <c r="E121" i="2"/>
  <c r="D121" i="2"/>
  <c r="C121" i="2"/>
  <c r="B121" i="2"/>
  <c r="K110" i="2"/>
  <c r="J120" i="2"/>
  <c r="I120" i="2"/>
  <c r="H120" i="2"/>
  <c r="E120" i="2"/>
  <c r="D120" i="2"/>
  <c r="C120" i="2"/>
  <c r="B120" i="2"/>
  <c r="K109" i="2"/>
  <c r="J119" i="2"/>
  <c r="I119" i="2"/>
  <c r="H119" i="2"/>
  <c r="E119" i="2"/>
  <c r="D119" i="2"/>
  <c r="C119" i="2"/>
  <c r="B119" i="2"/>
  <c r="K108" i="2"/>
  <c r="J118" i="2"/>
  <c r="I118" i="2"/>
  <c r="H118" i="2"/>
  <c r="E118" i="2"/>
  <c r="D118" i="2"/>
  <c r="C118" i="2"/>
  <c r="B118" i="2"/>
  <c r="K107" i="2"/>
  <c r="J117" i="2"/>
  <c r="I117" i="2"/>
  <c r="H117" i="2"/>
  <c r="E117" i="2"/>
  <c r="D117" i="2"/>
  <c r="C117" i="2"/>
  <c r="B117" i="2"/>
  <c r="K106" i="2"/>
  <c r="J111" i="2"/>
  <c r="I111" i="2"/>
  <c r="H111" i="2"/>
  <c r="E111" i="2"/>
  <c r="D111" i="2"/>
  <c r="C111" i="2"/>
  <c r="B111" i="2"/>
  <c r="L98" i="2"/>
  <c r="K98" i="2"/>
  <c r="J98" i="2"/>
  <c r="J110" i="2"/>
  <c r="I110" i="2"/>
  <c r="H110" i="2"/>
  <c r="E110" i="2"/>
  <c r="D110" i="2"/>
  <c r="C110" i="2"/>
  <c r="B110" i="2"/>
  <c r="L97" i="2"/>
  <c r="K97" i="2"/>
  <c r="J97" i="2"/>
  <c r="J109" i="2"/>
  <c r="I109" i="2"/>
  <c r="H109" i="2"/>
  <c r="E109" i="2"/>
  <c r="D109" i="2"/>
  <c r="C109" i="2"/>
  <c r="B109" i="2"/>
  <c r="L96" i="2"/>
  <c r="K96" i="2"/>
  <c r="J96" i="2"/>
  <c r="J108" i="2"/>
  <c r="I108" i="2"/>
  <c r="H108" i="2"/>
  <c r="E108" i="2"/>
  <c r="D108" i="2"/>
  <c r="C108" i="2"/>
  <c r="B108" i="2"/>
  <c r="L95" i="2"/>
  <c r="K95" i="2"/>
  <c r="J95" i="2"/>
  <c r="J107" i="2"/>
  <c r="I107" i="2"/>
  <c r="H107" i="2"/>
  <c r="E107" i="2"/>
  <c r="D107" i="2"/>
  <c r="C107" i="2"/>
  <c r="B107" i="2"/>
  <c r="L94" i="2"/>
  <c r="K94" i="2"/>
  <c r="J94" i="2"/>
  <c r="J106" i="2"/>
  <c r="I106" i="2"/>
  <c r="H106" i="2"/>
  <c r="E106" i="2"/>
  <c r="D106" i="2"/>
  <c r="C106" i="2"/>
  <c r="B106" i="2"/>
  <c r="L93" i="2"/>
  <c r="K93" i="2"/>
  <c r="J93" i="2"/>
  <c r="I98" i="2"/>
  <c r="H98" i="2"/>
  <c r="F98" i="2"/>
  <c r="E98" i="2"/>
  <c r="D98" i="2"/>
  <c r="C98" i="2"/>
  <c r="B98" i="2"/>
  <c r="L88" i="2"/>
  <c r="K88" i="2"/>
  <c r="J88" i="2"/>
  <c r="I97" i="2"/>
  <c r="H97" i="2"/>
  <c r="F97" i="2"/>
  <c r="E97" i="2"/>
  <c r="D97" i="2"/>
  <c r="C97" i="2"/>
  <c r="B97" i="2"/>
  <c r="L87" i="2"/>
  <c r="K87" i="2"/>
  <c r="J87" i="2"/>
  <c r="I96" i="2"/>
  <c r="H96" i="2"/>
  <c r="F96" i="2"/>
  <c r="E96" i="2"/>
  <c r="D96" i="2"/>
  <c r="C96" i="2"/>
  <c r="B96" i="2"/>
  <c r="L86" i="2"/>
  <c r="K86" i="2"/>
  <c r="J86" i="2"/>
  <c r="I95" i="2"/>
  <c r="H95" i="2"/>
  <c r="F95" i="2"/>
  <c r="E95" i="2"/>
  <c r="D95" i="2"/>
  <c r="C95" i="2"/>
  <c r="B95" i="2"/>
  <c r="L85" i="2"/>
  <c r="K85" i="2"/>
  <c r="J85" i="2"/>
  <c r="I94" i="2"/>
  <c r="H94" i="2"/>
  <c r="F94" i="2"/>
  <c r="E94" i="2"/>
  <c r="D94" i="2"/>
  <c r="C94" i="2"/>
  <c r="B94" i="2"/>
  <c r="L84" i="2"/>
  <c r="K84" i="2"/>
  <c r="J84" i="2"/>
  <c r="I93" i="2"/>
  <c r="H93" i="2"/>
  <c r="F93" i="2"/>
  <c r="E93" i="2"/>
  <c r="D93" i="2"/>
  <c r="C93" i="2"/>
  <c r="B93" i="2"/>
  <c r="L83" i="2"/>
  <c r="K83" i="2"/>
  <c r="J83" i="2"/>
  <c r="F78" i="2"/>
  <c r="E78" i="2"/>
  <c r="D78" i="2"/>
  <c r="C78" i="2"/>
  <c r="B78" i="2"/>
  <c r="L65" i="2"/>
  <c r="K65" i="2"/>
  <c r="J65" i="2"/>
  <c r="I65" i="2"/>
  <c r="H65" i="2"/>
  <c r="F77" i="2"/>
  <c r="E77" i="2"/>
  <c r="D77" i="2"/>
  <c r="C77" i="2"/>
  <c r="B77" i="2"/>
  <c r="L64" i="2"/>
  <c r="K64" i="2"/>
  <c r="J64" i="2"/>
  <c r="I64" i="2"/>
  <c r="H64" i="2"/>
  <c r="F76" i="2"/>
  <c r="E76" i="2"/>
  <c r="D76" i="2"/>
  <c r="C76" i="2"/>
  <c r="B76" i="2"/>
  <c r="L63" i="2"/>
  <c r="K63" i="2"/>
  <c r="J63" i="2"/>
  <c r="I63" i="2"/>
  <c r="H63" i="2"/>
  <c r="F75" i="2"/>
  <c r="E75" i="2"/>
  <c r="D75" i="2"/>
  <c r="C75" i="2"/>
  <c r="B75" i="2"/>
  <c r="L62" i="2"/>
  <c r="K62" i="2"/>
  <c r="J62" i="2"/>
  <c r="I62" i="2"/>
  <c r="H62" i="2"/>
  <c r="F74" i="2"/>
  <c r="E74" i="2"/>
  <c r="D74" i="2"/>
  <c r="C74" i="2"/>
  <c r="B74" i="2"/>
  <c r="L61" i="2"/>
  <c r="K61" i="2"/>
  <c r="J61" i="2"/>
  <c r="I61" i="2"/>
  <c r="H61" i="2"/>
  <c r="F73" i="2"/>
  <c r="E73" i="2"/>
  <c r="D73" i="2"/>
  <c r="C73" i="2"/>
  <c r="B73" i="2"/>
  <c r="L60" i="2"/>
  <c r="K60" i="2"/>
  <c r="J60" i="2"/>
  <c r="I60" i="2"/>
  <c r="H60" i="2"/>
  <c r="F65" i="2"/>
  <c r="E65" i="2"/>
  <c r="D65" i="2"/>
  <c r="C65" i="2"/>
  <c r="B65" i="2"/>
  <c r="L54" i="2"/>
  <c r="K54" i="2"/>
  <c r="J54" i="2"/>
  <c r="I54" i="2"/>
  <c r="H54" i="2"/>
  <c r="F64" i="2"/>
  <c r="E64" i="2"/>
  <c r="D64" i="2"/>
  <c r="C64" i="2"/>
  <c r="B64" i="2"/>
  <c r="L53" i="2"/>
  <c r="K53" i="2"/>
  <c r="J53" i="2"/>
  <c r="I53" i="2"/>
  <c r="H53" i="2"/>
  <c r="F63" i="2"/>
  <c r="E63" i="2"/>
  <c r="D63" i="2"/>
  <c r="C63" i="2"/>
  <c r="B63" i="2"/>
  <c r="L52" i="2"/>
  <c r="K52" i="2"/>
  <c r="J52" i="2"/>
  <c r="I52" i="2"/>
  <c r="H52" i="2"/>
  <c r="F62" i="2"/>
  <c r="E62" i="2"/>
  <c r="D62" i="2"/>
  <c r="C62" i="2"/>
  <c r="B62" i="2"/>
  <c r="L51" i="2"/>
  <c r="K51" i="2"/>
  <c r="J51" i="2"/>
  <c r="I51" i="2"/>
  <c r="H51" i="2"/>
  <c r="F61" i="2"/>
  <c r="E61" i="2"/>
  <c r="D61" i="2"/>
  <c r="C61" i="2"/>
  <c r="B61" i="2"/>
  <c r="L50" i="2"/>
  <c r="K50" i="2"/>
  <c r="J50" i="2"/>
  <c r="I50" i="2"/>
  <c r="H50" i="2"/>
  <c r="F60" i="2"/>
  <c r="E60" i="2"/>
  <c r="D60" i="2"/>
  <c r="C60" i="2"/>
  <c r="B60" i="2"/>
  <c r="L49" i="2"/>
  <c r="K49" i="2"/>
  <c r="J49" i="2"/>
  <c r="I49" i="2"/>
  <c r="H49" i="2"/>
  <c r="F54" i="2"/>
  <c r="E54" i="2"/>
  <c r="D54" i="2"/>
  <c r="C54" i="2"/>
  <c r="B54" i="2"/>
  <c r="L43" i="2"/>
  <c r="K43" i="2"/>
  <c r="J43" i="2"/>
  <c r="I43" i="2"/>
  <c r="H43" i="2"/>
  <c r="F53" i="2"/>
  <c r="E53" i="2"/>
  <c r="D53" i="2"/>
  <c r="C53" i="2"/>
  <c r="B53" i="2"/>
  <c r="L42" i="2"/>
  <c r="K42" i="2"/>
  <c r="J42" i="2"/>
  <c r="I42" i="2"/>
  <c r="H42" i="2"/>
  <c r="F52" i="2"/>
  <c r="E52" i="2"/>
  <c r="D52" i="2"/>
  <c r="C52" i="2"/>
  <c r="B52" i="2"/>
  <c r="L41" i="2"/>
  <c r="K41" i="2"/>
  <c r="J41" i="2"/>
  <c r="I41" i="2"/>
  <c r="H41" i="2"/>
  <c r="F51" i="2"/>
  <c r="E51" i="2"/>
  <c r="D51" i="2"/>
  <c r="C51" i="2"/>
  <c r="B51" i="2"/>
  <c r="L40" i="2"/>
  <c r="K40" i="2"/>
  <c r="J40" i="2"/>
  <c r="I40" i="2"/>
  <c r="H40" i="2"/>
  <c r="F50" i="2"/>
  <c r="E50" i="2"/>
  <c r="D50" i="2"/>
  <c r="C50" i="2"/>
  <c r="B50" i="2"/>
  <c r="L39" i="2"/>
  <c r="K39" i="2"/>
  <c r="J39" i="2"/>
  <c r="I39" i="2"/>
  <c r="H39" i="2"/>
  <c r="F49" i="2"/>
  <c r="E49" i="2"/>
  <c r="D49" i="2"/>
  <c r="C49" i="2"/>
  <c r="B49" i="2"/>
  <c r="L38" i="2"/>
  <c r="K38" i="2"/>
  <c r="J38" i="2"/>
  <c r="I38" i="2"/>
  <c r="H38" i="2"/>
  <c r="I88" i="2"/>
  <c r="F88" i="2"/>
  <c r="E88" i="2"/>
  <c r="D88" i="2"/>
  <c r="C88" i="2"/>
  <c r="F43" i="2"/>
  <c r="E43" i="2"/>
  <c r="D43" i="2"/>
  <c r="C43" i="2"/>
  <c r="B43" i="2"/>
  <c r="I87" i="2"/>
  <c r="F87" i="2"/>
  <c r="E87" i="2"/>
  <c r="D87" i="2"/>
  <c r="C87" i="2"/>
  <c r="F42" i="2"/>
  <c r="E42" i="2"/>
  <c r="D42" i="2"/>
  <c r="C42" i="2"/>
  <c r="B42" i="2"/>
  <c r="I86" i="2"/>
  <c r="F86" i="2"/>
  <c r="E86" i="2"/>
  <c r="D86" i="2"/>
  <c r="C86" i="2"/>
  <c r="F41" i="2"/>
  <c r="E41" i="2"/>
  <c r="D41" i="2"/>
  <c r="C41" i="2"/>
  <c r="B41" i="2"/>
  <c r="I85" i="2"/>
  <c r="F85" i="2"/>
  <c r="E85" i="2"/>
  <c r="D85" i="2"/>
  <c r="C85" i="2"/>
  <c r="F40" i="2"/>
  <c r="E40" i="2"/>
  <c r="D40" i="2"/>
  <c r="C40" i="2"/>
  <c r="B40" i="2"/>
  <c r="I84" i="2"/>
  <c r="F84" i="2"/>
  <c r="E84" i="2"/>
  <c r="D84" i="2"/>
  <c r="C84" i="2"/>
  <c r="F39" i="2"/>
  <c r="E39" i="2"/>
  <c r="D39" i="2"/>
  <c r="C39" i="2"/>
  <c r="B39" i="2"/>
  <c r="I83" i="2"/>
  <c r="F83" i="2"/>
  <c r="E83" i="2"/>
  <c r="D83" i="2"/>
  <c r="C83" i="2"/>
  <c r="F38" i="2"/>
  <c r="E38" i="2"/>
  <c r="D38" i="2"/>
  <c r="C38" i="2"/>
  <c r="B38" i="2"/>
  <c r="A269" i="2"/>
  <c r="A270" i="2"/>
  <c r="A271" i="2"/>
  <c r="A272" i="2"/>
  <c r="A273" i="2"/>
  <c r="A268" i="2"/>
  <c r="A260" i="2"/>
  <c r="A261" i="2"/>
  <c r="A262" i="2"/>
  <c r="A263" i="2"/>
  <c r="A264" i="2"/>
  <c r="A259" i="2"/>
  <c r="A251" i="2"/>
  <c r="A252" i="2"/>
  <c r="A253" i="2"/>
  <c r="A254" i="2"/>
  <c r="A255" i="2"/>
  <c r="A250" i="2"/>
  <c r="A242" i="2"/>
  <c r="A243" i="2"/>
  <c r="A244" i="2"/>
  <c r="A245" i="2"/>
  <c r="A246" i="2"/>
  <c r="A241" i="2"/>
  <c r="A231" i="2"/>
  <c r="A232" i="2"/>
  <c r="A233" i="2"/>
  <c r="A234" i="2"/>
  <c r="A235" i="2"/>
  <c r="A230" i="2"/>
  <c r="A221" i="2"/>
  <c r="A222" i="2"/>
  <c r="A223" i="2"/>
  <c r="A224" i="2"/>
  <c r="A225" i="2"/>
  <c r="A220" i="2"/>
  <c r="A210" i="2"/>
  <c r="A211" i="2"/>
  <c r="A212" i="2"/>
  <c r="A213" i="2"/>
  <c r="A214" i="2"/>
  <c r="A209" i="2"/>
  <c r="A198" i="2"/>
  <c r="A199" i="2"/>
  <c r="A200" i="2"/>
  <c r="A201" i="2"/>
  <c r="A202" i="2"/>
  <c r="A197" i="2"/>
  <c r="A187" i="2"/>
  <c r="A188" i="2"/>
  <c r="A189" i="2"/>
  <c r="A190" i="2"/>
  <c r="A191" i="2"/>
  <c r="A186" i="2"/>
  <c r="A176" i="2"/>
  <c r="A177" i="2"/>
  <c r="A178" i="2"/>
  <c r="A179" i="2"/>
  <c r="A180" i="2"/>
  <c r="A175" i="2"/>
  <c r="A164" i="2"/>
  <c r="A165" i="2"/>
  <c r="A166" i="2"/>
  <c r="A167" i="2"/>
  <c r="A168" i="2"/>
  <c r="A163" i="2"/>
  <c r="A153" i="2"/>
  <c r="A154" i="2"/>
  <c r="A155" i="2"/>
  <c r="A156" i="2"/>
  <c r="A157" i="2"/>
  <c r="A152" i="2"/>
  <c r="A142" i="2"/>
  <c r="A143" i="2"/>
  <c r="A144" i="2"/>
  <c r="A145" i="2"/>
  <c r="A146" i="2"/>
  <c r="A141" i="2"/>
  <c r="A128" i="2"/>
  <c r="A129" i="2"/>
  <c r="A130" i="2"/>
  <c r="A131" i="2"/>
  <c r="A132" i="2"/>
  <c r="A127" i="2"/>
  <c r="A118" i="2"/>
  <c r="A119" i="2"/>
  <c r="A120" i="2"/>
  <c r="A121" i="2"/>
  <c r="A122" i="2"/>
  <c r="A117" i="2"/>
  <c r="A107" i="2"/>
  <c r="A108" i="2"/>
  <c r="A109" i="2"/>
  <c r="A110" i="2"/>
  <c r="A111" i="2"/>
  <c r="A106" i="2"/>
  <c r="A94" i="2"/>
  <c r="A95" i="2"/>
  <c r="A96" i="2"/>
  <c r="A97" i="2"/>
  <c r="A98" i="2"/>
  <c r="A93" i="2"/>
  <c r="A84" i="2"/>
  <c r="A85" i="2"/>
  <c r="A86" i="2"/>
  <c r="A87" i="2"/>
  <c r="A88" i="2"/>
  <c r="A83" i="2"/>
  <c r="A74" i="2"/>
  <c r="A75" i="2"/>
  <c r="A76" i="2"/>
  <c r="A77" i="2"/>
  <c r="A78" i="2"/>
  <c r="A73" i="2"/>
  <c r="A61" i="2"/>
  <c r="A62" i="2"/>
  <c r="A63" i="2"/>
  <c r="A64" i="2"/>
  <c r="A65" i="2"/>
  <c r="A60" i="2"/>
  <c r="A54" i="2"/>
  <c r="A50" i="2"/>
  <c r="A51" i="2"/>
  <c r="A52" i="2"/>
  <c r="A53" i="2"/>
  <c r="A49" i="2"/>
  <c r="A39" i="2"/>
  <c r="A40" i="2"/>
  <c r="A41" i="2"/>
  <c r="A42" i="2"/>
  <c r="A43" i="2"/>
  <c r="A38" i="2"/>
</calcChain>
</file>

<file path=xl/sharedStrings.xml><?xml version="1.0" encoding="utf-8"?>
<sst xmlns="http://schemas.openxmlformats.org/spreadsheetml/2006/main" count="1116" uniqueCount="524">
  <si>
    <t>Total Population</t>
  </si>
  <si>
    <t>Elderly Dependency Ratio</t>
  </si>
  <si>
    <t>All Ages in Poverty</t>
  </si>
  <si>
    <t>0-17 in Poverty</t>
  </si>
  <si>
    <t>Median Household Income</t>
  </si>
  <si>
    <t>Unemployed Annual Average</t>
  </si>
  <si>
    <t>Food Stamp Utilization - Avg Monthly Households</t>
  </si>
  <si>
    <t>School Enrollment PreK-12</t>
  </si>
  <si>
    <t>Free or Reduced Meals P-12</t>
  </si>
  <si>
    <t>Have Limited English Proficiency P-12</t>
  </si>
  <si>
    <t>Receive Special Education P-12</t>
  </si>
  <si>
    <t>Number of Resident Births</t>
  </si>
  <si>
    <t>Birth Rate 
(per 1,000 population)</t>
  </si>
  <si>
    <t>Percent Prenatal Care 
Initiated 1st Trimester</t>
  </si>
  <si>
    <t>Percent of Births to Unmarried Women</t>
  </si>
  <si>
    <t>Number of Infant Deaths 
(birth/death linked cohort)</t>
  </si>
  <si>
    <t>Number of Deaths</t>
  </si>
  <si>
    <t>Crude Death Rate</t>
  </si>
  <si>
    <t>Age Adjusted Death Rate</t>
  </si>
  <si>
    <t>Heart Disease - Number of Deaths</t>
  </si>
  <si>
    <t>Cancer - Number of Deaths</t>
  </si>
  <si>
    <t>Stroke - Number of Deaths</t>
  </si>
  <si>
    <t>Unintentional Injury - Number of Deaths</t>
  </si>
  <si>
    <t>Heart Disease AA Rates</t>
  </si>
  <si>
    <t>Cancer AA Rates</t>
  </si>
  <si>
    <t>Stroke AA Rates</t>
  </si>
  <si>
    <t>UI AA Rates</t>
  </si>
  <si>
    <t>AA Rates Male</t>
  </si>
  <si>
    <t>AA Rates female</t>
  </si>
  <si>
    <t>State of Minnesota</t>
  </si>
  <si>
    <t>Number</t>
  </si>
  <si>
    <t>County</t>
  </si>
  <si>
    <t>White</t>
  </si>
  <si>
    <t>Afr. Amer.</t>
  </si>
  <si>
    <t>Amer. Ind.</t>
  </si>
  <si>
    <t>Asian</t>
  </si>
  <si>
    <t>Latino</t>
  </si>
  <si>
    <t>AA</t>
  </si>
  <si>
    <t>AI</t>
  </si>
  <si>
    <t>*</t>
  </si>
  <si>
    <t>Child Dependency Ratio</t>
  </si>
  <si>
    <t>Total Dependency Ratio</t>
  </si>
  <si>
    <t>Low Birth Weight - Singletons % 
(Under 2,500 grams)</t>
  </si>
  <si>
    <t xml:space="preserve">African American </t>
  </si>
  <si>
    <t>American Indian</t>
  </si>
  <si>
    <t>Number of Births</t>
  </si>
  <si>
    <t>Birth Rate per 1,000 Population</t>
  </si>
  <si>
    <t>African American</t>
  </si>
  <si>
    <t>Heart Disease, Number</t>
  </si>
  <si>
    <t>Cancer, Number</t>
  </si>
  <si>
    <t>Stroke, Number</t>
  </si>
  <si>
    <t>Unintentional Injury, Number</t>
  </si>
  <si>
    <t>Age Adjusted Death Rate - Males</t>
  </si>
  <si>
    <t>Age Adjusted Death Rate - Females</t>
  </si>
  <si>
    <t>Demographics</t>
  </si>
  <si>
    <t>Age Adjusted Death Rate per 100,000 Population</t>
  </si>
  <si>
    <t>Latina**</t>
  </si>
  <si>
    <t>Latino**</t>
  </si>
  <si>
    <t>Latino*</t>
  </si>
  <si>
    <t>*Can be any race</t>
  </si>
  <si>
    <t>Aitkin County</t>
  </si>
  <si>
    <t>Anoka County</t>
  </si>
  <si>
    <t>Becker County</t>
  </si>
  <si>
    <t>Beltrami County</t>
  </si>
  <si>
    <t>Benton County</t>
  </si>
  <si>
    <t>Big Stone County</t>
  </si>
  <si>
    <t>Blue Earth County</t>
  </si>
  <si>
    <t>Brown County</t>
  </si>
  <si>
    <t>Carlton County</t>
  </si>
  <si>
    <t>Cass County</t>
  </si>
  <si>
    <t>Chippewa County</t>
  </si>
  <si>
    <t>Chisago County</t>
  </si>
  <si>
    <t>Clay County</t>
  </si>
  <si>
    <t>Clearwater County</t>
  </si>
  <si>
    <t>Cook County</t>
  </si>
  <si>
    <t>Cottonwood County</t>
  </si>
  <si>
    <t>Crow Wing County</t>
  </si>
  <si>
    <t>Dakota County</t>
  </si>
  <si>
    <t>Dodge County</t>
  </si>
  <si>
    <t>Douglas County</t>
  </si>
  <si>
    <t>Faribault County</t>
  </si>
  <si>
    <t>Fillmore County</t>
  </si>
  <si>
    <t>Freeborn County</t>
  </si>
  <si>
    <t>Goodhue County</t>
  </si>
  <si>
    <t>Grant County</t>
  </si>
  <si>
    <t>Hennepin County</t>
  </si>
  <si>
    <t>Houston County</t>
  </si>
  <si>
    <t>Hubbard County</t>
  </si>
  <si>
    <t>Isanti County</t>
  </si>
  <si>
    <t>Itasca County</t>
  </si>
  <si>
    <t>Jackson County</t>
  </si>
  <si>
    <t>Kanabec County</t>
  </si>
  <si>
    <t>Kandiyohi County</t>
  </si>
  <si>
    <t>Kittson County</t>
  </si>
  <si>
    <t>Koochiching County</t>
  </si>
  <si>
    <t>Lac Qui Parle County</t>
  </si>
  <si>
    <t>Lake County</t>
  </si>
  <si>
    <t>Lake of the Woods County</t>
  </si>
  <si>
    <t>Le Sueur County</t>
  </si>
  <si>
    <t>Lincoln County</t>
  </si>
  <si>
    <t>Lyon County</t>
  </si>
  <si>
    <t>McLeod County</t>
  </si>
  <si>
    <t>Mahnomen County</t>
  </si>
  <si>
    <t>Marshall County</t>
  </si>
  <si>
    <t>Martin County</t>
  </si>
  <si>
    <t>Meeker County</t>
  </si>
  <si>
    <t>Mille Lacs County</t>
  </si>
  <si>
    <t>Morrison County</t>
  </si>
  <si>
    <t>Mower County</t>
  </si>
  <si>
    <t>Murray County</t>
  </si>
  <si>
    <t>Nicollet County</t>
  </si>
  <si>
    <t>Nobles County</t>
  </si>
  <si>
    <t>Norman County</t>
  </si>
  <si>
    <t>Olmsted County</t>
  </si>
  <si>
    <t>Otter Tail County</t>
  </si>
  <si>
    <t>Pennington County</t>
  </si>
  <si>
    <t>Pine County</t>
  </si>
  <si>
    <t>Pipestone County</t>
  </si>
  <si>
    <t>Polk County</t>
  </si>
  <si>
    <t>Pope County</t>
  </si>
  <si>
    <t>Ramsey County</t>
  </si>
  <si>
    <t>Red Lake County</t>
  </si>
  <si>
    <t>Redwood County</t>
  </si>
  <si>
    <t>Renville County</t>
  </si>
  <si>
    <t>Rice County</t>
  </si>
  <si>
    <t>Rock County</t>
  </si>
  <si>
    <t>Roseau County</t>
  </si>
  <si>
    <t>St. Louis County</t>
  </si>
  <si>
    <t>Scott County</t>
  </si>
  <si>
    <t>Sherburne County</t>
  </si>
  <si>
    <t>Sibley County</t>
  </si>
  <si>
    <t>Stearns County</t>
  </si>
  <si>
    <t>Steele County</t>
  </si>
  <si>
    <t>Stevens County</t>
  </si>
  <si>
    <t>Swift County</t>
  </si>
  <si>
    <t>Todd County</t>
  </si>
  <si>
    <t>Traverse County</t>
  </si>
  <si>
    <t>Wabasha County</t>
  </si>
  <si>
    <t>Wadena County</t>
  </si>
  <si>
    <t>Waseca County</t>
  </si>
  <si>
    <t>Washington County</t>
  </si>
  <si>
    <t>Watonwan County</t>
  </si>
  <si>
    <t>Wilkin County</t>
  </si>
  <si>
    <t>Winona County</t>
  </si>
  <si>
    <t>Wright County</t>
  </si>
  <si>
    <t>Yellow Medicine County</t>
  </si>
  <si>
    <t>Carver County</t>
  </si>
  <si>
    <t>Births to Unmarried Women- Percent</t>
  </si>
  <si>
    <t>Center for Health Statistics</t>
  </si>
  <si>
    <t>Division of Health Policy</t>
  </si>
  <si>
    <t>Minnesota Department of Health</t>
  </si>
  <si>
    <r>
      <t xml:space="preserve">PO Box 64882 </t>
    </r>
    <r>
      <rPr>
        <sz val="8"/>
        <rFont val="Symbol"/>
        <family val="1"/>
        <charset val="2"/>
      </rPr>
      <t>·</t>
    </r>
    <r>
      <rPr>
        <sz val="12"/>
        <rFont val="Eras Medium ITC"/>
        <family val="2"/>
      </rPr>
      <t xml:space="preserve"> St. Paul, MN  </t>
    </r>
    <r>
      <rPr>
        <sz val="8"/>
        <rFont val="Symbol"/>
        <family val="1"/>
        <charset val="2"/>
      </rPr>
      <t>·</t>
    </r>
    <r>
      <rPr>
        <sz val="12"/>
        <rFont val="Eras Medium ITC"/>
        <family val="2"/>
      </rPr>
      <t xml:space="preserve">  55164-0884</t>
    </r>
  </si>
  <si>
    <t>http://www.health.state.mn.us/divs/chs/top_2.htm</t>
  </si>
  <si>
    <t>Heart Disease, Age Adjusted Death Rate</t>
  </si>
  <si>
    <t>Cancer, Age Adjusted Death Rate</t>
  </si>
  <si>
    <t>Stroke, Age Adjusted Death Rate</t>
  </si>
  <si>
    <t>Crude Death Rate per 100,000 Population</t>
  </si>
  <si>
    <t>2008-09</t>
  </si>
  <si>
    <t>651/201-3504  ·  healthstats@state.mn.us</t>
  </si>
  <si>
    <t>2009-10</t>
  </si>
  <si>
    <t>2010-11</t>
  </si>
  <si>
    <t>NA</t>
  </si>
  <si>
    <t>Four Year Graduation Rate per 100</t>
  </si>
  <si>
    <t>Socioeconomics</t>
  </si>
  <si>
    <t>Students Eligible for Free or Reduced Meals - 
Percent, School Year</t>
  </si>
  <si>
    <t>Total Enrollment  - School Year</t>
  </si>
  <si>
    <t>Students with Limited English Proficiency - 
Percent, School Year</t>
  </si>
  <si>
    <t>Students Receiving Special Education - 
Percent, School Year</t>
  </si>
  <si>
    <t>Low Birth Weight (less than 2,500 grams),
 Singletons - Number</t>
  </si>
  <si>
    <t>Premature Births (less than 37 weeks gestation), Singletons - Number</t>
  </si>
  <si>
    <t>Receiving Prenatal Care in the 1st Trimester - 
Percent</t>
  </si>
  <si>
    <t>None</t>
  </si>
  <si>
    <t>Unintent. Injury, Age Adjusted Death Rate</t>
  </si>
  <si>
    <t>*Rates not calculated for less than 20 events</t>
  </si>
  <si>
    <t>Minnesota Center for Health Statistics</t>
  </si>
  <si>
    <t>PO Box 64882 * St. Paul, MN * 55164-0882</t>
  </si>
  <si>
    <t>www.health.state.mn.us/divs/chs</t>
  </si>
  <si>
    <t>651.201.3504</t>
  </si>
  <si>
    <t>healthstats@state.mn.us</t>
  </si>
  <si>
    <t>NA - Data not available</t>
  </si>
  <si>
    <t>**Can be any race</t>
  </si>
  <si>
    <t>*Percentages based on numerators less than or equal to 20 may be unstable and should be interpreted with caution</t>
  </si>
  <si>
    <t>Premature Births (less than 37 weeks gestation), Singletons - Percent*</t>
  </si>
  <si>
    <t>Low Birth Weight (less than 2,500 grams),
 Singletons - Percent*</t>
  </si>
  <si>
    <t>Percent of Mothers who Smoked during Pregnancy</t>
  </si>
  <si>
    <t>1991-1995</t>
  </si>
  <si>
    <t>1996-2000</t>
  </si>
  <si>
    <t>2001-2005</t>
  </si>
  <si>
    <t>2006-2010</t>
  </si>
  <si>
    <t>High School Drop Out Rate per 100</t>
  </si>
  <si>
    <t>High School Dropout Rate per 100</t>
  </si>
  <si>
    <t xml:space="preserve"> Four-Year High School Graduation Rate per 100</t>
  </si>
  <si>
    <t>--</t>
  </si>
  <si>
    <t>The Minnesota Vital Statistics Trend Report is a report on demographic, natality and mortality trends for Minnesota, its 87 counties and community health boards (CHBs).  This report provides information on selected indicators including age dependency ratios, low birth weight, prenatal care, and selected causes of death.</t>
  </si>
  <si>
    <t>Instructions</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</si>
  <si>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</si>
  <si>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</si>
  <si>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</si>
  <si>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</si>
  <si>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</si>
  <si>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</si>
  <si>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</si>
  <si>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</si>
  <si>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</si>
  <si>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</si>
  <si>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</si>
  <si>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</si>
  <si>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</si>
  <si>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</si>
  <si>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</si>
  <si>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</si>
  <si>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</si>
  <si>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</si>
  <si>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</si>
  <si>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</si>
  <si>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</si>
  <si>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</si>
  <si>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</si>
  <si>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</si>
  <si>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</si>
  <si>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</si>
  <si>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</si>
  <si>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</si>
  <si>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</si>
  <si>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</si>
  <si>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</si>
  <si>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</si>
  <si>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</si>
  <si>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</si>
  <si>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</si>
  <si>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</si>
  <si>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</si>
  <si>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</si>
  <si>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</si>
  <si>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</si>
  <si>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</si>
  <si>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</si>
  <si>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</si>
  <si>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</si>
  <si>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</si>
  <si>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</si>
  <si>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</si>
  <si>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</si>
  <si>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</si>
  <si>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</si>
  <si>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</si>
  <si>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</si>
  <si>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</si>
  <si>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</si>
  <si>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</si>
  <si>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</si>
  <si>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</si>
  <si>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</si>
  <si>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</si>
  <si>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</si>
  <si>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</si>
  <si>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</si>
  <si>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</si>
  <si>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</si>
  <si>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</si>
  <si>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</si>
  <si>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</si>
  <si>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</si>
  <si>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</si>
  <si>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</si>
  <si>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</si>
  <si>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</si>
  <si>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</si>
  <si>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</si>
  <si>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</si>
  <si>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</si>
  <si>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</si>
  <si>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</si>
  <si>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</si>
  <si>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</si>
  <si>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</si>
  <si>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</si>
  <si>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</si>
  <si>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</si>
  <si>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</si>
  <si>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</si>
  <si>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</si>
  <si>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</si>
  <si>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</si>
  <si>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</si>
  <si>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</si>
  <si>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</si>
  <si>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</si>
  <si>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</si>
  <si>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</si>
  <si>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</si>
  <si>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</si>
  <si>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</si>
  <si>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</si>
  <si>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</si>
  <si>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</si>
  <si>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</si>
  <si>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</si>
  <si>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</si>
  <si>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</si>
  <si>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</si>
  <si>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</si>
  <si>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</si>
  <si>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</si>
  <si>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</si>
  <si>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</si>
  <si>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</si>
  <si>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</si>
  <si>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</si>
  <si>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</si>
  <si>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</si>
  <si>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</si>
  <si>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</si>
  <si>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</si>
  <si>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</si>
  <si>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</si>
  <si>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</si>
  <si>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</si>
  <si>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d191</t>
  </si>
  <si>
    <t>d192</t>
  </si>
  <si>
    <t>d193</t>
  </si>
  <si>
    <t>d194</t>
  </si>
  <si>
    <t>d195</t>
  </si>
  <si>
    <t>d196</t>
  </si>
  <si>
    <t>d197</t>
  </si>
  <si>
    <t>d198</t>
  </si>
  <si>
    <t>d199</t>
  </si>
  <si>
    <t>d200</t>
  </si>
  <si>
    <t>d201</t>
  </si>
  <si>
    <t>d202</t>
  </si>
  <si>
    <t>d203</t>
  </si>
  <si>
    <t>d204</t>
  </si>
  <si>
    <t>d205</t>
  </si>
  <si>
    <t>d206</t>
  </si>
  <si>
    <t>d207</t>
  </si>
  <si>
    <t>d208</t>
  </si>
  <si>
    <t>d209</t>
  </si>
  <si>
    <t>d210</t>
  </si>
  <si>
    <t>d211</t>
  </si>
  <si>
    <t>d212</t>
  </si>
  <si>
    <t>d213</t>
  </si>
  <si>
    <t>d214</t>
  </si>
  <si>
    <t>d215</t>
  </si>
  <si>
    <t>d216</t>
  </si>
  <si>
    <t>d217</t>
  </si>
  <si>
    <t>d218</t>
  </si>
  <si>
    <t>d219</t>
  </si>
  <si>
    <t>d220</t>
  </si>
  <si>
    <t>d221</t>
  </si>
  <si>
    <t>d222</t>
  </si>
  <si>
    <t>d223</t>
  </si>
  <si>
    <t>d224</t>
  </si>
  <si>
    <t>d225</t>
  </si>
  <si>
    <t>d226</t>
  </si>
  <si>
    <t>d227</t>
  </si>
  <si>
    <t>d228</t>
  </si>
  <si>
    <t>d229</t>
  </si>
  <si>
    <t>d230</t>
  </si>
  <si>
    <t>d231</t>
  </si>
  <si>
    <t>e191</t>
  </si>
  <si>
    <t>e192</t>
  </si>
  <si>
    <t>e193</t>
  </si>
  <si>
    <t>e194</t>
  </si>
  <si>
    <t>e195</t>
  </si>
  <si>
    <t>e196</t>
  </si>
  <si>
    <t>e197</t>
  </si>
  <si>
    <t>e198</t>
  </si>
  <si>
    <t>e199</t>
  </si>
  <si>
    <t>e200</t>
  </si>
  <si>
    <t>e201</t>
  </si>
  <si>
    <t>e202</t>
  </si>
  <si>
    <t>e203</t>
  </si>
  <si>
    <t>e204</t>
  </si>
  <si>
    <t>e205</t>
  </si>
  <si>
    <t>e206</t>
  </si>
  <si>
    <t>e207</t>
  </si>
  <si>
    <t>e208</t>
  </si>
  <si>
    <t>e209</t>
  </si>
  <si>
    <t>e210</t>
  </si>
  <si>
    <t>e211</t>
  </si>
  <si>
    <t>e212</t>
  </si>
  <si>
    <t>e213</t>
  </si>
  <si>
    <t>e214</t>
  </si>
  <si>
    <t>e215</t>
  </si>
  <si>
    <t>e216</t>
  </si>
  <si>
    <t>e217</t>
  </si>
  <si>
    <t>e218</t>
  </si>
  <si>
    <t>e219</t>
  </si>
  <si>
    <t>e220</t>
  </si>
  <si>
    <t>e221</t>
  </si>
  <si>
    <t>e222</t>
  </si>
  <si>
    <t>e223</t>
  </si>
  <si>
    <t>e224</t>
  </si>
  <si>
    <t>e225</t>
  </si>
  <si>
    <t>e226</t>
  </si>
  <si>
    <t>e227</t>
  </si>
  <si>
    <t>e228</t>
  </si>
  <si>
    <t>e229</t>
  </si>
  <si>
    <t>e230</t>
  </si>
  <si>
    <t>e231</t>
  </si>
  <si>
    <t>f191</t>
  </si>
  <si>
    <t>f192</t>
  </si>
  <si>
    <t>f193</t>
  </si>
  <si>
    <t>f194</t>
  </si>
  <si>
    <t>f195</t>
  </si>
  <si>
    <t>f196</t>
  </si>
  <si>
    <t>f197</t>
  </si>
  <si>
    <t>f198</t>
  </si>
  <si>
    <t>f199</t>
  </si>
  <si>
    <t>f200</t>
  </si>
  <si>
    <t>f201</t>
  </si>
  <si>
    <t>f202</t>
  </si>
  <si>
    <t>f203</t>
  </si>
  <si>
    <t>f204</t>
  </si>
  <si>
    <t>f205</t>
  </si>
  <si>
    <t>f206</t>
  </si>
  <si>
    <t>f207</t>
  </si>
  <si>
    <t>f208</t>
  </si>
  <si>
    <t>f209</t>
  </si>
  <si>
    <t>f210</t>
  </si>
  <si>
    <t>f211</t>
  </si>
  <si>
    <t>f212</t>
  </si>
  <si>
    <t>f213</t>
  </si>
  <si>
    <t>f214</t>
  </si>
  <si>
    <t>f215</t>
  </si>
  <si>
    <t>f216</t>
  </si>
  <si>
    <t>f217</t>
  </si>
  <si>
    <t>f218</t>
  </si>
  <si>
    <t>f219</t>
  </si>
  <si>
    <t>f220</t>
  </si>
  <si>
    <t>f221</t>
  </si>
  <si>
    <t>f222</t>
  </si>
  <si>
    <t>f223</t>
  </si>
  <si>
    <t>f224</t>
  </si>
  <si>
    <t>f225</t>
  </si>
  <si>
    <t>f226</t>
  </si>
  <si>
    <t>f227</t>
  </si>
  <si>
    <t>f228</t>
  </si>
  <si>
    <t>f229</t>
  </si>
  <si>
    <t>f230</t>
  </si>
  <si>
    <t>f231</t>
  </si>
  <si>
    <t>Extra cells for new data</t>
  </si>
  <si>
    <t>Number of Households</t>
  </si>
  <si>
    <t>Per Capital Income</t>
  </si>
  <si>
    <t>Low Birth Weight - Singletons #
(Under 2,500 grams)</t>
  </si>
  <si>
    <t>Teen Birth Rate per 1,000 15-19 fe</t>
  </si>
  <si>
    <t>RE of Mother</t>
  </si>
  <si>
    <t>Preterm - Singletons %</t>
  </si>
  <si>
    <t>Preterm - Singletons#
(less than 37 weeks)</t>
  </si>
  <si>
    <t>Latina</t>
  </si>
  <si>
    <t>AS</t>
  </si>
  <si>
    <t>Extra Cells</t>
  </si>
  <si>
    <t>Populaton by RE -2011</t>
  </si>
  <si>
    <t>2011-12</t>
  </si>
  <si>
    <t>2007-2011</t>
  </si>
  <si>
    <t>1992-1996</t>
  </si>
  <si>
    <t>1997-2001</t>
  </si>
  <si>
    <t>2002-2006</t>
  </si>
  <si>
    <t>Deaths by RE - 2011</t>
  </si>
  <si>
    <t>Aitkin, Itasca and Koochiching</t>
  </si>
  <si>
    <t>Beltrami, Clearwater, Hubbard and Lake of the Woods</t>
  </si>
  <si>
    <t>Big Stone, Chippewa, Lac Qui Parle, Swift and Yellow Medicine</t>
  </si>
  <si>
    <t>Brown and Nicollet</t>
  </si>
  <si>
    <t>Carlton, Cook, Lake and St. Louis</t>
  </si>
  <si>
    <t>Cottonwood and Jackson</t>
  </si>
  <si>
    <t>Clay and Wilkin</t>
  </si>
  <si>
    <t>Douglas, Grant, Pope, Stevens and Traverse</t>
  </si>
  <si>
    <t>Dodge and Steele</t>
  </si>
  <si>
    <t>Fillmore and Houston</t>
  </si>
  <si>
    <t>Faribault and Martin</t>
  </si>
  <si>
    <t>Isanti and Mille Lacs</t>
  </si>
  <si>
    <t>Kittson, Marshall, Pennington, Red Lake and Roseau</t>
  </si>
  <si>
    <t>Kanabec and Pine</t>
  </si>
  <si>
    <t>Kandiyohi and Renvilee</t>
  </si>
  <si>
    <t>Lincoln, Lyon, Murray, Pipestone, Redwood and Rock</t>
  </si>
  <si>
    <t>Le Sueur and Waseca</t>
  </si>
  <si>
    <t>Meeker, McCleod and Sibley</t>
  </si>
  <si>
    <t>Mahnomen, Norman and Polk</t>
  </si>
  <si>
    <t>Morrison, Todd and Wadena</t>
  </si>
  <si>
    <t>na</t>
  </si>
  <si>
    <t>Minnesota 
State, County, and Community Health Board 
Vital Statistics Trend Report, 1992-2011</t>
  </si>
  <si>
    <t>Race/Ethnicity of Mother - Year 2011</t>
  </si>
  <si>
    <t>Number of Deaths by Race/Ethnicity - Year 2011</t>
  </si>
  <si>
    <t xml:space="preserve">Minnesota Center for Health Statistics
</t>
  </si>
  <si>
    <r>
      <t>Total Population</t>
    </r>
    <r>
      <rPr>
        <b/>
        <vertAlign val="superscript"/>
        <sz val="9"/>
        <color theme="1"/>
        <rFont val="Tw Cen MT"/>
        <family val="2"/>
      </rPr>
      <t>1</t>
    </r>
  </si>
  <si>
    <r>
      <t>Population by Race/Ethnicity</t>
    </r>
    <r>
      <rPr>
        <b/>
        <vertAlign val="superscript"/>
        <sz val="9"/>
        <color theme="1"/>
        <rFont val="Tw Cen MT"/>
        <family val="2"/>
      </rPr>
      <t xml:space="preserve">1 </t>
    </r>
    <r>
      <rPr>
        <b/>
        <sz val="9"/>
        <color theme="1"/>
        <rFont val="Tw Cen MT"/>
        <family val="2"/>
      </rPr>
      <t>Year 2011</t>
    </r>
  </si>
  <si>
    <r>
      <t>Elderly (age 65+) Dependency Ratio 
per 100 people aged 15-64</t>
    </r>
    <r>
      <rPr>
        <b/>
        <vertAlign val="superscript"/>
        <sz val="9"/>
        <color theme="1"/>
        <rFont val="Tw Cen MT"/>
        <family val="2"/>
      </rPr>
      <t>1</t>
    </r>
  </si>
  <si>
    <r>
      <t>Estimated Number of Households</t>
    </r>
    <r>
      <rPr>
        <b/>
        <vertAlign val="superscript"/>
        <sz val="9"/>
        <color theme="1"/>
        <rFont val="Tw Cen MT"/>
        <family val="2"/>
      </rPr>
      <t>2</t>
    </r>
  </si>
  <si>
    <r>
      <t>Child (under age 15) Dependency Ratio 
per 100 people aged 15-64</t>
    </r>
    <r>
      <rPr>
        <b/>
        <vertAlign val="superscript"/>
        <sz val="9"/>
        <color theme="1"/>
        <rFont val="Tw Cen MT"/>
        <family val="2"/>
      </rPr>
      <t>1</t>
    </r>
  </si>
  <si>
    <r>
      <t>Total Dependency (under 15, 65+) Ratio 
per 100 people aged 15-64</t>
    </r>
    <r>
      <rPr>
        <b/>
        <vertAlign val="superscript"/>
        <sz val="9"/>
        <color theme="1"/>
        <rFont val="Tw Cen MT"/>
        <family val="2"/>
      </rPr>
      <t>1</t>
    </r>
  </si>
  <si>
    <r>
      <t>Food Stamp Utilization - 
Average Monthly Households (Cases)</t>
    </r>
    <r>
      <rPr>
        <b/>
        <vertAlign val="superscript"/>
        <sz val="9"/>
        <color theme="1"/>
        <rFont val="Tw Cen MT"/>
        <family val="2"/>
      </rPr>
      <t>4</t>
    </r>
  </si>
  <si>
    <r>
      <t>Unemployed (Annual Average)</t>
    </r>
    <r>
      <rPr>
        <b/>
        <vertAlign val="superscript"/>
        <sz val="9"/>
        <color theme="1"/>
        <rFont val="Tw Cen MT"/>
        <family val="2"/>
      </rPr>
      <t>3</t>
    </r>
    <r>
      <rPr>
        <b/>
        <sz val="9"/>
        <color theme="1"/>
        <rFont val="Tw Cen MT"/>
        <family val="2"/>
      </rPr>
      <t xml:space="preserve"> - Percent</t>
    </r>
  </si>
  <si>
    <r>
      <t>Per Capita Income - Adjusted to 2011 Dollars</t>
    </r>
    <r>
      <rPr>
        <b/>
        <vertAlign val="superscript"/>
        <sz val="9"/>
        <color theme="1"/>
        <rFont val="Tw Cen MT"/>
        <family val="2"/>
      </rPr>
      <t>5</t>
    </r>
  </si>
  <si>
    <r>
      <t>Median Household Income -  - Adjusted to 2011 Dollars</t>
    </r>
    <r>
      <rPr>
        <b/>
        <vertAlign val="superscript"/>
        <sz val="9"/>
        <color theme="1"/>
        <rFont val="Tw Cen MT"/>
        <family val="2"/>
      </rPr>
      <t>1</t>
    </r>
  </si>
  <si>
    <r>
      <t>Percent of All Ages Living in Poverty</t>
    </r>
    <r>
      <rPr>
        <b/>
        <vertAlign val="superscript"/>
        <sz val="9"/>
        <color theme="1"/>
        <rFont val="Tw Cen MT"/>
        <family val="2"/>
      </rPr>
      <t>1</t>
    </r>
  </si>
  <si>
    <r>
      <t>Percent of People under 18 Years Living in Poverty</t>
    </r>
    <r>
      <rPr>
        <b/>
        <vertAlign val="superscript"/>
        <sz val="9"/>
        <color theme="1"/>
        <rFont val="Tw Cen MT"/>
        <family val="2"/>
      </rPr>
      <t xml:space="preserve">1 </t>
    </r>
  </si>
  <si>
    <r>
      <t>Education (PreKindergarten to 12th Grade)</t>
    </r>
    <r>
      <rPr>
        <b/>
        <vertAlign val="superscript"/>
        <sz val="9"/>
        <color theme="1"/>
        <rFont val="Tw Cen MT"/>
        <family val="2"/>
      </rPr>
      <t>6</t>
    </r>
  </si>
  <si>
    <r>
      <t>Natality</t>
    </r>
    <r>
      <rPr>
        <b/>
        <vertAlign val="superscript"/>
        <sz val="9"/>
        <color theme="1"/>
        <rFont val="Tw Cen MT"/>
        <family val="2"/>
      </rPr>
      <t>7</t>
    </r>
  </si>
  <si>
    <r>
      <t>Number of Infant Deaths</t>
    </r>
    <r>
      <rPr>
        <b/>
        <vertAlign val="superscript"/>
        <sz val="9"/>
        <color theme="1"/>
        <rFont val="Tw Cen MT"/>
        <family val="2"/>
      </rPr>
      <t xml:space="preserve">8 </t>
    </r>
    <r>
      <rPr>
        <b/>
        <sz val="9"/>
        <color theme="1"/>
        <rFont val="Tw Cen MT"/>
        <family val="2"/>
      </rPr>
      <t>by</t>
    </r>
    <r>
      <rPr>
        <b/>
        <vertAlign val="superscript"/>
        <sz val="9"/>
        <color theme="1"/>
        <rFont val="Tw Cen MT"/>
        <family val="2"/>
      </rPr>
      <t xml:space="preserve"> </t>
    </r>
    <r>
      <rPr>
        <b/>
        <sz val="9"/>
        <color theme="1"/>
        <rFont val="Tw Cen MT"/>
        <family val="2"/>
      </rPr>
      <t>Birth Year</t>
    </r>
  </si>
  <si>
    <r>
      <t>Mortality</t>
    </r>
    <r>
      <rPr>
        <b/>
        <vertAlign val="superscript"/>
        <sz val="9"/>
        <color theme="1"/>
        <rFont val="Tw Cen MT"/>
        <family val="2"/>
      </rPr>
      <t>7</t>
    </r>
  </si>
  <si>
    <t>Mothers who Smoked during Pregnancy - 
Percent</t>
  </si>
  <si>
    <t>Teen Birth Rate 
per 1,000 15-19 year old females</t>
  </si>
  <si>
    <t>Aitkin, Itasca, Koochiching</t>
  </si>
  <si>
    <t>Brown, Nicollet</t>
  </si>
  <si>
    <t>Carlton, Cook, Lake, St. Louis</t>
  </si>
  <si>
    <t>Cottonwood, Jackson</t>
  </si>
  <si>
    <t>Clay, Wilkin</t>
  </si>
  <si>
    <t>Douglas, Grant, Pope, Stevens, Traverse</t>
  </si>
  <si>
    <t>Dodge, Steele</t>
  </si>
  <si>
    <t>Fillmore, Houston</t>
  </si>
  <si>
    <t>Faribault, Martin</t>
  </si>
  <si>
    <t>Isanti, Mille Lacs</t>
  </si>
  <si>
    <t>Kanabec, Pine</t>
  </si>
  <si>
    <t>Kandiyohi, Renville</t>
  </si>
  <si>
    <t>LeSueur, Waseca</t>
  </si>
  <si>
    <t>Meeker, McLeod, Sibley</t>
  </si>
  <si>
    <t>Mahnomen, Norman, Polk</t>
  </si>
  <si>
    <t>Morrison, Todd, Wadena</t>
  </si>
  <si>
    <t>Beltrami, Clearwtr, Hubbard, LakeoftheWoods</t>
  </si>
  <si>
    <t>Big Stone, Chipp, LacquiParle, Swift, YM</t>
  </si>
  <si>
    <t>Kittson, Marshall, Pennington, RedLake, Roseau</t>
  </si>
  <si>
    <t>Lincoln, Lyon, Murray, Pipestne, Redwood, Rock</t>
  </si>
  <si>
    <t>Select counties and/or Community Health Boards:</t>
  </si>
  <si>
    <t>July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</si>
</sst>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43" formatCode="_(* #,##0.00_);_(* \(#,##0.00\);_(* &quot;-&quot;??_);_(@_)"/>
    <numFmt numFmtId="164" formatCode="0.0"/>
    <numFmt numFmtId="165" formatCode="_(* #,##0.0_);_(* \(#,##0.0\);_(* &quot;-&quot;??_);_(@_)"/>
    <numFmt numFmtId="166" formatCode="_(* #,##0_);_(* \(#,##0\);_(* &quot;-&quot;??_);_(@_)"/>
    <numFmt numFmtId="167" formatCode="#,##0.0"/>
    <numFmt numFmtId="168" formatCode="_(&quot;$&quot;* #,##0_);_(&quot;$&quot;* \(#,##0\);_(&quot;$&quot;* &quot;-&quot;??_);_(@_)"/>
    <numFmt numFmtId="169" formatCode="&quot;$&quot;#,##0"/>
  </numFmts>
  <fonts count="34" x14ac:knownFonts="1">
    <font>
      <sz val="10"/>
      <name val="Times New Roman"/>
    </font>
    <font>
      <sz val="10"/>
      <name val="Times New Roman"/>
      <family val="1"/>
    </font>
    <font>
      <u/>
      <sz val="10"/>
      <color indexed="12"/>
      <name val="Times New Roman"/>
      <family val="1"/>
    </font>
    <font>
      <sz val="8"/>
      <name val="Times New Roman"/>
      <family val="1"/>
    </font>
    <font>
      <sz val="12"/>
      <name val="Times New Roman"/>
      <family val="1"/>
    </font>
    <font>
      <b/>
      <sz val="14"/>
      <name val="Eras Medium ITC"/>
      <family val="2"/>
    </font>
    <font>
      <i/>
      <sz val="12"/>
      <name val="Times New Roman"/>
      <family val="1"/>
    </font>
    <font>
      <i/>
      <sz val="12"/>
      <name val="Eras Medium ITC"/>
      <family val="2"/>
    </font>
    <font>
      <sz val="12"/>
      <name val="Eras Medium ITC"/>
      <family val="2"/>
    </font>
    <font>
      <sz val="8"/>
      <name val="Symbol"/>
      <family val="1"/>
      <charset val="2"/>
    </font>
    <font>
      <b/>
      <sz val="12"/>
      <name val="Eras Medium ITC"/>
      <family val="2"/>
    </font>
    <font>
      <sz val="9.5"/>
      <name val="Eras Medium ITC"/>
      <family val="2"/>
    </font>
    <font>
      <sz val="12"/>
      <name val="Tahoma"/>
      <family val="2"/>
    </font>
    <font>
      <i/>
      <sz val="14"/>
      <name val="Eras Medium ITC"/>
      <family val="2"/>
    </font>
    <font>
      <sz val="10"/>
      <name val="Times New Roman"/>
      <family val="1"/>
    </font>
    <font>
      <sz val="10"/>
      <name val="Tw Cen MT"/>
      <family val="2"/>
    </font>
    <font>
      <sz val="11"/>
      <color theme="1"/>
      <name val="Calibri"/>
      <family val="2"/>
      <scheme val="minor"/>
    </font>
    <font>
      <sz val="10"/>
      <color theme="1"/>
      <name val="Tw Cen MT"/>
      <family val="2"/>
    </font>
    <font>
      <b/>
      <sz val="12"/>
      <name val="Tw Cen MT"/>
      <family val="2"/>
    </font>
    <font>
      <sz val="9"/>
      <color theme="1"/>
      <name val="Tw Cen MT"/>
      <family val="2"/>
    </font>
    <font>
      <b/>
      <sz val="24"/>
      <name val="Tw Cen MT"/>
      <family val="2"/>
    </font>
    <font>
      <b/>
      <sz val="28"/>
      <name val="Tw Cen MT"/>
      <family val="2"/>
    </font>
    <font>
      <sz val="16"/>
      <name val="Tw Cen MT"/>
      <family val="2"/>
    </font>
    <font>
      <b/>
      <sz val="16"/>
      <name val="Tw Cen MT"/>
      <family val="2"/>
    </font>
    <font>
      <b/>
      <u/>
      <sz val="12"/>
      <color rgb="FF000000"/>
      <name val="Tw Cen MT"/>
      <family val="2"/>
    </font>
    <font>
      <sz val="12"/>
      <color rgb="FF000000"/>
      <name val="Tw Cen MT"/>
      <family val="2"/>
    </font>
    <font>
      <sz val="9"/>
      <color indexed="8"/>
      <name val="Tw Cen MT"/>
      <family val="2"/>
    </font>
    <font>
      <sz val="10"/>
      <name val="Arial"/>
      <family val="2"/>
    </font>
    <font>
      <sz val="9"/>
      <name val="Tw Cen MT"/>
      <family val="2"/>
    </font>
    <font>
      <sz val="10"/>
      <name val="Times New Roman"/>
      <family val="1"/>
    </font>
    <font>
      <sz val="10"/>
      <color theme="1"/>
      <name val="Arial"/>
      <family val="2"/>
    </font>
    <font>
      <b/>
      <sz val="9"/>
      <color theme="1"/>
      <name val="Tw Cen MT"/>
      <family val="2"/>
    </font>
    <font>
      <b/>
      <vertAlign val="superscript"/>
      <sz val="9"/>
      <color theme="1"/>
      <name val="Tw Cen MT"/>
      <family val="2"/>
    </font>
    <font>
      <u/>
      <sz val="9"/>
      <color indexed="12"/>
      <name val="Times New Roman"/>
      <family val="1"/>
    </font>
  </fonts>
  <fills count="7">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79998168889431442"/>
        <bgColor indexed="64"/>
      </patternFill>
    </fill>
  </fills>
  <borders count="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1">
    <xf numFmtId="0" fontId="0" fillId="0" borderId="0"/>
    <xf numFmtId="43"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4" fillId="0" borderId="0"/>
    <xf numFmtId="0" fontId="16" fillId="0" borderId="0"/>
    <xf numFmtId="0" fontId="27" fillId="0" borderId="0"/>
    <xf numFmtId="0" fontId="1" fillId="0" borderId="0"/>
    <xf numFmtId="0" fontId="30" fillId="0" borderId="0"/>
    <xf numFmtId="0" fontId="2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alignment vertical="top"/>
      <protection locked="0"/>
    </xf>
    <xf numFmtId="0" fontId="1" fillId="0" borderId="0"/>
  </cellStyleXfs>
  <cellXfs count="199">
    <xf numFmtId="0" fontId="0" fillId="0" borderId="0" xfId="0"/>
    <xf numFmtId="0" fontId="6" fillId="0" borderId="0" xfId="0" applyFont="1"/>
    <xf numFmtId="0" fontId="4" fillId="0" borderId="0" xfId="0" applyFont="1" applyAlignment="1">
      <alignment horizontal="center"/>
    </xf>
    <xf numFmtId="0" fontId="8" fillId="0" borderId="0" xfId="0" applyFont="1"/>
    <xf numFmtId="0" fontId="10" fillId="0" borderId="0" xfId="0" applyFont="1"/>
    <xf numFmtId="0" fontId="12" fillId="0" borderId="0" xfId="0" applyFont="1" applyAlignment="1">
      <alignment horizontal="left" indent="15"/>
    </xf>
    <xf numFmtId="0" fontId="11" fillId="0" borderId="0" xfId="0" applyFont="1"/>
    <xf numFmtId="0" fontId="5" fillId="0" borderId="0" xfId="0" applyFont="1" applyBorder="1" applyAlignment="1">
      <alignment vertical="top" wrapText="1"/>
    </xf>
    <xf numFmtId="0" fontId="8" fillId="0" borderId="0" xfId="0" applyFont="1" applyBorder="1" applyAlignment="1">
      <alignment vertical="top" wrapText="1"/>
    </xf>
    <xf numFmtId="0" fontId="0" fillId="0" borderId="0" xfId="0" applyBorder="1"/>
    <xf numFmtId="0" fontId="8" fillId="0" borderId="0" xfId="0" applyFont="1" applyBorder="1"/>
    <xf numFmtId="0" fontId="3" fillId="0" borderId="0" xfId="0" applyFont="1"/>
    <xf numFmtId="3" fontId="17" fillId="0" borderId="0" xfId="0" applyNumberFormat="1" applyFont="1" applyBorder="1" applyAlignment="1">
      <alignment horizontal="center"/>
    </xf>
    <xf numFmtId="167" fontId="17" fillId="0" borderId="0" xfId="0" applyNumberFormat="1" applyFont="1" applyBorder="1" applyAlignment="1">
      <alignment horizontal="center"/>
    </xf>
    <xf numFmtId="167" fontId="17" fillId="0" borderId="1" xfId="0" applyNumberFormat="1" applyFont="1" applyBorder="1" applyAlignment="1">
      <alignment horizontal="center"/>
    </xf>
    <xf numFmtId="0" fontId="15" fillId="0" borderId="0" xfId="0" applyFont="1"/>
    <xf numFmtId="164" fontId="15" fillId="0" borderId="0" xfId="0" applyNumberFormat="1" applyFont="1" applyBorder="1" applyAlignment="1">
      <alignment horizontal="center"/>
    </xf>
    <xf numFmtId="0" fontId="15" fillId="0" borderId="0" xfId="0" applyFont="1" applyAlignment="1">
      <alignment horizontal="center"/>
    </xf>
    <xf numFmtId="164" fontId="15" fillId="0" borderId="0" xfId="0" applyNumberFormat="1" applyFont="1" applyAlignment="1">
      <alignment horizontal="center"/>
    </xf>
    <xf numFmtId="3" fontId="15" fillId="0" borderId="1" xfId="0" applyNumberFormat="1" applyFont="1" applyBorder="1" applyAlignment="1">
      <alignment horizontal="center"/>
    </xf>
    <xf numFmtId="164" fontId="15" fillId="0" borderId="1" xfId="0" applyNumberFormat="1" applyFont="1" applyBorder="1" applyAlignment="1">
      <alignment horizontal="center"/>
    </xf>
    <xf numFmtId="0" fontId="17" fillId="0" borderId="0" xfId="0" applyFont="1" applyBorder="1" applyAlignment="1">
      <alignment horizontal="center"/>
    </xf>
    <xf numFmtId="3" fontId="15" fillId="0" borderId="0" xfId="0" applyNumberFormat="1" applyFont="1" applyBorder="1" applyAlignment="1">
      <alignment horizontal="center"/>
    </xf>
    <xf numFmtId="3" fontId="15" fillId="0" borderId="3" xfId="0" applyNumberFormat="1" applyFont="1" applyBorder="1" applyAlignment="1">
      <alignment horizontal="center"/>
    </xf>
    <xf numFmtId="3" fontId="15" fillId="0" borderId="0" xfId="0" applyNumberFormat="1" applyFont="1"/>
    <xf numFmtId="0" fontId="22" fillId="0" borderId="0" xfId="0" applyFont="1" applyAlignment="1">
      <alignment horizontal="left"/>
    </xf>
    <xf numFmtId="0" fontId="20" fillId="0" borderId="0" xfId="0" applyFont="1" applyAlignment="1">
      <alignment horizontal="left" vertical="center" wrapText="1"/>
    </xf>
    <xf numFmtId="0" fontId="15" fillId="3" borderId="0" xfId="0" applyFont="1" applyFill="1" applyBorder="1"/>
    <xf numFmtId="0" fontId="19" fillId="0" borderId="0" xfId="0" applyFont="1" applyBorder="1" applyAlignment="1">
      <alignment horizontal="center"/>
    </xf>
    <xf numFmtId="0" fontId="22" fillId="0" borderId="0" xfId="0" applyFont="1" applyAlignment="1">
      <alignment horizontal="left"/>
    </xf>
    <xf numFmtId="0" fontId="23" fillId="0" borderId="0" xfId="0" applyFont="1" applyAlignment="1">
      <alignment horizontal="left" vertical="top"/>
    </xf>
    <xf numFmtId="0" fontId="22" fillId="0" borderId="0" xfId="0" applyFont="1" applyAlignment="1"/>
    <xf numFmtId="0" fontId="0" fillId="0" borderId="0" xfId="0" applyAlignment="1">
      <alignment horizontal="left"/>
    </xf>
    <xf numFmtId="0" fontId="15" fillId="0" borderId="0" xfId="0" applyFont="1" applyAlignment="1">
      <alignment horizontal="left"/>
    </xf>
    <xf numFmtId="0" fontId="24" fillId="0" borderId="0" xfId="0" applyFont="1" applyAlignment="1">
      <alignment horizontal="left" vertical="center" readingOrder="1"/>
    </xf>
    <xf numFmtId="0" fontId="25" fillId="0" borderId="0" xfId="0" applyFont="1" applyAlignment="1">
      <alignment horizontal="left" vertical="center" readingOrder="1"/>
    </xf>
    <xf numFmtId="0" fontId="18" fillId="0" borderId="0" xfId="0" applyFont="1"/>
    <xf numFmtId="0" fontId="15" fillId="5" borderId="0" xfId="0" applyFont="1" applyFill="1" applyBorder="1"/>
    <xf numFmtId="0" fontId="15" fillId="5" borderId="0" xfId="0" applyFont="1" applyFill="1" applyBorder="1" applyAlignment="1">
      <alignment horizontal="left"/>
    </xf>
    <xf numFmtId="166" fontId="15" fillId="5" borderId="0" xfId="1" applyNumberFormat="1" applyFont="1" applyFill="1" applyBorder="1" applyAlignment="1">
      <alignment horizontal="right"/>
    </xf>
    <xf numFmtId="0" fontId="15" fillId="5" borderId="0" xfId="0" applyFont="1" applyFill="1" applyBorder="1" applyAlignment="1">
      <alignment horizontal="right"/>
    </xf>
    <xf numFmtId="166" fontId="15" fillId="3" borderId="0" xfId="1" applyNumberFormat="1" applyFont="1" applyFill="1" applyBorder="1" applyAlignment="1">
      <alignment horizontal="right"/>
    </xf>
    <xf numFmtId="0" fontId="15" fillId="5" borderId="0" xfId="0" applyFont="1" applyFill="1" applyBorder="1" applyAlignment="1">
      <alignment horizontal="right" vertical="center"/>
    </xf>
    <xf numFmtId="166" fontId="15" fillId="5" borderId="0" xfId="1" applyNumberFormat="1" applyFont="1" applyFill="1" applyBorder="1" applyAlignment="1">
      <alignment horizontal="right" vertical="center"/>
    </xf>
    <xf numFmtId="164" fontId="15" fillId="5" borderId="0" xfId="0" applyNumberFormat="1" applyFont="1" applyFill="1" applyBorder="1" applyAlignment="1">
      <alignment horizontal="right" vertical="center"/>
    </xf>
    <xf numFmtId="165" fontId="15" fillId="5" borderId="0" xfId="0" applyNumberFormat="1" applyFont="1" applyFill="1" applyBorder="1" applyAlignment="1">
      <alignment horizontal="right" vertical="center"/>
    </xf>
    <xf numFmtId="165" fontId="15" fillId="5" borderId="0" xfId="1" applyNumberFormat="1" applyFont="1" applyFill="1" applyBorder="1" applyAlignment="1">
      <alignment horizontal="right" vertical="center"/>
    </xf>
    <xf numFmtId="167" fontId="15" fillId="5" borderId="0" xfId="1" applyNumberFormat="1" applyFont="1" applyFill="1" applyBorder="1" applyAlignment="1">
      <alignment horizontal="right" vertical="center"/>
    </xf>
    <xf numFmtId="167" fontId="15" fillId="5" borderId="0" xfId="0" applyNumberFormat="1" applyFont="1" applyFill="1" applyBorder="1" applyAlignment="1">
      <alignment horizontal="right" vertical="center"/>
    </xf>
    <xf numFmtId="3" fontId="15" fillId="5" borderId="0" xfId="1" applyNumberFormat="1" applyFont="1" applyFill="1" applyBorder="1" applyAlignment="1">
      <alignment horizontal="right" vertical="center"/>
    </xf>
    <xf numFmtId="166" fontId="15" fillId="5" borderId="0" xfId="0" applyNumberFormat="1" applyFont="1" applyFill="1" applyBorder="1" applyAlignment="1">
      <alignment horizontal="right" vertical="center"/>
    </xf>
    <xf numFmtId="164" fontId="15" fillId="5" borderId="0" xfId="4" applyNumberFormat="1" applyFont="1" applyFill="1" applyBorder="1" applyAlignment="1">
      <alignment horizontal="right" vertical="center"/>
    </xf>
    <xf numFmtId="165" fontId="15" fillId="3" borderId="0" xfId="1" applyNumberFormat="1" applyFont="1" applyFill="1" applyBorder="1" applyAlignment="1">
      <alignment horizontal="right" vertical="center"/>
    </xf>
    <xf numFmtId="164" fontId="15" fillId="3" borderId="0" xfId="0" applyNumberFormat="1" applyFont="1" applyFill="1" applyBorder="1" applyAlignment="1">
      <alignment horizontal="right" vertical="center"/>
    </xf>
    <xf numFmtId="167" fontId="15" fillId="3" borderId="0" xfId="0" applyNumberFormat="1" applyFont="1" applyFill="1" applyBorder="1" applyAlignment="1">
      <alignment horizontal="right" vertical="center"/>
    </xf>
    <xf numFmtId="3" fontId="15" fillId="3" borderId="0" xfId="1" applyNumberFormat="1" applyFont="1" applyFill="1" applyBorder="1" applyAlignment="1">
      <alignment horizontal="right" vertical="center"/>
    </xf>
    <xf numFmtId="164" fontId="15" fillId="3" borderId="0" xfId="4" applyNumberFormat="1" applyFont="1" applyFill="1" applyBorder="1" applyAlignment="1">
      <alignment horizontal="right" vertical="center"/>
    </xf>
    <xf numFmtId="0" fontId="17" fillId="5" borderId="0" xfId="0" applyFont="1" applyFill="1" applyBorder="1" applyAlignment="1">
      <alignment horizontal="right" vertical="center"/>
    </xf>
    <xf numFmtId="0" fontId="17" fillId="3" borderId="0" xfId="0" applyFont="1" applyFill="1" applyBorder="1" applyAlignment="1">
      <alignment horizontal="right" vertical="center"/>
    </xf>
    <xf numFmtId="1" fontId="15" fillId="5" borderId="0" xfId="0" applyNumberFormat="1" applyFont="1" applyFill="1" applyBorder="1"/>
    <xf numFmtId="164" fontId="17" fillId="5" borderId="0" xfId="0" applyNumberFormat="1" applyFont="1" applyFill="1" applyBorder="1" applyAlignment="1">
      <alignment horizontal="right" vertical="center"/>
    </xf>
    <xf numFmtId="167" fontId="17" fillId="5" borderId="0" xfId="0" applyNumberFormat="1" applyFont="1" applyFill="1" applyBorder="1" applyAlignment="1">
      <alignment horizontal="right" vertical="center"/>
    </xf>
    <xf numFmtId="3" fontId="17" fillId="5" borderId="0" xfId="0" applyNumberFormat="1" applyFont="1" applyFill="1" applyBorder="1" applyAlignment="1">
      <alignment horizontal="right" vertical="center"/>
    </xf>
    <xf numFmtId="164" fontId="17" fillId="5" borderId="0" xfId="0" applyNumberFormat="1" applyFont="1" applyFill="1" applyBorder="1"/>
    <xf numFmtId="0" fontId="17" fillId="5" borderId="0" xfId="0" applyFont="1" applyFill="1" applyBorder="1"/>
    <xf numFmtId="3" fontId="17" fillId="5" borderId="0" xfId="0" applyNumberFormat="1" applyFont="1" applyFill="1" applyBorder="1"/>
    <xf numFmtId="167" fontId="17" fillId="5" borderId="0" xfId="0" applyNumberFormat="1" applyFont="1" applyFill="1" applyBorder="1"/>
    <xf numFmtId="3" fontId="17" fillId="3" borderId="0" xfId="0" applyNumberFormat="1" applyFont="1" applyFill="1" applyBorder="1" applyAlignment="1">
      <alignment horizontal="right" vertical="center"/>
    </xf>
    <xf numFmtId="164" fontId="17" fillId="3" borderId="0" xfId="0" applyNumberFormat="1" applyFont="1" applyFill="1" applyBorder="1" applyAlignment="1">
      <alignment horizontal="right" vertical="center"/>
    </xf>
    <xf numFmtId="167" fontId="17" fillId="3" borderId="0" xfId="0" applyNumberFormat="1" applyFont="1" applyFill="1" applyBorder="1" applyAlignment="1">
      <alignment horizontal="right" vertical="center"/>
    </xf>
    <xf numFmtId="167" fontId="15" fillId="3" borderId="0" xfId="0" applyNumberFormat="1" applyFont="1" applyFill="1" applyBorder="1"/>
    <xf numFmtId="0" fontId="17" fillId="3" borderId="0" xfId="0" applyFont="1" applyFill="1" applyBorder="1"/>
    <xf numFmtId="3" fontId="17" fillId="3" borderId="0" xfId="0" applyNumberFormat="1" applyFont="1" applyFill="1" applyBorder="1"/>
    <xf numFmtId="167" fontId="17" fillId="3" borderId="0" xfId="0" applyNumberFormat="1" applyFont="1" applyFill="1" applyBorder="1"/>
    <xf numFmtId="164" fontId="17" fillId="3" borderId="0" xfId="0" applyNumberFormat="1" applyFont="1" applyFill="1" applyBorder="1"/>
    <xf numFmtId="167" fontId="15" fillId="5" borderId="0" xfId="0" applyNumberFormat="1" applyFont="1" applyFill="1" applyBorder="1"/>
    <xf numFmtId="3" fontId="17" fillId="5" borderId="0" xfId="0" quotePrefix="1" applyNumberFormat="1" applyFont="1" applyFill="1" applyBorder="1" applyAlignment="1">
      <alignment horizontal="right" vertical="center"/>
    </xf>
    <xf numFmtId="3" fontId="17" fillId="5" borderId="0" xfId="0" quotePrefix="1" applyNumberFormat="1" applyFont="1" applyFill="1" applyBorder="1"/>
    <xf numFmtId="164" fontId="15" fillId="5" borderId="0" xfId="0" applyNumberFormat="1" applyFont="1" applyFill="1" applyBorder="1"/>
    <xf numFmtId="3" fontId="15" fillId="5" borderId="0" xfId="0" applyNumberFormat="1" applyFont="1" applyFill="1" applyBorder="1" applyAlignment="1">
      <alignment horizontal="right" vertical="center"/>
    </xf>
    <xf numFmtId="168" fontId="15" fillId="5" borderId="0" xfId="0" applyNumberFormat="1" applyFont="1" applyFill="1" applyBorder="1" applyAlignment="1">
      <alignment horizontal="right" vertical="center"/>
    </xf>
    <xf numFmtId="165" fontId="15" fillId="5" borderId="0" xfId="0" applyNumberFormat="1" applyFont="1" applyFill="1" applyBorder="1"/>
    <xf numFmtId="3" fontId="15" fillId="5" borderId="0" xfId="0" applyNumberFormat="1" applyFont="1" applyFill="1" applyBorder="1"/>
    <xf numFmtId="166" fontId="15" fillId="5" borderId="0" xfId="0" applyNumberFormat="1" applyFont="1" applyFill="1" applyBorder="1"/>
    <xf numFmtId="166" fontId="15" fillId="5" borderId="0" xfId="1" applyNumberFormat="1" applyFont="1" applyFill="1" applyBorder="1"/>
    <xf numFmtId="0" fontId="15" fillId="6" borderId="0" xfId="0" applyFont="1" applyFill="1" applyBorder="1" applyAlignment="1">
      <alignment horizontal="left"/>
    </xf>
    <xf numFmtId="0" fontId="15" fillId="6" borderId="0" xfId="0" applyFont="1" applyFill="1" applyBorder="1"/>
    <xf numFmtId="0" fontId="15" fillId="4" borderId="0" xfId="0" applyFont="1" applyFill="1" applyBorder="1" applyAlignment="1">
      <alignment horizontal="left"/>
    </xf>
    <xf numFmtId="166" fontId="15" fillId="4" borderId="0" xfId="1" applyNumberFormat="1" applyFont="1" applyFill="1" applyBorder="1" applyAlignment="1">
      <alignment horizontal="right"/>
    </xf>
    <xf numFmtId="0" fontId="15" fillId="5" borderId="0" xfId="0" applyFont="1" applyFill="1" applyBorder="1" applyAlignment="1">
      <alignment horizontal="center" vertical="center"/>
    </xf>
    <xf numFmtId="0" fontId="26" fillId="5" borderId="0" xfId="0" applyFont="1" applyFill="1" applyBorder="1" applyAlignment="1">
      <alignment horizontal="left" vertical="top"/>
    </xf>
    <xf numFmtId="3" fontId="15" fillId="3" borderId="6" xfId="10" applyNumberFormat="1" applyFont="1" applyFill="1" applyBorder="1" applyAlignment="1">
      <alignment horizontal="center"/>
    </xf>
    <xf numFmtId="49" fontId="28" fillId="5" borderId="6" xfId="11" applyNumberFormat="1" applyFont="1" applyFill="1" applyBorder="1" applyAlignment="1">
      <alignment horizontal="left" vertical="top" wrapText="1"/>
    </xf>
    <xf numFmtId="3" fontId="0" fillId="0" borderId="0" xfId="0" applyNumberFormat="1" applyAlignment="1">
      <alignment horizontal="center"/>
    </xf>
    <xf numFmtId="3" fontId="17" fillId="5" borderId="0" xfId="0" quotePrefix="1" applyNumberFormat="1" applyFont="1" applyFill="1" applyBorder="1" applyAlignment="1">
      <alignment horizontal="center" vertical="center"/>
    </xf>
    <xf numFmtId="3" fontId="15" fillId="5" borderId="0" xfId="0" applyNumberFormat="1" applyFont="1" applyFill="1" applyBorder="1" applyAlignment="1">
      <alignment horizontal="center" vertical="center"/>
    </xf>
    <xf numFmtId="166" fontId="15" fillId="5" borderId="0" xfId="0" applyNumberFormat="1" applyFont="1" applyFill="1" applyBorder="1" applyAlignment="1">
      <alignment horizontal="center" vertical="center"/>
    </xf>
    <xf numFmtId="167" fontId="15" fillId="5" borderId="0" xfId="0" applyNumberFormat="1" applyFont="1" applyFill="1" applyBorder="1" applyAlignment="1">
      <alignment horizontal="center" vertical="center"/>
    </xf>
    <xf numFmtId="166" fontId="15" fillId="5" borderId="0" xfId="1" applyNumberFormat="1" applyFont="1" applyFill="1" applyBorder="1" applyAlignment="1">
      <alignment horizontal="center" vertical="center"/>
    </xf>
    <xf numFmtId="167" fontId="15" fillId="5" borderId="0" xfId="4" applyNumberFormat="1" applyFont="1" applyFill="1" applyBorder="1" applyAlignment="1">
      <alignment horizontal="right" vertical="center"/>
    </xf>
    <xf numFmtId="167" fontId="15" fillId="3" borderId="0" xfId="4" applyNumberFormat="1" applyFont="1" applyFill="1" applyBorder="1" applyAlignment="1">
      <alignment horizontal="right" vertical="center"/>
    </xf>
    <xf numFmtId="169" fontId="15" fillId="5" borderId="0" xfId="1" applyNumberFormat="1" applyFont="1" applyFill="1" applyBorder="1" applyAlignment="1">
      <alignment horizontal="right" vertical="center"/>
    </xf>
    <xf numFmtId="169" fontId="15" fillId="5" borderId="0" xfId="4" applyNumberFormat="1" applyFont="1" applyFill="1" applyBorder="1" applyAlignment="1">
      <alignment horizontal="right" vertical="center"/>
    </xf>
    <xf numFmtId="165" fontId="15" fillId="3" borderId="0" xfId="0" applyNumberFormat="1" applyFont="1" applyFill="1" applyBorder="1" applyAlignment="1">
      <alignment horizontal="right" vertical="center"/>
    </xf>
    <xf numFmtId="165" fontId="15" fillId="5" borderId="0" xfId="1" applyNumberFormat="1" applyFont="1" applyFill="1" applyBorder="1" applyAlignment="1">
      <alignment horizontal="center" vertical="center"/>
    </xf>
    <xf numFmtId="165" fontId="15" fillId="5" borderId="0" xfId="0" applyNumberFormat="1" applyFont="1" applyFill="1" applyBorder="1" applyAlignment="1">
      <alignment horizontal="center" vertical="center"/>
    </xf>
    <xf numFmtId="165" fontId="15" fillId="3" borderId="0" xfId="0" applyNumberFormat="1" applyFont="1" applyFill="1" applyBorder="1" applyAlignment="1">
      <alignment horizontal="center" vertical="center"/>
    </xf>
    <xf numFmtId="165" fontId="17" fillId="3" borderId="0" xfId="0" applyNumberFormat="1" applyFont="1" applyFill="1" applyBorder="1" applyAlignment="1">
      <alignment horizontal="right" vertical="center"/>
    </xf>
    <xf numFmtId="165" fontId="17" fillId="5" borderId="0" xfId="0" applyNumberFormat="1" applyFont="1" applyFill="1" applyBorder="1" applyAlignment="1">
      <alignment horizontal="right" vertical="center"/>
    </xf>
    <xf numFmtId="165" fontId="17" fillId="3" borderId="0" xfId="0" applyNumberFormat="1" applyFont="1" applyFill="1" applyBorder="1" applyAlignment="1">
      <alignment horizontal="center" vertical="center"/>
    </xf>
    <xf numFmtId="165" fontId="17" fillId="5" borderId="0" xfId="0" applyNumberFormat="1" applyFont="1" applyFill="1" applyBorder="1" applyAlignment="1">
      <alignment horizontal="center" vertical="center"/>
    </xf>
    <xf numFmtId="165" fontId="15" fillId="5" borderId="0" xfId="1" applyNumberFormat="1" applyFont="1" applyFill="1" applyBorder="1" applyAlignment="1">
      <alignment horizontal="right"/>
    </xf>
    <xf numFmtId="165" fontId="17" fillId="5" borderId="0" xfId="0" applyNumberFormat="1" applyFont="1" applyFill="1" applyBorder="1"/>
    <xf numFmtId="165" fontId="15" fillId="3" borderId="0" xfId="0" applyNumberFormat="1" applyFont="1" applyFill="1" applyBorder="1"/>
    <xf numFmtId="165" fontId="17" fillId="3" borderId="0" xfId="0" applyNumberFormat="1" applyFont="1" applyFill="1" applyBorder="1"/>
    <xf numFmtId="0" fontId="30" fillId="0" borderId="0" xfId="12"/>
    <xf numFmtId="0" fontId="15" fillId="0" borderId="6" xfId="12" applyFont="1" applyBorder="1" applyAlignment="1">
      <alignment horizontal="center"/>
    </xf>
    <xf numFmtId="0" fontId="19" fillId="0" borderId="0" xfId="0" applyFont="1"/>
    <xf numFmtId="0" fontId="19" fillId="0" borderId="1" xfId="0" applyFont="1" applyBorder="1"/>
    <xf numFmtId="0" fontId="19" fillId="0" borderId="0" xfId="0" applyFont="1" applyAlignment="1">
      <alignment horizontal="center"/>
    </xf>
    <xf numFmtId="0" fontId="19" fillId="0" borderId="1" xfId="0" applyFont="1" applyBorder="1" applyAlignment="1">
      <alignment horizontal="center"/>
    </xf>
    <xf numFmtId="0" fontId="19" fillId="0" borderId="1" xfId="0" applyFont="1" applyBorder="1" applyAlignment="1">
      <alignment horizontal="center" wrapText="1"/>
    </xf>
    <xf numFmtId="3" fontId="28" fillId="0" borderId="0" xfId="1" applyNumberFormat="1" applyFont="1" applyAlignment="1">
      <alignment horizontal="center"/>
    </xf>
    <xf numFmtId="3" fontId="19" fillId="0" borderId="0" xfId="0" applyNumberFormat="1" applyFont="1" applyAlignment="1">
      <alignment horizontal="center"/>
    </xf>
    <xf numFmtId="3" fontId="28" fillId="0" borderId="0" xfId="0" applyNumberFormat="1" applyFont="1" applyAlignment="1">
      <alignment horizontal="center"/>
    </xf>
    <xf numFmtId="3" fontId="28" fillId="0" borderId="1" xfId="1" applyNumberFormat="1" applyFont="1" applyBorder="1" applyAlignment="1">
      <alignment horizontal="center"/>
    </xf>
    <xf numFmtId="3" fontId="28" fillId="0" borderId="1" xfId="0" applyNumberFormat="1" applyFont="1" applyBorder="1" applyAlignment="1">
      <alignment horizontal="center"/>
    </xf>
    <xf numFmtId="0" fontId="28" fillId="0" borderId="0" xfId="0" applyFont="1" applyAlignment="1">
      <alignment horizontal="center"/>
    </xf>
    <xf numFmtId="167" fontId="19" fillId="0" borderId="0" xfId="0" applyNumberFormat="1" applyFont="1" applyAlignment="1">
      <alignment horizontal="center"/>
    </xf>
    <xf numFmtId="164" fontId="28" fillId="0" borderId="0" xfId="0" applyNumberFormat="1" applyFont="1" applyAlignment="1">
      <alignment horizontal="center"/>
    </xf>
    <xf numFmtId="164" fontId="28" fillId="0" borderId="1" xfId="0" applyNumberFormat="1" applyFont="1" applyBorder="1" applyAlignment="1">
      <alignment horizontal="center"/>
    </xf>
    <xf numFmtId="0" fontId="19" fillId="0" borderId="0" xfId="0" applyFont="1" applyBorder="1"/>
    <xf numFmtId="167" fontId="19" fillId="0" borderId="0" xfId="0" applyNumberFormat="1" applyFont="1" applyBorder="1" applyAlignment="1">
      <alignment horizontal="center"/>
    </xf>
    <xf numFmtId="164" fontId="19" fillId="0" borderId="0" xfId="0" applyNumberFormat="1" applyFont="1" applyAlignment="1">
      <alignment horizontal="center"/>
    </xf>
    <xf numFmtId="3" fontId="19" fillId="0" borderId="0" xfId="0" applyNumberFormat="1" applyFont="1" applyBorder="1" applyAlignment="1">
      <alignment horizontal="center"/>
    </xf>
    <xf numFmtId="167" fontId="28" fillId="0" borderId="0" xfId="0" applyNumberFormat="1" applyFont="1" applyBorder="1" applyAlignment="1">
      <alignment horizontal="center"/>
    </xf>
    <xf numFmtId="3" fontId="28" fillId="0" borderId="0" xfId="0" applyNumberFormat="1" applyFont="1" applyBorder="1" applyAlignment="1">
      <alignment horizontal="center"/>
    </xf>
    <xf numFmtId="167" fontId="28" fillId="0" borderId="1" xfId="0" applyNumberFormat="1" applyFont="1" applyBorder="1" applyAlignment="1">
      <alignment horizontal="center"/>
    </xf>
    <xf numFmtId="0" fontId="28" fillId="0" borderId="1" xfId="0" applyFont="1" applyBorder="1" applyAlignment="1">
      <alignment horizontal="center"/>
    </xf>
    <xf numFmtId="169" fontId="28" fillId="0" borderId="0" xfId="1" applyNumberFormat="1" applyFont="1" applyBorder="1" applyAlignment="1">
      <alignment horizontal="center"/>
    </xf>
    <xf numFmtId="169" fontId="28" fillId="0" borderId="0" xfId="1" applyNumberFormat="1" applyFont="1" applyAlignment="1">
      <alignment horizontal="center"/>
    </xf>
    <xf numFmtId="3" fontId="28" fillId="0" borderId="0" xfId="1" applyNumberFormat="1" applyFont="1" applyBorder="1" applyAlignment="1">
      <alignment horizontal="center"/>
    </xf>
    <xf numFmtId="169" fontId="28" fillId="0" borderId="1" xfId="1" applyNumberFormat="1" applyFont="1" applyBorder="1" applyAlignment="1">
      <alignment horizontal="center"/>
    </xf>
    <xf numFmtId="164" fontId="28" fillId="0" borderId="0" xfId="1" applyNumberFormat="1" applyFont="1" applyAlignment="1">
      <alignment horizontal="center"/>
    </xf>
    <xf numFmtId="164" fontId="19" fillId="0" borderId="0" xfId="0" applyNumberFormat="1" applyFont="1" applyBorder="1" applyAlignment="1">
      <alignment horizontal="center"/>
    </xf>
    <xf numFmtId="164" fontId="28" fillId="0" borderId="1" xfId="1" applyNumberFormat="1" applyFont="1" applyBorder="1" applyAlignment="1">
      <alignment horizontal="center"/>
    </xf>
    <xf numFmtId="0" fontId="28" fillId="0" borderId="0" xfId="0" applyFont="1"/>
    <xf numFmtId="164" fontId="28" fillId="0" borderId="0" xfId="0" applyNumberFormat="1" applyFont="1" applyBorder="1" applyAlignment="1">
      <alignment horizontal="center"/>
    </xf>
    <xf numFmtId="167" fontId="28" fillId="0" borderId="0" xfId="1" applyNumberFormat="1" applyFont="1" applyAlignment="1">
      <alignment horizontal="center"/>
    </xf>
    <xf numFmtId="3" fontId="19" fillId="0" borderId="1" xfId="0" applyNumberFormat="1" applyFont="1" applyBorder="1" applyAlignment="1">
      <alignment horizontal="center"/>
    </xf>
    <xf numFmtId="167" fontId="28" fillId="0" borderId="1" xfId="1" applyNumberFormat="1" applyFont="1" applyBorder="1" applyAlignment="1">
      <alignment horizontal="center"/>
    </xf>
    <xf numFmtId="167" fontId="28" fillId="0" borderId="0" xfId="0" applyNumberFormat="1" applyFont="1" applyAlignment="1">
      <alignment horizontal="center"/>
    </xf>
    <xf numFmtId="0" fontId="19" fillId="0" borderId="1" xfId="0" applyFont="1" applyFill="1" applyBorder="1" applyAlignment="1">
      <alignment horizontal="center"/>
    </xf>
    <xf numFmtId="167" fontId="19" fillId="0" borderId="0" xfId="0" applyNumberFormat="1" applyFont="1" applyFill="1" applyBorder="1" applyAlignment="1">
      <alignment horizontal="center"/>
    </xf>
    <xf numFmtId="164" fontId="28" fillId="0" borderId="0" xfId="0" applyNumberFormat="1" applyFont="1" applyFill="1" applyBorder="1" applyAlignment="1">
      <alignment horizontal="center"/>
    </xf>
    <xf numFmtId="164" fontId="28" fillId="0" borderId="0" xfId="0" applyNumberFormat="1" applyFont="1" applyFill="1" applyAlignment="1">
      <alignment horizontal="center"/>
    </xf>
    <xf numFmtId="164" fontId="28" fillId="0" borderId="1" xfId="0" applyNumberFormat="1" applyFont="1" applyFill="1" applyBorder="1" applyAlignment="1">
      <alignment horizontal="center"/>
    </xf>
    <xf numFmtId="0" fontId="31" fillId="0" borderId="0" xfId="0" applyFont="1" applyBorder="1" applyAlignment="1"/>
    <xf numFmtId="0" fontId="19" fillId="5" borderId="2" xfId="0" applyFont="1" applyFill="1" applyBorder="1" applyAlignment="1">
      <alignment horizontal="right" vertical="center"/>
    </xf>
    <xf numFmtId="0" fontId="31" fillId="0" borderId="0" xfId="0" applyFont="1" applyBorder="1" applyAlignment="1">
      <alignment wrapText="1"/>
    </xf>
    <xf numFmtId="0" fontId="28" fillId="0" borderId="0" xfId="0" applyFont="1" applyBorder="1" applyAlignment="1">
      <alignment horizontal="center"/>
    </xf>
    <xf numFmtId="0" fontId="19" fillId="0" borderId="2" xfId="0" applyFont="1" applyBorder="1" applyAlignment="1">
      <alignment horizontal="center"/>
    </xf>
    <xf numFmtId="0" fontId="19" fillId="0" borderId="2" xfId="0" applyFont="1" applyBorder="1" applyAlignment="1">
      <alignment horizontal="center" wrapText="1"/>
    </xf>
    <xf numFmtId="0" fontId="19" fillId="5" borderId="2" xfId="0" applyFont="1" applyFill="1" applyBorder="1" applyAlignment="1">
      <alignment horizontal="right"/>
    </xf>
    <xf numFmtId="166" fontId="28" fillId="0" borderId="0" xfId="1" applyNumberFormat="1" applyFont="1" applyAlignment="1">
      <alignment horizontal="center"/>
    </xf>
    <xf numFmtId="166" fontId="28" fillId="0" borderId="0" xfId="0" applyNumberFormat="1" applyFont="1" applyAlignment="1">
      <alignment horizontal="center"/>
    </xf>
    <xf numFmtId="167" fontId="28" fillId="0" borderId="3" xfId="0" applyNumberFormat="1" applyFont="1" applyBorder="1" applyAlignment="1">
      <alignment horizontal="center"/>
    </xf>
    <xf numFmtId="167" fontId="19" fillId="0" borderId="1" xfId="0" applyNumberFormat="1" applyFont="1" applyBorder="1" applyAlignment="1">
      <alignment horizontal="center"/>
    </xf>
    <xf numFmtId="165" fontId="19" fillId="0" borderId="0" xfId="0" applyNumberFormat="1" applyFont="1" applyAlignment="1">
      <alignment horizontal="center"/>
    </xf>
    <xf numFmtId="0" fontId="33" fillId="0" borderId="0" xfId="6" applyFont="1" applyAlignment="1" applyProtection="1"/>
    <xf numFmtId="0" fontId="15" fillId="0" borderId="0" xfId="0" applyFont="1" applyBorder="1" applyAlignment="1">
      <alignment vertical="center"/>
    </xf>
    <xf numFmtId="0" fontId="15" fillId="4" borderId="0" xfId="0" applyFont="1" applyFill="1" applyBorder="1" applyAlignment="1">
      <alignment horizontal="left"/>
    </xf>
    <xf numFmtId="0" fontId="15" fillId="6" borderId="0" xfId="0" applyFont="1" applyFill="1" applyBorder="1" applyAlignment="1">
      <alignment horizontal="center" vertical="center"/>
    </xf>
    <xf numFmtId="0" fontId="15" fillId="5" borderId="0" xfId="0" applyFont="1" applyFill="1" applyBorder="1" applyAlignment="1">
      <alignment horizontal="center" vertical="center"/>
    </xf>
    <xf numFmtId="0" fontId="15" fillId="5" borderId="0"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5" borderId="0" xfId="0" applyFont="1" applyFill="1" applyBorder="1" applyAlignment="1">
      <alignment horizontal="center"/>
    </xf>
    <xf numFmtId="0" fontId="15" fillId="3" borderId="0" xfId="0" applyFont="1" applyFill="1" applyBorder="1" applyAlignment="1">
      <alignment horizontal="center" vertical="center"/>
    </xf>
    <xf numFmtId="0" fontId="2" fillId="0" borderId="0" xfId="6" applyAlignment="1" applyProtection="1">
      <alignment horizontal="center"/>
    </xf>
    <xf numFmtId="0" fontId="2" fillId="0" borderId="0" xfId="6" applyFont="1" applyAlignment="1" applyProtection="1">
      <alignment horizontal="center"/>
    </xf>
    <xf numFmtId="0" fontId="13" fillId="0" borderId="0" xfId="0" applyFont="1" applyAlignment="1">
      <alignment horizontal="left" vertical="top" wrapText="1"/>
    </xf>
    <xf numFmtId="0" fontId="7" fillId="0" borderId="0" xfId="0" applyFont="1" applyAlignment="1">
      <alignment horizontal="left" vertical="top" wrapText="1"/>
    </xf>
    <xf numFmtId="49" fontId="8" fillId="0" borderId="0" xfId="0" applyNumberFormat="1" applyFont="1" applyAlignment="1">
      <alignment horizontal="center"/>
    </xf>
    <xf numFmtId="0" fontId="8" fillId="0" borderId="0" xfId="0" applyFont="1" applyAlignment="1">
      <alignment horizontal="center"/>
    </xf>
    <xf numFmtId="0" fontId="10" fillId="0" borderId="0" xfId="0" applyFont="1" applyBorder="1" applyAlignment="1">
      <alignment vertical="top" wrapText="1"/>
    </xf>
    <xf numFmtId="0" fontId="31" fillId="0" borderId="0" xfId="0" applyFont="1" applyBorder="1" applyAlignment="1">
      <alignment horizontal="center" wrapText="1"/>
    </xf>
    <xf numFmtId="0" fontId="31" fillId="0" borderId="0" xfId="0" applyFont="1" applyBorder="1" applyAlignment="1">
      <alignment horizontal="center"/>
    </xf>
    <xf numFmtId="0" fontId="31" fillId="0" borderId="1" xfId="0" applyFont="1" applyBorder="1" applyAlignment="1">
      <alignment horizontal="center"/>
    </xf>
    <xf numFmtId="0" fontId="31" fillId="0" borderId="1" xfId="0" applyFont="1" applyBorder="1" applyAlignment="1">
      <alignment horizontal="center" wrapText="1"/>
    </xf>
    <xf numFmtId="0" fontId="31" fillId="4" borderId="0" xfId="0" applyFont="1" applyFill="1" applyAlignment="1">
      <alignment horizontal="center"/>
    </xf>
    <xf numFmtId="0" fontId="31" fillId="4" borderId="0" xfId="0" applyFont="1" applyFill="1" applyBorder="1" applyAlignment="1">
      <alignment horizontal="center"/>
    </xf>
    <xf numFmtId="0" fontId="21" fillId="0" borderId="0" xfId="0" applyFont="1" applyBorder="1" applyAlignment="1">
      <alignment horizontal="left" vertical="center" wrapText="1"/>
    </xf>
    <xf numFmtId="0" fontId="20" fillId="0" borderId="0" xfId="0" applyFont="1" applyBorder="1" applyAlignment="1">
      <alignment horizontal="left" vertical="center" wrapText="1"/>
    </xf>
    <xf numFmtId="0" fontId="20" fillId="0" borderId="1" xfId="0" applyFont="1" applyBorder="1" applyAlignment="1">
      <alignment horizontal="left" vertical="center" wrapText="1"/>
    </xf>
    <xf numFmtId="0" fontId="18" fillId="2" borderId="4" xfId="0" applyFont="1" applyFill="1" applyBorder="1" applyAlignment="1">
      <alignment horizontal="left"/>
    </xf>
    <xf numFmtId="0" fontId="0" fillId="0" borderId="2" xfId="0" applyBorder="1" applyAlignment="1">
      <alignment horizontal="left"/>
    </xf>
    <xf numFmtId="0" fontId="0" fillId="0" borderId="5" xfId="0" applyBorder="1" applyAlignment="1">
      <alignment horizontal="left"/>
    </xf>
    <xf numFmtId="0" fontId="18" fillId="2" borderId="2" xfId="0" applyFont="1" applyFill="1" applyBorder="1" applyAlignment="1">
      <alignment horizontal="left"/>
    </xf>
    <xf numFmtId="0" fontId="18" fillId="2" borderId="5" xfId="0" applyFont="1" applyFill="1" applyBorder="1" applyAlignment="1">
      <alignment horizontal="left"/>
    </xf>
  </cellXfs>
  <cellStyles count="21">
    <cellStyle name="Comma" xfId="1" builtinId="3"/>
    <cellStyle name="Comma 2" xfId="2"/>
    <cellStyle name="Comma 2 2" xfId="15"/>
    <cellStyle name="Comma 3" xfId="3"/>
    <cellStyle name="Comma 3 2" xfId="16"/>
    <cellStyle name="Comma 4" xfId="14"/>
    <cellStyle name="Currency" xfId="4" builtinId="4"/>
    <cellStyle name="Currency 2" xfId="5"/>
    <cellStyle name="Currency 2 2" xfId="18"/>
    <cellStyle name="Currency 3" xfId="17"/>
    <cellStyle name="Hyperlink" xfId="6" builtinId="8"/>
    <cellStyle name="Hyperlink 2" xfId="7"/>
    <cellStyle name="Hyperlink 3" xfId="19"/>
    <cellStyle name="Normal" xfId="0" builtinId="0"/>
    <cellStyle name="Normal 2" xfId="8"/>
    <cellStyle name="Normal 2 2" xfId="20"/>
    <cellStyle name="Normal 3" xfId="9"/>
    <cellStyle name="Normal 4" xfId="13"/>
    <cellStyle name="Normal 5" xfId="12"/>
    <cellStyle name="Normal_ademog07" xfId="10"/>
    <cellStyle name="Normal_MedAsst"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wmf"/></Relationships>
</file>

<file path=xl/drawings/drawing1.xml><?xml version="1.0" encoding="utf-8"?>
<xdr:wsDr xmlns:xdr="http://schemas.openxmlformats.org/drawingml/2006/spreadsheetDrawing" xmlns:a="http://schemas.openxmlformats.org/drawingml/2006/main">
  <xdr:twoCellAnchor editAs="oneCell">
    <xdr:from>
      <xdr:col>73</xdr:col>
      <xdr:colOff>352425</xdr:colOff>
      <xdr:row>118</xdr:row>
      <xdr:rowOff>28575</xdr:rowOff>
    </xdr:from>
    <xdr:to>
      <xdr:col>77</xdr:col>
      <xdr:colOff>916080</xdr:colOff>
      <xdr:row>160</xdr:row>
      <xdr:rowOff>47625</xdr:rowOff>
    </xdr:to>
    <xdr:sp macro="" textlink="">
      <xdr:nvSpPr>
        <xdr:cNvPr id="1025" name="Text Box 1"/>
        <xdr:cNvSpPr txBox="1">
          <a:spLocks noChangeArrowheads="1"/>
        </xdr:cNvSpPr>
      </xdr:nvSpPr>
      <xdr:spPr bwMode="auto">
        <a:xfrm>
          <a:off x="42672000" y="21145500"/>
          <a:ext cx="4400550" cy="68199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a:cs typeface="Times New Roman"/>
            </a:rPr>
            <a:t>#6  K12 Enrollment:</a:t>
          </a:r>
        </a:p>
        <a:p>
          <a:pPr algn="l" rtl="0">
            <a:defRPr sz="1000"/>
          </a:pPr>
          <a:r>
            <a:rPr lang="en-US" sz="1000" b="0" i="0" u="none" strike="noStrike" baseline="0">
              <a:solidFill>
                <a:srgbClr val="000000"/>
              </a:solidFill>
              <a:latin typeface="Times New Roman"/>
              <a:cs typeface="Times New Roman"/>
            </a:rPr>
            <a:t>Included in these counts are students who were enrolled over October 1 of the school year. Only grade Kindergarten through grade 12 are included in the counts. </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Excluded from the counts are shared-time students, adult students, and students attending in other states or nonpublic schools for care and treatment purposes. (In the MARSS reporting system, these are students with State Aid Categories of 14, 16, 17, 18, 24, 25, 28, 98). Dual enrolled students are counted only once, usually at the regular school of enrollment.</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#11 PK12 Enrollment:</a:t>
          </a:r>
        </a:p>
        <a:p>
          <a:pPr algn="l" rtl="0">
            <a:defRPr sz="1000"/>
          </a:pPr>
          <a:r>
            <a:rPr lang="en-US" sz="1000" b="0" i="0" u="none" strike="noStrike" baseline="0">
              <a:solidFill>
                <a:srgbClr val="000000"/>
              </a:solidFill>
              <a:latin typeface="Times New Roman"/>
              <a:cs typeface="Times New Roman"/>
            </a:rPr>
            <a:t>Included in these counts are students who were enrolled over October 1 of the school year. Grade Pre-kindergarten through grade 12 are included in the counts.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Excluded from the counts are shared-time students, adult students, and students attending in other states or nonpublic schools for care and treatment purposes. (In the MARSS reporting system, these are students with State Aid Categories of 14, 16, 17, 18, 24, 25,</a:t>
          </a:r>
        </a:p>
        <a:p>
          <a:pPr algn="l" rtl="0">
            <a:defRPr sz="1000"/>
          </a:pPr>
          <a:r>
            <a:rPr lang="en-US" sz="1000" b="0" i="0" u="none" strike="noStrike" baseline="0">
              <a:solidFill>
                <a:srgbClr val="000000"/>
              </a:solidFill>
              <a:latin typeface="Times New Roman"/>
              <a:cs typeface="Times New Roman"/>
            </a:rPr>
            <a:t> 28, 98). Dual enrolled students are counted only once, usually at the regular school of enrollment.</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#12 PK12 Free Meal Eligible</a:t>
          </a:r>
        </a:p>
        <a:p>
          <a:pPr algn="l" rtl="0">
            <a:defRPr sz="1000"/>
          </a:pPr>
          <a:r>
            <a:rPr lang="en-US" sz="1000" b="0" i="0" u="none" strike="noStrike" baseline="0">
              <a:solidFill>
                <a:srgbClr val="000000"/>
              </a:solidFill>
              <a:latin typeface="Times New Roman"/>
              <a:cs typeface="Times New Roman"/>
            </a:rPr>
            <a:t>The number of Grade PK12 students eligible to participate in the Free Lunch Program enrolled over October 1 of the school year.</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#13 PK12 Reduced Priced Meal Eligible</a:t>
          </a:r>
        </a:p>
        <a:p>
          <a:pPr algn="l" rtl="0">
            <a:defRPr sz="1000"/>
          </a:pPr>
          <a:r>
            <a:rPr lang="en-US" sz="1000" b="0" i="0" u="none" strike="noStrike" baseline="0">
              <a:solidFill>
                <a:srgbClr val="000000"/>
              </a:solidFill>
              <a:latin typeface="Times New Roman"/>
              <a:cs typeface="Times New Roman"/>
            </a:rPr>
            <a:t>The number of Grade PK12 students eligible to participate in the Reduced Priced Lunch Program enrolled over October 1 of the school year.</a:t>
          </a:r>
        </a:p>
        <a:p>
          <a:pPr algn="l" rtl="0">
            <a:defRPr sz="1000"/>
          </a:pPr>
          <a:r>
            <a:rPr lang="en-US" sz="1000" b="0" i="0" u="none" strike="noStrike" baseline="0">
              <a:solidFill>
                <a:srgbClr val="000000"/>
              </a:solidFill>
              <a:latin typeface="Times New Roman"/>
              <a:cs typeface="Times New Roman"/>
            </a:rPr>
            <a:t> </a:t>
          </a:r>
        </a:p>
        <a:p>
          <a:pPr algn="l" rtl="0">
            <a:defRPr sz="1000"/>
          </a:pPr>
          <a:r>
            <a:rPr lang="en-US" sz="1000" b="0" i="0" u="none" strike="noStrike" baseline="0">
              <a:solidFill>
                <a:srgbClr val="000000"/>
              </a:solidFill>
              <a:latin typeface="Times New Roman"/>
              <a:cs typeface="Times New Roman"/>
            </a:rPr>
            <a:t>#14 PK12 Limited English Proficient</a:t>
          </a:r>
        </a:p>
        <a:p>
          <a:pPr algn="l" rtl="0">
            <a:defRPr sz="1000"/>
          </a:pPr>
          <a:r>
            <a:rPr lang="en-US" sz="1000" b="0" i="0" u="none" strike="noStrike" baseline="0">
              <a:solidFill>
                <a:srgbClr val="000000"/>
              </a:solidFill>
              <a:latin typeface="Times New Roman"/>
              <a:cs typeface="Times New Roman"/>
            </a:rPr>
            <a:t>The number of Grade PK12 students participating in a Limited English Proficient program enrolled over October 1 of the school year.</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#15 PK12 Special Education</a:t>
          </a:r>
        </a:p>
        <a:p>
          <a:pPr algn="l" rtl="0">
            <a:defRPr sz="1000"/>
          </a:pPr>
          <a:r>
            <a:rPr lang="en-US" sz="1000" b="0" i="0" u="none" strike="noStrike" baseline="0">
              <a:solidFill>
                <a:srgbClr val="000000"/>
              </a:solidFill>
              <a:latin typeface="Times New Roman"/>
              <a:cs typeface="Times New Roman"/>
            </a:rPr>
            <a:t>The number of Grade PK12 students participating in a Special Education program enrolled over October 1 of the school year.</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oneCellAnchor>
    <xdr:from>
      <xdr:col>0</xdr:col>
      <xdr:colOff>1</xdr:colOff>
      <xdr:row>4</xdr:row>
      <xdr:rowOff>89647</xdr:rowOff>
    </xdr:from>
    <xdr:ext cx="1333500" cy="953466"/>
    <xdr:sp macro="" textlink="">
      <xdr:nvSpPr>
        <xdr:cNvPr id="2" name="TextBox 1"/>
        <xdr:cNvSpPr txBox="1"/>
      </xdr:nvSpPr>
      <xdr:spPr>
        <a:xfrm>
          <a:off x="1" y="974912"/>
          <a:ext cx="1333500" cy="95346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There are extra cells for new data located on cell R324 in Trends worksheet.</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171450</xdr:colOff>
      <xdr:row>41</xdr:row>
      <xdr:rowOff>0</xdr:rowOff>
    </xdr:from>
    <xdr:to>
      <xdr:col>5</xdr:col>
      <xdr:colOff>247650</xdr:colOff>
      <xdr:row>42</xdr:row>
      <xdr:rowOff>38099</xdr:rowOff>
    </xdr:to>
    <xdr:sp macro="" textlink="">
      <xdr:nvSpPr>
        <xdr:cNvPr id="3" name="Text Box 20"/>
        <xdr:cNvSpPr txBox="1">
          <a:spLocks noChangeArrowheads="1"/>
        </xdr:cNvSpPr>
      </xdr:nvSpPr>
      <xdr:spPr bwMode="auto">
        <a:xfrm>
          <a:off x="2838450" y="8353425"/>
          <a:ext cx="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38099</xdr:colOff>
      <xdr:row>2</xdr:row>
      <xdr:rowOff>142874</xdr:rowOff>
    </xdr:from>
    <xdr:to>
      <xdr:col>11</xdr:col>
      <xdr:colOff>324970</xdr:colOff>
      <xdr:row>11</xdr:row>
      <xdr:rowOff>123824</xdr:rowOff>
    </xdr:to>
    <xdr:sp macro="" textlink="">
      <xdr:nvSpPr>
        <xdr:cNvPr id="6" name="Text Box 37"/>
        <xdr:cNvSpPr txBox="1">
          <a:spLocks noChangeArrowheads="1"/>
        </xdr:cNvSpPr>
      </xdr:nvSpPr>
      <xdr:spPr bwMode="auto">
        <a:xfrm>
          <a:off x="38099" y="542924"/>
          <a:ext cx="6154271" cy="19335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54864" bIns="0" anchor="t" upright="1"/>
        <a:lstStyle/>
        <a:p>
          <a:pPr algn="r" rtl="0">
            <a:defRPr sz="1000"/>
          </a:pPr>
          <a:r>
            <a:rPr lang="en-US" sz="2200" b="0" i="0" u="none" strike="noStrike" baseline="0">
              <a:solidFill>
                <a:srgbClr val="000000"/>
              </a:solidFill>
              <a:latin typeface="Eras Demi ITC"/>
            </a:rPr>
            <a:t>Minnesota </a:t>
          </a:r>
        </a:p>
        <a:p>
          <a:pPr algn="r" rtl="0">
            <a:defRPr sz="1000"/>
          </a:pPr>
          <a:r>
            <a:rPr lang="en-US" sz="2200" b="0" i="0" u="none" strike="noStrike" baseline="0">
              <a:solidFill>
                <a:srgbClr val="000000"/>
              </a:solidFill>
              <a:latin typeface="Eras Demi ITC"/>
            </a:rPr>
            <a:t>State, County, and Community Health Board </a:t>
          </a:r>
        </a:p>
        <a:p>
          <a:pPr algn="r" rtl="0">
            <a:defRPr sz="1000"/>
          </a:pPr>
          <a:r>
            <a:rPr lang="en-US" sz="2200" b="0" i="0" u="none" strike="noStrike" baseline="0">
              <a:solidFill>
                <a:srgbClr val="000000"/>
              </a:solidFill>
              <a:latin typeface="Eras Demi ITC"/>
              <a:ea typeface="+mn-ea"/>
              <a:cs typeface="+mn-cs"/>
            </a:rPr>
            <a:t>Vital Statistics </a:t>
          </a:r>
          <a:r>
            <a:rPr lang="en-US" sz="2200" b="0" i="0" u="none" strike="noStrike" baseline="0">
              <a:solidFill>
                <a:srgbClr val="000000"/>
              </a:solidFill>
              <a:latin typeface="Eras Demi ITC"/>
            </a:rPr>
            <a:t>Trend Report 1992-2011</a:t>
          </a:r>
        </a:p>
      </xdr:txBody>
    </xdr:sp>
    <xdr:clientData/>
  </xdr:twoCellAnchor>
  <xdr:twoCellAnchor>
    <xdr:from>
      <xdr:col>6</xdr:col>
      <xdr:colOff>95250</xdr:colOff>
      <xdr:row>118</xdr:row>
      <xdr:rowOff>85725</xdr:rowOff>
    </xdr:from>
    <xdr:to>
      <xdr:col>7</xdr:col>
      <xdr:colOff>0</xdr:colOff>
      <xdr:row>118</xdr:row>
      <xdr:rowOff>85725</xdr:rowOff>
    </xdr:to>
    <xdr:sp macro="" textlink="">
      <xdr:nvSpPr>
        <xdr:cNvPr id="7" name="Line 55"/>
        <xdr:cNvSpPr>
          <a:spLocks noChangeShapeType="1"/>
        </xdr:cNvSpPr>
      </xdr:nvSpPr>
      <xdr:spPr bwMode="auto">
        <a:xfrm>
          <a:off x="3295650" y="78943200"/>
          <a:ext cx="438150" cy="0"/>
        </a:xfrm>
        <a:prstGeom prst="line">
          <a:avLst/>
        </a:prstGeom>
        <a:noFill/>
        <a:ln w="5715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19</xdr:col>
      <xdr:colOff>95250</xdr:colOff>
      <xdr:row>80</xdr:row>
      <xdr:rowOff>85725</xdr:rowOff>
    </xdr:from>
    <xdr:to>
      <xdr:col>20</xdr:col>
      <xdr:colOff>0</xdr:colOff>
      <xdr:row>80</xdr:row>
      <xdr:rowOff>85725</xdr:rowOff>
    </xdr:to>
    <xdr:sp macro="" textlink="">
      <xdr:nvSpPr>
        <xdr:cNvPr id="8" name="Line 56"/>
        <xdr:cNvSpPr>
          <a:spLocks noChangeShapeType="1"/>
        </xdr:cNvSpPr>
      </xdr:nvSpPr>
      <xdr:spPr bwMode="auto">
        <a:xfrm>
          <a:off x="10229850" y="72790050"/>
          <a:ext cx="438150" cy="0"/>
        </a:xfrm>
        <a:prstGeom prst="line">
          <a:avLst/>
        </a:prstGeom>
        <a:noFill/>
        <a:ln w="5715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304800</xdr:colOff>
      <xdr:row>20</xdr:row>
      <xdr:rowOff>800100</xdr:rowOff>
    </xdr:from>
    <xdr:to>
      <xdr:col>5</xdr:col>
      <xdr:colOff>76200</xdr:colOff>
      <xdr:row>20</xdr:row>
      <xdr:rowOff>2171700</xdr:rowOff>
    </xdr:to>
    <xdr:sp macro="" textlink="">
      <xdr:nvSpPr>
        <xdr:cNvPr id="5126" name="Text Box 6"/>
        <xdr:cNvSpPr txBox="1">
          <a:spLocks noChangeArrowheads="1"/>
        </xdr:cNvSpPr>
      </xdr:nvSpPr>
      <xdr:spPr bwMode="auto">
        <a:xfrm>
          <a:off x="1371600" y="19602450"/>
          <a:ext cx="1371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200" b="0" i="0" u="none" strike="noStrike" baseline="0">
              <a:solidFill>
                <a:srgbClr val="000000"/>
              </a:solidFill>
              <a:latin typeface="Tahoma"/>
              <a:cs typeface="Tahoma"/>
            </a:rPr>
            <a:t> </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I</a:t>
          </a:r>
          <a:r>
            <a:rPr lang="en-US" sz="900" b="0" i="0" u="none" strike="noStrike" baseline="0">
              <a:solidFill>
                <a:srgbClr val="000000"/>
              </a:solidFill>
              <a:latin typeface="Tahoma"/>
              <a:cs typeface="Tahoma"/>
            </a:rPr>
            <a:t>nsert…</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D</a:t>
          </a:r>
          <a:r>
            <a:rPr lang="en-US" sz="900" b="0" i="0" u="none" strike="noStrike" baseline="0">
              <a:solidFill>
                <a:srgbClr val="000000"/>
              </a:solidFill>
              <a:latin typeface="Tahoma"/>
              <a:cs typeface="Tahoma"/>
            </a:rPr>
            <a:t>elete</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R</a:t>
          </a:r>
          <a:r>
            <a:rPr lang="en-US" sz="900" b="0" i="0" u="none" strike="noStrike" baseline="0">
              <a:solidFill>
                <a:srgbClr val="000000"/>
              </a:solidFill>
              <a:latin typeface="Tahoma"/>
              <a:cs typeface="Tahoma"/>
            </a:rPr>
            <a:t>ename</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M</a:t>
          </a:r>
          <a:r>
            <a:rPr lang="en-US" sz="900" b="0" i="0" u="none" strike="noStrike" baseline="0">
              <a:solidFill>
                <a:srgbClr val="000000"/>
              </a:solidFill>
              <a:latin typeface="Tahoma"/>
              <a:cs typeface="Tahoma"/>
            </a:rPr>
            <a:t>ove or Copy…</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S</a:t>
          </a:r>
          <a:r>
            <a:rPr lang="en-US" sz="900" b="0" i="0" u="none" strike="noStrike" baseline="0">
              <a:solidFill>
                <a:srgbClr val="000000"/>
              </a:solidFill>
              <a:latin typeface="Tahoma"/>
              <a:cs typeface="Tahoma"/>
            </a:rPr>
            <a:t>elect All Sheets</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T</a:t>
          </a:r>
          <a:r>
            <a:rPr lang="en-US" sz="900" b="0" i="0" u="none" strike="noStrike" baseline="0">
              <a:solidFill>
                <a:srgbClr val="000000"/>
              </a:solidFill>
              <a:latin typeface="Tahoma"/>
              <a:cs typeface="Tahoma"/>
            </a:rPr>
            <a:t>ab Color …</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V</a:t>
          </a:r>
          <a:r>
            <a:rPr lang="en-US" sz="900" b="0" i="0" u="none" strike="noStrike" baseline="0">
              <a:solidFill>
                <a:srgbClr val="000000"/>
              </a:solidFill>
              <a:latin typeface="Tahoma"/>
              <a:cs typeface="Tahoma"/>
            </a:rPr>
            <a:t>iew Code</a:t>
          </a: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 </a:t>
          </a:r>
        </a:p>
      </xdr:txBody>
    </xdr:sp>
    <xdr:clientData/>
  </xdr:twoCellAnchor>
  <xdr:twoCellAnchor editAs="oneCell">
    <xdr:from>
      <xdr:col>5</xdr:col>
      <xdr:colOff>171450</xdr:colOff>
      <xdr:row>5</xdr:row>
      <xdr:rowOff>0</xdr:rowOff>
    </xdr:from>
    <xdr:to>
      <xdr:col>5</xdr:col>
      <xdr:colOff>247650</xdr:colOff>
      <xdr:row>6</xdr:row>
      <xdr:rowOff>38099</xdr:rowOff>
    </xdr:to>
    <xdr:sp macro="" textlink="">
      <xdr:nvSpPr>
        <xdr:cNvPr id="80338" name="Text Box 20"/>
        <xdr:cNvSpPr txBox="1">
          <a:spLocks noChangeArrowheads="1"/>
        </xdr:cNvSpPr>
      </xdr:nvSpPr>
      <xdr:spPr bwMode="auto">
        <a:xfrm>
          <a:off x="2838450" y="94202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8</xdr:row>
      <xdr:rowOff>57151</xdr:rowOff>
    </xdr:from>
    <xdr:to>
      <xdr:col>9</xdr:col>
      <xdr:colOff>476250</xdr:colOff>
      <xdr:row>11</xdr:row>
      <xdr:rowOff>133349</xdr:rowOff>
    </xdr:to>
    <xdr:sp macro="" textlink="">
      <xdr:nvSpPr>
        <xdr:cNvPr id="5141" name="Text Box 21"/>
        <xdr:cNvSpPr txBox="1">
          <a:spLocks noChangeArrowheads="1"/>
        </xdr:cNvSpPr>
      </xdr:nvSpPr>
      <xdr:spPr bwMode="auto">
        <a:xfrm>
          <a:off x="0" y="1733551"/>
          <a:ext cx="5276850" cy="6762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0" i="0" u="none" strike="noStrike" baseline="0">
              <a:solidFill>
                <a:srgbClr val="000000"/>
              </a:solidFill>
              <a:latin typeface="Tw Cen MT" pitchFamily="34" charset="0"/>
            </a:rPr>
            <a:t>The following provides instructions on how to select counties and community health boards (CHB), how to save a copy for your own use, and how to remove data protection. </a:t>
          </a: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clientData/>
  </xdr:twoCellAnchor>
  <xdr:twoCellAnchor editAs="oneCell">
    <xdr:from>
      <xdr:col>0</xdr:col>
      <xdr:colOff>0</xdr:colOff>
      <xdr:row>11</xdr:row>
      <xdr:rowOff>194982</xdr:rowOff>
    </xdr:from>
    <xdr:to>
      <xdr:col>9</xdr:col>
      <xdr:colOff>476250</xdr:colOff>
      <xdr:row>16</xdr:row>
      <xdr:rowOff>179294</xdr:rowOff>
    </xdr:to>
    <xdr:sp macro="" textlink="">
      <xdr:nvSpPr>
        <xdr:cNvPr id="5142" name="Text Box 22"/>
        <xdr:cNvSpPr txBox="1">
          <a:spLocks noChangeArrowheads="1"/>
        </xdr:cNvSpPr>
      </xdr:nvSpPr>
      <xdr:spPr bwMode="auto">
        <a:xfrm>
          <a:off x="0" y="10997453"/>
          <a:ext cx="5317191" cy="936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sng" strike="noStrike" baseline="0">
              <a:solidFill>
                <a:srgbClr val="000000"/>
              </a:solidFill>
              <a:latin typeface="Tw Cen MT" pitchFamily="34" charset="0"/>
            </a:rPr>
            <a:t>Selecting Counties and/or Community Health Boards (CHB)</a:t>
          </a:r>
          <a:endParaRPr lang="en-US" sz="1200" b="0" i="0" u="sng" strike="noStrike" baseline="0">
            <a:solidFill>
              <a:srgbClr val="000000"/>
            </a:solidFill>
            <a:latin typeface="Tw Cen MT" pitchFamily="34" charset="0"/>
          </a:endParaRPr>
        </a:p>
        <a:p>
          <a:pPr algn="l" rtl="0">
            <a:defRPr sz="1000"/>
          </a:pPr>
          <a:r>
            <a:rPr lang="en-US" sz="1200" b="0" i="1" u="none" strike="noStrike" baseline="0">
              <a:solidFill>
                <a:srgbClr val="000000"/>
              </a:solidFill>
              <a:latin typeface="Tw Cen MT" pitchFamily="34" charset="0"/>
            </a:rPr>
            <a:t>Trends </a:t>
          </a:r>
          <a:r>
            <a:rPr lang="en-US" sz="1200" b="0" i="0" u="none" strike="noStrike" baseline="0">
              <a:solidFill>
                <a:srgbClr val="000000"/>
              </a:solidFill>
              <a:latin typeface="Tw Cen MT" pitchFamily="34" charset="0"/>
            </a:rPr>
            <a:t>is a nine page report that allows you to compare up to six counties and/or CHBs at once.  When you first open up the Trends worksheet, no counties or CHBs have been selected.   You will see six yellow boxes with "None" selected in each box (Figure 1).</a:t>
          </a: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clientData/>
  </xdr:twoCellAnchor>
  <xdr:twoCellAnchor>
    <xdr:from>
      <xdr:col>0</xdr:col>
      <xdr:colOff>4482</xdr:colOff>
      <xdr:row>0</xdr:row>
      <xdr:rowOff>75639</xdr:rowOff>
    </xdr:from>
    <xdr:to>
      <xdr:col>9</xdr:col>
      <xdr:colOff>476250</xdr:colOff>
      <xdr:row>5</xdr:row>
      <xdr:rowOff>0</xdr:rowOff>
    </xdr:to>
    <xdr:sp macro="" textlink="">
      <xdr:nvSpPr>
        <xdr:cNvPr id="5157" name="Text Box 37"/>
        <xdr:cNvSpPr txBox="1">
          <a:spLocks noChangeArrowheads="1"/>
        </xdr:cNvSpPr>
      </xdr:nvSpPr>
      <xdr:spPr bwMode="auto">
        <a:xfrm>
          <a:off x="4482" y="75639"/>
          <a:ext cx="5272368" cy="103878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54864" bIns="0" anchor="t" upright="1"/>
        <a:lstStyle/>
        <a:p>
          <a:pPr algn="l" rtl="0">
            <a:defRPr sz="1000"/>
          </a:pPr>
          <a:r>
            <a:rPr lang="en-US" sz="2200" b="0" i="0" u="none" strike="noStrike" baseline="0">
              <a:solidFill>
                <a:srgbClr val="000000"/>
              </a:solidFill>
              <a:latin typeface="Eras Demi ITC"/>
            </a:rPr>
            <a:t>Minnesota State, County, and Community Health Board </a:t>
          </a:r>
        </a:p>
        <a:p>
          <a:pPr algn="l" rtl="0">
            <a:defRPr sz="1000"/>
          </a:pPr>
          <a:r>
            <a:rPr lang="en-US" sz="2200" b="0" i="0" u="none" strike="noStrike" baseline="0">
              <a:solidFill>
                <a:srgbClr val="000000"/>
              </a:solidFill>
              <a:latin typeface="Eras Demi ITC"/>
              <a:ea typeface="+mn-ea"/>
              <a:cs typeface="+mn-cs"/>
            </a:rPr>
            <a:t>Vital Statistics </a:t>
          </a:r>
          <a:r>
            <a:rPr lang="en-US" sz="2200" b="0" i="0" u="none" strike="noStrike" baseline="0">
              <a:solidFill>
                <a:srgbClr val="000000"/>
              </a:solidFill>
              <a:latin typeface="Eras Demi ITC"/>
            </a:rPr>
            <a:t>Trend Report 1991-2010</a:t>
          </a:r>
        </a:p>
      </xdr:txBody>
    </xdr:sp>
    <xdr:clientData/>
  </xdr:twoCellAnchor>
  <xdr:oneCellAnchor>
    <xdr:from>
      <xdr:col>0</xdr:col>
      <xdr:colOff>33616</xdr:colOff>
      <xdr:row>34</xdr:row>
      <xdr:rowOff>89647</xdr:rowOff>
    </xdr:from>
    <xdr:ext cx="5109883" cy="1097608"/>
    <xdr:sp macro="" textlink="">
      <xdr:nvSpPr>
        <xdr:cNvPr id="2" name="TextBox 1"/>
        <xdr:cNvSpPr txBox="1"/>
      </xdr:nvSpPr>
      <xdr:spPr>
        <a:xfrm>
          <a:off x="33616" y="15430500"/>
          <a:ext cx="5109883" cy="1097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sz="1200" b="0" i="0" u="none" strike="noStrike" baseline="0">
              <a:solidFill>
                <a:srgbClr val="000000"/>
              </a:solidFill>
              <a:latin typeface="Tw Cen MT" pitchFamily="34" charset="0"/>
              <a:ea typeface="+mn-ea"/>
              <a:cs typeface="Tahoma" pitchFamily="34" charset="0"/>
            </a:rPr>
            <a:t>To select a county or CHB, click on the first yellow box.  When you click on that box, an arrow will appear in the right hand corner of that cell. (Figure 2)  Click on that arrow for an alphabetical listing of all counties and CHBs (</a:t>
          </a:r>
          <a:r>
            <a:rPr lang="en-US" sz="1200" b="0" i="0" baseline="0">
              <a:solidFill>
                <a:schemeClr val="tx1"/>
              </a:solidFill>
              <a:effectLst/>
              <a:latin typeface="Tw Cen MT" pitchFamily="34" charset="0"/>
              <a:ea typeface="+mn-ea"/>
              <a:cs typeface="Tahoma" pitchFamily="34" charset="0"/>
            </a:rPr>
            <a:t>CHBs are located at the end of the list); </a:t>
          </a:r>
          <a:r>
            <a:rPr lang="en-US" sz="1200" b="0" i="0" u="none" strike="noStrike" baseline="0">
              <a:solidFill>
                <a:srgbClr val="000000"/>
              </a:solidFill>
              <a:latin typeface="Tw Cen MT" pitchFamily="34" charset="0"/>
              <a:ea typeface="+mn-ea"/>
              <a:cs typeface="Tahoma" pitchFamily="34" charset="0"/>
            </a:rPr>
            <a:t>scroll down and click the county or CHB of your choice. Repeat this for the remaining five yellow boxes.  You do not have to select a county or CHB for all six boxes (you can leave "None" in these boxes).  </a:t>
          </a:r>
          <a:endParaRPr lang="en-US" sz="1200">
            <a:effectLst/>
            <a:latin typeface="Tw Cen MT" pitchFamily="34" charset="0"/>
            <a:cs typeface="Tahoma" pitchFamily="34" charset="0"/>
          </a:endParaRPr>
        </a:p>
      </xdr:txBody>
    </xdr:sp>
    <xdr:clientData/>
  </xdr:oneCellAnchor>
  <xdr:twoCellAnchor>
    <xdr:from>
      <xdr:col>0</xdr:col>
      <xdr:colOff>0</xdr:colOff>
      <xdr:row>17</xdr:row>
      <xdr:rowOff>22412</xdr:rowOff>
    </xdr:from>
    <xdr:to>
      <xdr:col>7</xdr:col>
      <xdr:colOff>457200</xdr:colOff>
      <xdr:row>33</xdr:row>
      <xdr:rowOff>156884</xdr:rowOff>
    </xdr:to>
    <xdr:grpSp>
      <xdr:nvGrpSpPr>
        <xdr:cNvPr id="4" name="Group 3"/>
        <xdr:cNvGrpSpPr/>
      </xdr:nvGrpSpPr>
      <xdr:grpSpPr>
        <a:xfrm>
          <a:off x="0" y="3451412"/>
          <a:ext cx="4191000" cy="3296772"/>
          <a:chOff x="0" y="12337676"/>
          <a:chExt cx="4222376" cy="3316943"/>
        </a:xfrm>
      </xdr:grpSpPr>
      <xdr:pic>
        <xdr:nvPicPr>
          <xdr:cNvPr id="49" name="Picture 48"/>
          <xdr:cNvPicPr/>
        </xdr:nvPicPr>
        <xdr:blipFill rotWithShape="1">
          <a:blip xmlns:r="http://schemas.openxmlformats.org/officeDocument/2006/relationships" r:embed="rId1"/>
          <a:srcRect t="33810" r="34027" b="4"/>
          <a:stretch/>
        </xdr:blipFill>
        <xdr:spPr bwMode="auto">
          <a:xfrm>
            <a:off x="0" y="12678336"/>
            <a:ext cx="4222376" cy="2976283"/>
          </a:xfrm>
          <a:prstGeom prst="rect">
            <a:avLst/>
          </a:prstGeom>
          <a:ln>
            <a:noFill/>
          </a:ln>
          <a:extLst>
            <a:ext uri="{53640926-AAD7-44D8-BBD7-CCE9431645EC}">
              <a14:shadowObscured xmlns:a14="http://schemas.microsoft.com/office/drawing/2010/main"/>
            </a:ext>
          </a:extLst>
        </xdr:spPr>
      </xdr:pic>
      <xdr:sp macro="" textlink="">
        <xdr:nvSpPr>
          <xdr:cNvPr id="3" name="TextBox 2"/>
          <xdr:cNvSpPr txBox="1"/>
        </xdr:nvSpPr>
        <xdr:spPr>
          <a:xfrm>
            <a:off x="22412" y="12337676"/>
            <a:ext cx="745910" cy="259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w Cen MT" pitchFamily="34" charset="0"/>
              </a:rPr>
              <a:t>Figure 1:</a:t>
            </a:r>
          </a:p>
        </xdr:txBody>
      </xdr:sp>
    </xdr:grpSp>
    <xdr:clientData/>
  </xdr:twoCellAnchor>
  <xdr:twoCellAnchor editAs="oneCell">
    <xdr:from>
      <xdr:col>0</xdr:col>
      <xdr:colOff>104775</xdr:colOff>
      <xdr:row>42</xdr:row>
      <xdr:rowOff>54908</xdr:rowOff>
    </xdr:from>
    <xdr:to>
      <xdr:col>7</xdr:col>
      <xdr:colOff>463364</xdr:colOff>
      <xdr:row>56</xdr:row>
      <xdr:rowOff>21290</xdr:rowOff>
    </xdr:to>
    <xdr:pic>
      <xdr:nvPicPr>
        <xdr:cNvPr id="53" name="Picture 52"/>
        <xdr:cNvPicPr/>
      </xdr:nvPicPr>
      <xdr:blipFill rotWithShape="1">
        <a:blip xmlns:r="http://schemas.openxmlformats.org/officeDocument/2006/relationships" r:embed="rId2"/>
        <a:srcRect t="52760" r="47048"/>
        <a:stretch/>
      </xdr:blipFill>
      <xdr:spPr bwMode="auto">
        <a:xfrm>
          <a:off x="104775" y="8408333"/>
          <a:ext cx="4092389" cy="2766732"/>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0</xdr:colOff>
      <xdr:row>40</xdr:row>
      <xdr:rowOff>78441</xdr:rowOff>
    </xdr:from>
    <xdr:to>
      <xdr:col>1</xdr:col>
      <xdr:colOff>290102</xdr:colOff>
      <xdr:row>42</xdr:row>
      <xdr:rowOff>31348</xdr:rowOff>
    </xdr:to>
    <xdr:sp macro="" textlink="">
      <xdr:nvSpPr>
        <xdr:cNvPr id="54" name="TextBox 53"/>
        <xdr:cNvSpPr txBox="1"/>
      </xdr:nvSpPr>
      <xdr:spPr>
        <a:xfrm>
          <a:off x="0" y="8090647"/>
          <a:ext cx="827984" cy="3114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latin typeface="Tw Cen MT" pitchFamily="34" charset="0"/>
            </a:rPr>
            <a:t>Figure 2:</a:t>
          </a:r>
        </a:p>
      </xdr:txBody>
    </xdr:sp>
    <xdr:clientData/>
  </xdr:twoCellAnchor>
  <xdr:twoCellAnchor>
    <xdr:from>
      <xdr:col>0</xdr:col>
      <xdr:colOff>11093</xdr:colOff>
      <xdr:row>58</xdr:row>
      <xdr:rowOff>78441</xdr:rowOff>
    </xdr:from>
    <xdr:to>
      <xdr:col>9</xdr:col>
      <xdr:colOff>280148</xdr:colOff>
      <xdr:row>76</xdr:row>
      <xdr:rowOff>123264</xdr:rowOff>
    </xdr:to>
    <xdr:grpSp>
      <xdr:nvGrpSpPr>
        <xdr:cNvPr id="6" name="Group 5"/>
        <xdr:cNvGrpSpPr/>
      </xdr:nvGrpSpPr>
      <xdr:grpSpPr>
        <a:xfrm>
          <a:off x="11093" y="11632266"/>
          <a:ext cx="5069655" cy="3454773"/>
          <a:chOff x="11207" y="20215412"/>
          <a:chExt cx="5109882" cy="3451411"/>
        </a:xfrm>
      </xdr:grpSpPr>
      <xdr:grpSp>
        <xdr:nvGrpSpPr>
          <xdr:cNvPr id="5" name="Group 4"/>
          <xdr:cNvGrpSpPr/>
        </xdr:nvGrpSpPr>
        <xdr:grpSpPr>
          <a:xfrm>
            <a:off x="33617" y="20966205"/>
            <a:ext cx="3766375" cy="2700618"/>
            <a:chOff x="78440" y="20293852"/>
            <a:chExt cx="3766375" cy="2700618"/>
          </a:xfrm>
        </xdr:grpSpPr>
        <xdr:pic>
          <xdr:nvPicPr>
            <xdr:cNvPr id="55" name="Picture 54"/>
            <xdr:cNvPicPr/>
          </xdr:nvPicPr>
          <xdr:blipFill rotWithShape="1">
            <a:blip xmlns:r="http://schemas.openxmlformats.org/officeDocument/2006/relationships" r:embed="rId3"/>
            <a:srcRect t="38371" r="47917" b="12227"/>
            <a:stretch/>
          </xdr:blipFill>
          <xdr:spPr bwMode="auto">
            <a:xfrm>
              <a:off x="124462" y="20630029"/>
              <a:ext cx="3720353" cy="2364441"/>
            </a:xfrm>
            <a:prstGeom prst="rect">
              <a:avLst/>
            </a:prstGeom>
            <a:ln>
              <a:noFill/>
            </a:ln>
            <a:extLst>
              <a:ext uri="{53640926-AAD7-44D8-BBD7-CCE9431645EC}">
                <a14:shadowObscured xmlns:a14="http://schemas.microsoft.com/office/drawing/2010/main"/>
              </a:ext>
            </a:extLst>
          </xdr:spPr>
        </xdr:pic>
        <xdr:sp macro="" textlink="">
          <xdr:nvSpPr>
            <xdr:cNvPr id="56" name="TextBox 55"/>
            <xdr:cNvSpPr txBox="1"/>
          </xdr:nvSpPr>
          <xdr:spPr>
            <a:xfrm>
              <a:off x="78440" y="20293852"/>
              <a:ext cx="82798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latin typeface="Tw Cen MT" pitchFamily="34" charset="0"/>
                </a:rPr>
                <a:t>Figure 3:</a:t>
              </a:r>
            </a:p>
          </xdr:txBody>
        </xdr:sp>
      </xdr:grpSp>
      <xdr:sp macro="" textlink="">
        <xdr:nvSpPr>
          <xdr:cNvPr id="57" name="TextBox 56"/>
          <xdr:cNvSpPr txBox="1"/>
        </xdr:nvSpPr>
        <xdr:spPr>
          <a:xfrm>
            <a:off x="11207" y="20215412"/>
            <a:ext cx="5109882" cy="761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sz="1200" b="0" i="0" u="none" strike="noStrike" baseline="0">
                <a:solidFill>
                  <a:srgbClr val="000000"/>
                </a:solidFill>
                <a:latin typeface="Tw Cen MT" pitchFamily="34" charset="0"/>
                <a:ea typeface="+mn-ea"/>
                <a:cs typeface="Tahoma" pitchFamily="34" charset="0"/>
              </a:rPr>
              <a:t>In Figure 3, only Aitkin, Itasca, and Koochiching counties and the CHB of Aitkin, Itasca, and Koochiching were chosen.  The remaining two boxes have "None" selected. Once you have selected your counties or CHBs, the report will be populated with data from the county and CHB you selected.</a:t>
            </a:r>
            <a:endParaRPr lang="en-US" sz="1200">
              <a:effectLst/>
              <a:latin typeface="Tw Cen MT" pitchFamily="34" charset="0"/>
              <a:cs typeface="Tahoma" pitchFamily="34" charset="0"/>
            </a:endParaRPr>
          </a:p>
        </xdr:txBody>
      </xdr:sp>
    </xdr:grpSp>
    <xdr:clientData/>
  </xdr:twoCellAnchor>
  <xdr:twoCellAnchor>
    <xdr:from>
      <xdr:col>0</xdr:col>
      <xdr:colOff>105105</xdr:colOff>
      <xdr:row>78</xdr:row>
      <xdr:rowOff>131766</xdr:rowOff>
    </xdr:from>
    <xdr:to>
      <xdr:col>9</xdr:col>
      <xdr:colOff>472967</xdr:colOff>
      <xdr:row>95</xdr:row>
      <xdr:rowOff>36837</xdr:rowOff>
    </xdr:to>
    <xdr:grpSp>
      <xdr:nvGrpSpPr>
        <xdr:cNvPr id="61" name="Group 60"/>
        <xdr:cNvGrpSpPr/>
      </xdr:nvGrpSpPr>
      <xdr:grpSpPr>
        <a:xfrm>
          <a:off x="105105" y="15419391"/>
          <a:ext cx="5168462" cy="2733996"/>
          <a:chOff x="0" y="7691931"/>
          <a:chExt cx="5262606" cy="2659445"/>
        </a:xfrm>
      </xdr:grpSpPr>
      <xdr:sp macro="" textlink="">
        <xdr:nvSpPr>
          <xdr:cNvPr id="62" name="Text Box 23"/>
          <xdr:cNvSpPr txBox="1">
            <a:spLocks noChangeArrowheads="1"/>
          </xdr:cNvSpPr>
        </xdr:nvSpPr>
        <xdr:spPr bwMode="auto">
          <a:xfrm>
            <a:off x="0" y="7691931"/>
            <a:ext cx="5262606" cy="12418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sng" strike="noStrike" baseline="0">
                <a:solidFill>
                  <a:srgbClr val="000000"/>
                </a:solidFill>
                <a:latin typeface="Tw Cen MT" pitchFamily="34" charset="0"/>
              </a:rPr>
              <a:t>Potected Data in the "Trends" Worksheet</a:t>
            </a:r>
            <a:endParaRPr lang="en-US" sz="1200" b="0" i="0" u="sng"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The </a:t>
            </a:r>
            <a:r>
              <a:rPr lang="en-US" sz="1200" b="0" i="1" u="none" strike="noStrike" baseline="0">
                <a:solidFill>
                  <a:srgbClr val="000000"/>
                </a:solidFill>
                <a:latin typeface="Tw Cen MT" pitchFamily="34" charset="0"/>
              </a:rPr>
              <a:t>Trends </a:t>
            </a:r>
            <a:r>
              <a:rPr lang="en-US" sz="1200" b="0" i="0" u="none" strike="noStrike" baseline="0">
                <a:solidFill>
                  <a:srgbClr val="000000"/>
                </a:solidFill>
                <a:latin typeface="Tw Cen MT" pitchFamily="34" charset="0"/>
              </a:rPr>
              <a:t>worksheet data are protected so that you cannot enter data.  If you try to enter data you will get an error message (Figure 4).  To remove the message from your screen, click "Cancel".  </a:t>
            </a:r>
            <a:r>
              <a:rPr lang="en-US" sz="1200" b="1" i="0" u="none" strike="noStrike" baseline="0">
                <a:solidFill>
                  <a:srgbClr val="000000"/>
                </a:solidFill>
                <a:latin typeface="Tw Cen MT" pitchFamily="34" charset="0"/>
              </a:rPr>
              <a:t>Be aware that you can delete data. </a:t>
            </a:r>
            <a:r>
              <a:rPr lang="en-US" sz="1200" b="0" i="0" u="none" strike="noStrike" baseline="0">
                <a:solidFill>
                  <a:srgbClr val="000000"/>
                </a:solidFill>
                <a:latin typeface="Tw Cen MT" pitchFamily="34" charset="0"/>
              </a:rPr>
              <a:t>The good news is that the original file is still available on our website.  If you do delete data, you can download the file again off the MCHS website.</a:t>
            </a:r>
          </a:p>
          <a:p>
            <a:pPr algn="l" rtl="0">
              <a:defRPr sz="1000"/>
            </a:pPr>
            <a:endParaRPr lang="en-US" sz="1200" b="0" i="0" u="none"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grpSp>
        <xdr:nvGrpSpPr>
          <xdr:cNvPr id="63" name="Group 62"/>
          <xdr:cNvGrpSpPr/>
        </xdr:nvGrpSpPr>
        <xdr:grpSpPr>
          <a:xfrm>
            <a:off x="0" y="9019190"/>
            <a:ext cx="2595070" cy="1332186"/>
            <a:chOff x="0" y="9019190"/>
            <a:chExt cx="2595070" cy="1332186"/>
          </a:xfrm>
        </xdr:grpSpPr>
        <xdr:pic>
          <xdr:nvPicPr>
            <xdr:cNvPr id="64"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254687"/>
              <a:ext cx="2595070" cy="1096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5" name="Text Box 44"/>
            <xdr:cNvSpPr txBox="1">
              <a:spLocks noChangeArrowheads="1"/>
            </xdr:cNvSpPr>
          </xdr:nvSpPr>
          <xdr:spPr bwMode="auto">
            <a:xfrm>
              <a:off x="0" y="9019190"/>
              <a:ext cx="663465"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4</a:t>
              </a:r>
              <a:r>
                <a:rPr lang="en-US" sz="1200" b="1" i="0" u="none" strike="noStrike" baseline="0">
                  <a:solidFill>
                    <a:srgbClr val="000000"/>
                  </a:solidFill>
                  <a:latin typeface="Eras Demi ITC"/>
                </a:rPr>
                <a:t>:</a:t>
              </a:r>
            </a:p>
          </xdr:txBody>
        </xdr:sp>
      </xdr:grpSp>
    </xdr:grpSp>
    <xdr:clientData/>
  </xdr:twoCellAnchor>
  <xdr:twoCellAnchor>
    <xdr:from>
      <xdr:col>0</xdr:col>
      <xdr:colOff>0</xdr:colOff>
      <xdr:row>97</xdr:row>
      <xdr:rowOff>6569</xdr:rowOff>
    </xdr:from>
    <xdr:to>
      <xdr:col>9</xdr:col>
      <xdr:colOff>472964</xdr:colOff>
      <xdr:row>151</xdr:row>
      <xdr:rowOff>142099</xdr:rowOff>
    </xdr:to>
    <xdr:grpSp>
      <xdr:nvGrpSpPr>
        <xdr:cNvPr id="84" name="Group 83"/>
        <xdr:cNvGrpSpPr/>
      </xdr:nvGrpSpPr>
      <xdr:grpSpPr>
        <a:xfrm>
          <a:off x="0" y="18446969"/>
          <a:ext cx="5273564" cy="8879480"/>
          <a:chOff x="0" y="8988027"/>
          <a:chExt cx="5215084" cy="8606090"/>
        </a:xfrm>
      </xdr:grpSpPr>
      <xdr:sp macro="" textlink="">
        <xdr:nvSpPr>
          <xdr:cNvPr id="85" name="Text Box 30"/>
          <xdr:cNvSpPr txBox="1">
            <a:spLocks noChangeArrowheads="1"/>
          </xdr:cNvSpPr>
        </xdr:nvSpPr>
        <xdr:spPr bwMode="auto">
          <a:xfrm>
            <a:off x="34253" y="14598539"/>
            <a:ext cx="5148280" cy="2706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none" strike="noStrike" baseline="0">
                <a:solidFill>
                  <a:srgbClr val="000000"/>
                </a:solidFill>
                <a:latin typeface="Tw Cen MT" pitchFamily="34" charset="0"/>
              </a:rPr>
              <a:t>Step 3: </a:t>
            </a:r>
            <a:endParaRPr lang="en-US" sz="1200" b="0" i="0" u="none"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Now you will be working in your new Excel file.</a:t>
            </a:r>
          </a:p>
          <a:p>
            <a:pPr algn="l" rtl="0">
              <a:defRPr sz="1000"/>
            </a:pPr>
            <a:endParaRPr lang="en-US" sz="1200" b="0" i="0" u="none" strike="noStrike" baseline="0">
              <a:solidFill>
                <a:srgbClr val="000000"/>
              </a:solidFill>
              <a:latin typeface="Tw Cen MT"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u="none" strike="noStrike" baseline="0">
                <a:solidFill>
                  <a:srgbClr val="000000"/>
                </a:solidFill>
                <a:latin typeface="Tw Cen MT" pitchFamily="34" charset="0"/>
                <a:ea typeface="+mn-ea"/>
                <a:cs typeface="+mn-cs"/>
              </a:rPr>
              <a:t>The </a:t>
            </a:r>
            <a:r>
              <a:rPr lang="en-US" sz="1200" b="0" i="1" u="none" strike="noStrike" baseline="0">
                <a:solidFill>
                  <a:srgbClr val="000000"/>
                </a:solidFill>
                <a:latin typeface="Tw Cen MT" pitchFamily="34" charset="0"/>
                <a:ea typeface="+mn-ea"/>
                <a:cs typeface="+mn-cs"/>
              </a:rPr>
              <a:t>Trends </a:t>
            </a:r>
            <a:r>
              <a:rPr lang="en-US" sz="1200" b="0" i="0" u="none" strike="noStrike" baseline="0">
                <a:solidFill>
                  <a:srgbClr val="000000"/>
                </a:solidFill>
                <a:latin typeface="Tw Cen MT" pitchFamily="34" charset="0"/>
                <a:ea typeface="+mn-ea"/>
                <a:cs typeface="+mn-cs"/>
              </a:rPr>
              <a:t>worksheet contains formulas, so in order to edit or reformat; it is recommended that you change the formulas to numbers.  The following steps describe how to do this.</a:t>
            </a: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Select the grey box with an arrow in the upper left hand corner of the spreadsheet (Figure 7). You now have the entire worksheet highlighted.  </a:t>
            </a: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On the toolbar, click on "Edit", then select "Copy."</a:t>
            </a:r>
          </a:p>
          <a:p>
            <a:pPr algn="l" rtl="0">
              <a:defRPr sz="1000"/>
            </a:pPr>
            <a:r>
              <a:rPr lang="en-US" sz="1200" b="0" i="0" u="none" strike="noStrike" baseline="0">
                <a:solidFill>
                  <a:srgbClr val="000000"/>
                </a:solidFill>
                <a:latin typeface="Tw Cen MT" pitchFamily="34" charset="0"/>
              </a:rPr>
              <a:t>The highlighted area will now have an animated dotted line around it.  </a:t>
            </a: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Click "Edit" once again, select "Paste Special", select "Values", and click "OK".</a:t>
            </a:r>
          </a:p>
          <a:p>
            <a:pPr algn="l" rtl="0">
              <a:defRPr sz="1000"/>
            </a:pPr>
            <a:r>
              <a:rPr lang="en-US" sz="1200" b="0" i="0" u="none" strike="noStrike" baseline="0">
                <a:solidFill>
                  <a:srgbClr val="000000"/>
                </a:solidFill>
                <a:latin typeface="Tw Cen MT" pitchFamily="34" charset="0"/>
              </a:rPr>
              <a:t>Now your spreadsheet no longer has formulas in it.</a:t>
            </a:r>
          </a:p>
          <a:p>
            <a:pPr algn="l" rtl="0">
              <a:defRPr sz="1000"/>
            </a:pPr>
            <a:endParaRPr lang="en-US" sz="1200" b="0" i="0" u="none" strike="noStrike" baseline="0">
              <a:solidFill>
                <a:srgbClr val="000000"/>
              </a:solidFill>
              <a:latin typeface="Tw Cen MT" pitchFamily="34" charset="0"/>
            </a:endParaRPr>
          </a:p>
          <a:p>
            <a:pPr algn="l" rtl="0">
              <a:defRPr sz="1000"/>
            </a:pPr>
            <a:endParaRPr lang="en-US" sz="1200" b="1"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grpSp>
        <xdr:nvGrpSpPr>
          <xdr:cNvPr id="86" name="Group 38"/>
          <xdr:cNvGrpSpPr>
            <a:grpSpLocks/>
          </xdr:cNvGrpSpPr>
        </xdr:nvGrpSpPr>
        <xdr:grpSpPr bwMode="auto">
          <a:xfrm>
            <a:off x="0" y="12411239"/>
            <a:ext cx="4467225" cy="2276968"/>
            <a:chOff x="0" y="3388"/>
            <a:chExt cx="477" cy="243"/>
          </a:xfrm>
        </xdr:grpSpPr>
        <xdr:sp macro="" textlink="">
          <xdr:nvSpPr>
            <xdr:cNvPr id="99" name="Text Box 28"/>
            <xdr:cNvSpPr txBox="1">
              <a:spLocks noChangeArrowheads="1"/>
            </xdr:cNvSpPr>
          </xdr:nvSpPr>
          <xdr:spPr bwMode="auto">
            <a:xfrm>
              <a:off x="0" y="3393"/>
              <a:ext cx="244" cy="2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lnSpc>
                  <a:spcPts val="1200"/>
                </a:lnSpc>
                <a:defRPr sz="1000"/>
              </a:pPr>
              <a:r>
                <a:rPr lang="en-US" sz="1200" b="1" i="0" u="none" strike="noStrike" baseline="0">
                  <a:solidFill>
                    <a:srgbClr val="000000"/>
                  </a:solidFill>
                  <a:latin typeface="Tw Cen MT" pitchFamily="34" charset="0"/>
                </a:rPr>
                <a:t>Step 2: </a:t>
              </a:r>
              <a:endParaRPr lang="en-US" sz="1200" b="0" i="0" u="none" strike="noStrike" baseline="0">
                <a:solidFill>
                  <a:srgbClr val="000000"/>
                </a:solidFill>
                <a:latin typeface="Tw Cen MT" pitchFamily="34" charset="0"/>
              </a:endParaRP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300"/>
                </a:lnSpc>
                <a:defRPr sz="1000"/>
              </a:pPr>
              <a:r>
                <a:rPr lang="en-US" sz="1200" b="0" i="0" u="none" strike="noStrike" baseline="0">
                  <a:solidFill>
                    <a:srgbClr val="000000"/>
                  </a:solidFill>
                  <a:latin typeface="Tw Cen MT" pitchFamily="34" charset="0"/>
                </a:rPr>
                <a:t>In the "Move or Copy" box, select "new book" and check "Create a copy" in the lower left hand corner.  Click "OK" (Figure 6).</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You will now have an extra copy of the document in a new Excel file.  Save this file.</a:t>
              </a:r>
            </a:p>
            <a:p>
              <a:pPr algn="l" rtl="0">
                <a:lnSpc>
                  <a:spcPts val="13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1" i="0" u="none" strike="noStrike" baseline="0">
                <a:solidFill>
                  <a:srgbClr val="000000"/>
                </a:solidFill>
                <a:latin typeface="Eras Medium ITC"/>
              </a:endParaRPr>
            </a:p>
            <a:p>
              <a:pPr algn="l" rtl="0">
                <a:lnSpc>
                  <a:spcPts val="13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0" i="0" u="none" strike="noStrike" baseline="0">
                <a:solidFill>
                  <a:srgbClr val="000000"/>
                </a:solidFill>
                <a:latin typeface="Eras Medium ITC"/>
              </a:endParaRPr>
            </a:p>
          </xdr:txBody>
        </xdr:sp>
        <xdr:pic>
          <xdr:nvPicPr>
            <xdr:cNvPr id="10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8" y="3421"/>
              <a:ext cx="169" cy="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1" name="Text Box 36"/>
            <xdr:cNvSpPr txBox="1">
              <a:spLocks noChangeArrowheads="1"/>
            </xdr:cNvSpPr>
          </xdr:nvSpPr>
          <xdr:spPr bwMode="auto">
            <a:xfrm>
              <a:off x="307" y="3388"/>
              <a:ext cx="61"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en-US" sz="1200" b="1" i="0" u="none" strike="noStrike" baseline="0">
                  <a:solidFill>
                    <a:srgbClr val="000000"/>
                  </a:solidFill>
                  <a:latin typeface="Tw Cen MT" pitchFamily="34" charset="0"/>
                </a:rPr>
                <a:t>Figure 6</a:t>
              </a:r>
              <a:r>
                <a:rPr lang="en-US" sz="1200" b="0" i="0" u="none" strike="noStrike" baseline="0">
                  <a:solidFill>
                    <a:srgbClr val="000000"/>
                  </a:solidFill>
                  <a:latin typeface="Tw Cen MT" pitchFamily="34" charset="0"/>
                </a:rPr>
                <a:t>:</a:t>
              </a:r>
            </a:p>
          </xdr:txBody>
        </xdr:sp>
      </xdr:grpSp>
      <xdr:grpSp>
        <xdr:nvGrpSpPr>
          <xdr:cNvPr id="87" name="Group 86"/>
          <xdr:cNvGrpSpPr/>
        </xdr:nvGrpSpPr>
        <xdr:grpSpPr>
          <a:xfrm>
            <a:off x="88522" y="8988027"/>
            <a:ext cx="5126562" cy="1330297"/>
            <a:chOff x="89782" y="9213208"/>
            <a:chExt cx="5199545" cy="1371390"/>
          </a:xfrm>
        </xdr:grpSpPr>
        <xdr:sp macro="" textlink="">
          <xdr:nvSpPr>
            <xdr:cNvPr id="95" name="Text Box 24"/>
            <xdr:cNvSpPr txBox="1">
              <a:spLocks noChangeArrowheads="1"/>
            </xdr:cNvSpPr>
          </xdr:nvSpPr>
          <xdr:spPr bwMode="auto">
            <a:xfrm>
              <a:off x="99051" y="9213208"/>
              <a:ext cx="5190276" cy="12576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sng" strike="noStrike" baseline="0">
                  <a:solidFill>
                    <a:srgbClr val="000000"/>
                  </a:solidFill>
                  <a:latin typeface="Tw Cen MT" pitchFamily="34" charset="0"/>
                </a:rPr>
                <a:t>Saving Your Own Copy of the  Trends Worksheet</a:t>
              </a:r>
            </a:p>
            <a:p>
              <a:pPr algn="l" rtl="0">
                <a:lnSpc>
                  <a:spcPts val="1300"/>
                </a:lnSpc>
                <a:defRPr sz="1000"/>
              </a:pPr>
              <a:endParaRPr lang="en-US" sz="1200" b="0" i="0" u="none" strike="noStrike" baseline="0">
                <a:solidFill>
                  <a:srgbClr val="000000"/>
                </a:solidFill>
                <a:latin typeface="Tw Cen MT" pitchFamily="34" charset="0"/>
              </a:endParaRPr>
            </a:p>
            <a:p>
              <a:pPr algn="l" rtl="0">
                <a:defRPr sz="1000"/>
              </a:pPr>
              <a:r>
                <a:rPr lang="en-US" sz="1200" b="1" i="0" u="none" strike="noStrike" baseline="0">
                  <a:solidFill>
                    <a:srgbClr val="000000"/>
                  </a:solidFill>
                  <a:latin typeface="Tw Cen MT" pitchFamily="34" charset="0"/>
                </a:rPr>
                <a:t>Step 1:  </a:t>
              </a:r>
              <a:endParaRPr lang="en-US" sz="1200" b="0" i="0" u="none"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Tw Cen MT" pitchFamily="34" charset="0"/>
              </a:endParaRPr>
            </a:p>
            <a:p>
              <a:pPr algn="l" rtl="0">
                <a:lnSpc>
                  <a:spcPts val="1300"/>
                </a:lnSpc>
                <a:defRPr sz="1000"/>
              </a:pPr>
              <a:r>
                <a:rPr lang="en-US" sz="1200" b="0" i="0" u="none" strike="noStrike" baseline="0">
                  <a:solidFill>
                    <a:srgbClr val="000000"/>
                  </a:solidFill>
                  <a:latin typeface="Tw Cen MT" pitchFamily="34" charset="0"/>
                </a:rPr>
                <a:t>Right click on the</a:t>
              </a:r>
              <a:r>
                <a:rPr lang="en-US" sz="1200" b="0" i="1" u="none" strike="noStrike" baseline="0">
                  <a:solidFill>
                    <a:srgbClr val="000000"/>
                  </a:solidFill>
                  <a:latin typeface="Tw Cen MT" pitchFamily="34" charset="0"/>
                </a:rPr>
                <a:t> Trends </a:t>
              </a:r>
              <a:r>
                <a:rPr lang="en-US" sz="1200" b="0" i="0" u="none" strike="noStrike" baseline="0">
                  <a:solidFill>
                    <a:srgbClr val="000000"/>
                  </a:solidFill>
                  <a:latin typeface="Tw Cen MT" pitchFamily="34" charset="0"/>
                </a:rPr>
                <a:t>tab at the bottom on the worksheet. </a:t>
              </a:r>
            </a:p>
            <a:p>
              <a:pPr algn="l" rtl="0">
                <a:defRPr sz="1000"/>
              </a:pPr>
              <a:r>
                <a:rPr lang="en-US" sz="1200" b="0" i="0" u="none" strike="noStrike" baseline="0">
                  <a:solidFill>
                    <a:srgbClr val="000000"/>
                  </a:solidFill>
                  <a:latin typeface="Tw Cen MT" pitchFamily="34" charset="0"/>
                </a:rPr>
                <a:t>A window will pop up, select "Move or Copy" (Figure 5)</a:t>
              </a:r>
            </a:p>
            <a:p>
              <a:pPr algn="l" rtl="0">
                <a:defRPr sz="1000"/>
              </a:pPr>
              <a:endParaRPr lang="en-US" sz="1200" b="0" i="0" u="none" strike="noStrike" baseline="0">
                <a:solidFill>
                  <a:srgbClr val="000000"/>
                </a:solidFill>
                <a:latin typeface="Tw Cen MT" pitchFamily="34" charset="0"/>
              </a:endParaRPr>
            </a:p>
            <a:p>
              <a:pPr algn="l" rtl="0">
                <a:lnSpc>
                  <a:spcPts val="1300"/>
                </a:lnSpc>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sp macro="" textlink="">
          <xdr:nvSpPr>
            <xdr:cNvPr id="98" name="Text Box 44"/>
            <xdr:cNvSpPr txBox="1">
              <a:spLocks noChangeArrowheads="1"/>
            </xdr:cNvSpPr>
          </xdr:nvSpPr>
          <xdr:spPr bwMode="auto">
            <a:xfrm>
              <a:off x="89782" y="10380118"/>
              <a:ext cx="663465"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5</a:t>
              </a:r>
              <a:r>
                <a:rPr lang="en-US" sz="1200" b="1" i="0" u="none" strike="noStrike" baseline="0">
                  <a:solidFill>
                    <a:srgbClr val="000000"/>
                  </a:solidFill>
                  <a:latin typeface="Eras Demi ITC"/>
                </a:rPr>
                <a:t>:</a:t>
              </a:r>
            </a:p>
          </xdr:txBody>
        </xdr:sp>
      </xdr:grpSp>
      <xdr:sp macro="" textlink="">
        <xdr:nvSpPr>
          <xdr:cNvPr id="90" name="Text Box 36"/>
          <xdr:cNvSpPr txBox="1">
            <a:spLocks noChangeArrowheads="1"/>
          </xdr:cNvSpPr>
        </xdr:nvSpPr>
        <xdr:spPr bwMode="auto">
          <a:xfrm>
            <a:off x="234862" y="17397938"/>
            <a:ext cx="571045" cy="196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7</a:t>
            </a:r>
            <a:r>
              <a:rPr lang="en-US" sz="1200" b="0" i="0" u="none" strike="noStrike" baseline="0">
                <a:solidFill>
                  <a:srgbClr val="000000"/>
                </a:solidFill>
                <a:latin typeface="Tw Cen MT" pitchFamily="34" charset="0"/>
              </a:rPr>
              <a:t>:</a:t>
            </a:r>
          </a:p>
        </xdr:txBody>
      </xdr:sp>
    </xdr:grpSp>
    <xdr:clientData/>
  </xdr:twoCellAnchor>
  <xdr:twoCellAnchor editAs="oneCell">
    <xdr:from>
      <xdr:col>0</xdr:col>
      <xdr:colOff>107808</xdr:colOff>
      <xdr:row>105</xdr:row>
      <xdr:rowOff>134471</xdr:rowOff>
    </xdr:from>
    <xdr:to>
      <xdr:col>6</xdr:col>
      <xdr:colOff>219867</xdr:colOff>
      <xdr:row>118</xdr:row>
      <xdr:rowOff>98052</xdr:rowOff>
    </xdr:to>
    <xdr:pic>
      <xdr:nvPicPr>
        <xdr:cNvPr id="102" name="Picture 101"/>
        <xdr:cNvPicPr/>
      </xdr:nvPicPr>
      <xdr:blipFill rotWithShape="1">
        <a:blip xmlns:r="http://schemas.openxmlformats.org/officeDocument/2006/relationships" r:embed="rId6"/>
        <a:srcRect t="54861" r="54688"/>
        <a:stretch/>
      </xdr:blipFill>
      <xdr:spPr bwMode="auto">
        <a:xfrm>
          <a:off x="107808" y="19762540"/>
          <a:ext cx="3304576" cy="209849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112059</xdr:colOff>
      <xdr:row>151</xdr:row>
      <xdr:rowOff>112060</xdr:rowOff>
    </xdr:from>
    <xdr:to>
      <xdr:col>9</xdr:col>
      <xdr:colOff>528918</xdr:colOff>
      <xdr:row>169</xdr:row>
      <xdr:rowOff>35298</xdr:rowOff>
    </xdr:to>
    <xdr:grpSp>
      <xdr:nvGrpSpPr>
        <xdr:cNvPr id="8" name="Group 7"/>
        <xdr:cNvGrpSpPr/>
      </xdr:nvGrpSpPr>
      <xdr:grpSpPr>
        <a:xfrm>
          <a:off x="112059" y="27296410"/>
          <a:ext cx="5217459" cy="2837888"/>
          <a:chOff x="6510618" y="35074413"/>
          <a:chExt cx="5257800" cy="2747121"/>
        </a:xfrm>
      </xdr:grpSpPr>
      <xdr:pic>
        <xdr:nvPicPr>
          <xdr:cNvPr id="103" name="Picture 102"/>
          <xdr:cNvPicPr/>
        </xdr:nvPicPr>
        <xdr:blipFill rotWithShape="1">
          <a:blip xmlns:r="http://schemas.openxmlformats.org/officeDocument/2006/relationships" r:embed="rId7"/>
          <a:srcRect t="27099" r="42361" b="39566"/>
          <a:stretch/>
        </xdr:blipFill>
        <xdr:spPr bwMode="auto">
          <a:xfrm>
            <a:off x="6645088" y="35365765"/>
            <a:ext cx="5123330" cy="2455769"/>
          </a:xfrm>
          <a:prstGeom prst="rect">
            <a:avLst/>
          </a:prstGeom>
          <a:ln>
            <a:noFill/>
          </a:ln>
          <a:extLst>
            <a:ext uri="{53640926-AAD7-44D8-BBD7-CCE9431645EC}">
              <a14:shadowObscured xmlns:a14="http://schemas.microsoft.com/office/drawing/2010/main"/>
            </a:ext>
          </a:extLst>
        </xdr:spPr>
      </xdr:pic>
      <xdr:sp macro="" textlink="">
        <xdr:nvSpPr>
          <xdr:cNvPr id="104" name="Oval 103"/>
          <xdr:cNvSpPr/>
        </xdr:nvSpPr>
        <xdr:spPr>
          <a:xfrm>
            <a:off x="6510618" y="35652300"/>
            <a:ext cx="553202" cy="67931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xnSp macro="">
        <xdr:nvCxnSpPr>
          <xdr:cNvPr id="105" name="Straight Arrow Connector 104"/>
          <xdr:cNvCxnSpPr/>
        </xdr:nvCxnSpPr>
        <xdr:spPr>
          <a:xfrm flipV="1">
            <a:off x="6996895" y="35231564"/>
            <a:ext cx="572324" cy="423072"/>
          </a:xfrm>
          <a:prstGeom prst="straightConnector1">
            <a:avLst/>
          </a:prstGeom>
          <a:ln w="2540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106" name="TextBox 105"/>
          <xdr:cNvSpPr txBox="1"/>
        </xdr:nvSpPr>
        <xdr:spPr>
          <a:xfrm>
            <a:off x="7312399" y="35074413"/>
            <a:ext cx="1820820" cy="4908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on arrow to select entire worksheet</a:t>
            </a:r>
          </a:p>
        </xdr:txBody>
      </xdr:sp>
    </xdr:grpSp>
    <xdr:clientData/>
  </xdr:twoCellAnchor>
  <xdr:twoCellAnchor editAs="oneCell">
    <xdr:from>
      <xdr:col>0</xdr:col>
      <xdr:colOff>0</xdr:colOff>
      <xdr:row>171</xdr:row>
      <xdr:rowOff>0</xdr:rowOff>
    </xdr:from>
    <xdr:to>
      <xdr:col>9</xdr:col>
      <xdr:colOff>449097</xdr:colOff>
      <xdr:row>179</xdr:row>
      <xdr:rowOff>94840</xdr:rowOff>
    </xdr:to>
    <xdr:sp macro="" textlink="">
      <xdr:nvSpPr>
        <xdr:cNvPr id="108" name="Text Box 32"/>
        <xdr:cNvSpPr txBox="1">
          <a:spLocks noChangeArrowheads="1"/>
        </xdr:cNvSpPr>
      </xdr:nvSpPr>
      <xdr:spPr bwMode="auto">
        <a:xfrm>
          <a:off x="0" y="38537029"/>
          <a:ext cx="5290038" cy="13723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lnSpc>
              <a:spcPts val="1100"/>
            </a:lnSpc>
            <a:defRPr sz="1000"/>
          </a:pPr>
          <a:r>
            <a:rPr lang="en-US" sz="1200" b="1" i="0" u="sng" strike="noStrike" baseline="0">
              <a:solidFill>
                <a:srgbClr val="000000"/>
              </a:solidFill>
              <a:latin typeface="Tw Cen MT" pitchFamily="34" charset="0"/>
            </a:rPr>
            <a:t>Removing Data Protection</a:t>
          </a:r>
          <a:endParaRPr lang="en-US" sz="1200" b="0" i="0" u="sng" strike="noStrike" baseline="0">
            <a:solidFill>
              <a:srgbClr val="000000"/>
            </a:solidFill>
            <a:latin typeface="Tw Cen MT" pitchFamily="34" charset="0"/>
          </a:endParaRP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100"/>
            </a:lnSpc>
            <a:defRPr sz="1000"/>
          </a:pPr>
          <a:r>
            <a:rPr lang="en-US" sz="1200" b="0" i="0" u="none" strike="noStrike" baseline="0">
              <a:solidFill>
                <a:srgbClr val="000000"/>
              </a:solidFill>
              <a:latin typeface="Tw Cen MT" pitchFamily="34" charset="0"/>
            </a:rPr>
            <a:t>In order to reformat or move the data around, you need to remove the data protection.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1" i="0" u="none" strike="noStrike" baseline="0">
              <a:solidFill>
                <a:srgbClr val="000000"/>
              </a:solidFill>
              <a:latin typeface="Tw Cen MT" pitchFamily="34" charset="0"/>
            </a:rPr>
            <a:t>Step 1: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In the "Name Box</a:t>
          </a:r>
          <a:r>
            <a:rPr lang="en-US" sz="1200" b="0" i="0" u="none" strike="noStrike" baseline="0">
              <a:solidFill>
                <a:srgbClr val="000000"/>
              </a:solidFill>
              <a:latin typeface="Tw Cen MT" pitchFamily="34" charset="0"/>
              <a:ea typeface="+mn-ea"/>
              <a:cs typeface="+mn-cs"/>
            </a:rPr>
            <a:t>" (Figure 8) in </a:t>
          </a:r>
          <a:r>
            <a:rPr lang="en-US" sz="1200" b="0" i="0" u="none" strike="noStrike" baseline="0">
              <a:solidFill>
                <a:srgbClr val="000000"/>
              </a:solidFill>
              <a:latin typeface="Tw Cen MT" pitchFamily="34" charset="0"/>
            </a:rPr>
            <a:t>the upper left hand corner select "Print Area".</a:t>
          </a:r>
        </a:p>
        <a:p>
          <a:pPr algn="l" rtl="0">
            <a:lnSpc>
              <a:spcPts val="1100"/>
            </a:lnSpc>
            <a:defRPr sz="1000"/>
          </a:pPr>
          <a:r>
            <a:rPr lang="en-US" sz="1200" b="0" i="0" u="none" strike="noStrike" baseline="0">
              <a:solidFill>
                <a:srgbClr val="000000"/>
              </a:solidFill>
              <a:latin typeface="Tw Cen MT" pitchFamily="34" charset="0"/>
            </a:rPr>
            <a:t>You now have the entire print area highlighted.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1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1" i="0" u="none" strike="noStrike" baseline="0">
            <a:solidFill>
              <a:srgbClr val="000000"/>
            </a:solidFill>
            <a:latin typeface="Eras Medium ITC"/>
          </a:endParaRPr>
        </a:p>
        <a:p>
          <a:pPr algn="l" rtl="0">
            <a:lnSpc>
              <a:spcPts val="11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0" i="0" u="none" strike="noStrike" baseline="0">
            <a:solidFill>
              <a:srgbClr val="000000"/>
            </a:solidFill>
            <a:latin typeface="Eras Medium ITC"/>
          </a:endParaRPr>
        </a:p>
        <a:p>
          <a:pPr algn="l" rtl="0">
            <a:lnSpc>
              <a:spcPts val="1100"/>
            </a:lnSpc>
            <a:defRPr sz="1000"/>
          </a:pPr>
          <a:endParaRPr lang="en-US" sz="1200" b="0" i="0" u="none" strike="noStrike" baseline="0">
            <a:solidFill>
              <a:srgbClr val="000000"/>
            </a:solidFill>
            <a:latin typeface="Eras Medium ITC"/>
          </a:endParaRPr>
        </a:p>
      </xdr:txBody>
    </xdr:sp>
    <xdr:clientData/>
  </xdr:twoCellAnchor>
  <xdr:twoCellAnchor editAs="oneCell">
    <xdr:from>
      <xdr:col>0</xdr:col>
      <xdr:colOff>0</xdr:colOff>
      <xdr:row>217</xdr:row>
      <xdr:rowOff>60024</xdr:rowOff>
    </xdr:from>
    <xdr:to>
      <xdr:col>9</xdr:col>
      <xdr:colOff>449097</xdr:colOff>
      <xdr:row>226</xdr:row>
      <xdr:rowOff>28575</xdr:rowOff>
    </xdr:to>
    <xdr:sp macro="" textlink="">
      <xdr:nvSpPr>
        <xdr:cNvPr id="109" name="Text Box 34"/>
        <xdr:cNvSpPr txBox="1">
          <a:spLocks noChangeArrowheads="1"/>
        </xdr:cNvSpPr>
      </xdr:nvSpPr>
      <xdr:spPr bwMode="auto">
        <a:xfrm>
          <a:off x="0" y="37950474"/>
          <a:ext cx="5249697" cy="1425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lnSpc>
              <a:spcPts val="1200"/>
            </a:lnSpc>
            <a:defRPr sz="1000"/>
          </a:pPr>
          <a:r>
            <a:rPr lang="en-US" sz="1200" b="1" i="0" u="none" strike="noStrike" baseline="0">
              <a:solidFill>
                <a:srgbClr val="000000"/>
              </a:solidFill>
              <a:latin typeface="Tw Cen MT" pitchFamily="34" charset="0"/>
            </a:rPr>
            <a:t>Step 3:</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Another pop up box will appear, select the "Settings" tab if it is not already selected (Figure 10).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Click "Clear All" located on the bottom left hand corner of this pop up box.</a:t>
          </a:r>
        </a:p>
        <a:p>
          <a:pPr algn="l" rtl="0">
            <a:lnSpc>
              <a:spcPts val="1200"/>
            </a:lnSpc>
            <a:defRPr sz="1000"/>
          </a:pPr>
          <a:r>
            <a:rPr lang="en-US" sz="1200" b="0" i="0" u="none" strike="noStrike" baseline="0">
              <a:solidFill>
                <a:srgbClr val="000000"/>
              </a:solidFill>
              <a:latin typeface="Tw Cen MT" pitchFamily="34" charset="0"/>
            </a:rPr>
            <a:t> </a:t>
          </a:r>
        </a:p>
        <a:p>
          <a:pPr algn="l" rtl="0">
            <a:lnSpc>
              <a:spcPts val="1200"/>
            </a:lnSpc>
            <a:defRPr sz="1000"/>
          </a:pPr>
          <a:r>
            <a:rPr lang="en-US" sz="1200" b="0" i="0" u="none" strike="noStrike" baseline="0">
              <a:solidFill>
                <a:srgbClr val="000000"/>
              </a:solidFill>
              <a:latin typeface="Tw Cen MT" pitchFamily="34" charset="0"/>
            </a:rPr>
            <a:t>You should now be able to move the data around and change formats.</a:t>
          </a:r>
        </a:p>
        <a:p>
          <a:pPr algn="l" rtl="0">
            <a:lnSpc>
              <a:spcPts val="1200"/>
            </a:lnSpc>
            <a:defRPr sz="1000"/>
          </a:pPr>
          <a:endParaRPr lang="en-US" sz="1200" b="0" i="0" u="none" strike="noStrike" baseline="0">
            <a:solidFill>
              <a:srgbClr val="000000"/>
            </a:solidFill>
            <a:latin typeface="Eras Medium ITC"/>
          </a:endParaRPr>
        </a:p>
        <a:p>
          <a:pPr algn="l" rtl="0">
            <a:lnSpc>
              <a:spcPts val="1100"/>
            </a:lnSpc>
            <a:defRPr sz="1000"/>
          </a:pPr>
          <a:endParaRPr lang="en-US" sz="1200" b="0" i="0" u="none" strike="noStrike" baseline="0">
            <a:solidFill>
              <a:srgbClr val="000000"/>
            </a:solidFill>
            <a:latin typeface="Eras Medium ITC"/>
          </a:endParaRPr>
        </a:p>
        <a:p>
          <a:pPr algn="l" rtl="0">
            <a:lnSpc>
              <a:spcPts val="1000"/>
            </a:lnSpc>
            <a:defRPr sz="1000"/>
          </a:pPr>
          <a:endParaRPr lang="en-US" sz="1200" b="0" i="0" u="none" strike="noStrike" baseline="0">
            <a:solidFill>
              <a:srgbClr val="000000"/>
            </a:solidFill>
            <a:latin typeface="Eras Medium ITC"/>
          </a:endParaRPr>
        </a:p>
      </xdr:txBody>
    </xdr:sp>
    <xdr:clientData/>
  </xdr:twoCellAnchor>
  <xdr:twoCellAnchor>
    <xdr:from>
      <xdr:col>0</xdr:col>
      <xdr:colOff>0</xdr:colOff>
      <xdr:row>198</xdr:row>
      <xdr:rowOff>11206</xdr:rowOff>
    </xdr:from>
    <xdr:to>
      <xdr:col>9</xdr:col>
      <xdr:colOff>478863</xdr:colOff>
      <xdr:row>215</xdr:row>
      <xdr:rowOff>143543</xdr:rowOff>
    </xdr:to>
    <xdr:grpSp>
      <xdr:nvGrpSpPr>
        <xdr:cNvPr id="120" name="Group 119"/>
        <xdr:cNvGrpSpPr/>
      </xdr:nvGrpSpPr>
      <xdr:grpSpPr>
        <a:xfrm>
          <a:off x="0" y="34825081"/>
          <a:ext cx="5279463" cy="2885062"/>
          <a:chOff x="0" y="25066974"/>
          <a:chExt cx="5328047" cy="2616618"/>
        </a:xfrm>
      </xdr:grpSpPr>
      <xdr:grpSp>
        <xdr:nvGrpSpPr>
          <xdr:cNvPr id="121" name="Group 120"/>
          <xdr:cNvGrpSpPr/>
        </xdr:nvGrpSpPr>
        <xdr:grpSpPr>
          <a:xfrm>
            <a:off x="5953" y="26277382"/>
            <a:ext cx="3386138" cy="1406210"/>
            <a:chOff x="5953" y="26277382"/>
            <a:chExt cx="3386138" cy="1406210"/>
          </a:xfrm>
        </xdr:grpSpPr>
        <xdr:pic>
          <xdr:nvPicPr>
            <xdr:cNvPr id="123" name="Picture 3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953" y="26501302"/>
              <a:ext cx="3386138" cy="1182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4" name="Text Box 44"/>
            <xdr:cNvSpPr txBox="1">
              <a:spLocks noChangeArrowheads="1"/>
            </xdr:cNvSpPr>
          </xdr:nvSpPr>
          <xdr:spPr bwMode="auto">
            <a:xfrm>
              <a:off x="5953" y="26277382"/>
              <a:ext cx="589728" cy="203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en-US" sz="1200" b="1" i="0" u="none" strike="noStrike" baseline="0">
                  <a:solidFill>
                    <a:srgbClr val="000000"/>
                  </a:solidFill>
                  <a:latin typeface="Tw Cen MT" pitchFamily="34" charset="0"/>
                </a:rPr>
                <a:t>Figure 9</a:t>
              </a:r>
              <a:r>
                <a:rPr lang="en-US" sz="1200" b="0" i="0" u="none" strike="noStrike" baseline="0">
                  <a:solidFill>
                    <a:srgbClr val="000000"/>
                  </a:solidFill>
                  <a:latin typeface="Eras Demi ITC"/>
                </a:rPr>
                <a:t>:</a:t>
              </a:r>
            </a:p>
          </xdr:txBody>
        </xdr:sp>
      </xdr:grpSp>
      <xdr:sp macro="" textlink="">
        <xdr:nvSpPr>
          <xdr:cNvPr id="122" name="TextBox 121"/>
          <xdr:cNvSpPr txBox="1"/>
        </xdr:nvSpPr>
        <xdr:spPr>
          <a:xfrm>
            <a:off x="0" y="25066974"/>
            <a:ext cx="5328047" cy="16001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a:r>
              <a:rPr lang="en-US" sz="1200" b="1" i="0" baseline="0">
                <a:solidFill>
                  <a:schemeClr val="tx1"/>
                </a:solidFill>
                <a:effectLst/>
                <a:latin typeface="Tw Cen MT" pitchFamily="34" charset="0"/>
                <a:ea typeface="+mn-ea"/>
                <a:cs typeface="+mn-cs"/>
              </a:rPr>
              <a:t>Step 2:</a:t>
            </a:r>
          </a:p>
          <a:p>
            <a:pPr rtl="0"/>
            <a:endParaRPr lang="en-US" sz="1200" b="0" i="0" baseline="0">
              <a:solidFill>
                <a:schemeClr val="tx1"/>
              </a:solidFill>
              <a:effectLst/>
              <a:latin typeface="Tw Cen MT" pitchFamily="34" charset="0"/>
              <a:ea typeface="+mn-ea"/>
              <a:cs typeface="+mn-cs"/>
            </a:endParaRPr>
          </a:p>
          <a:p>
            <a:pPr rtl="0"/>
            <a:r>
              <a:rPr lang="en-US" sz="1200" b="0" i="0" baseline="0">
                <a:solidFill>
                  <a:schemeClr val="tx1"/>
                </a:solidFill>
                <a:effectLst/>
                <a:latin typeface="Tw Cen MT" pitchFamily="34" charset="0"/>
                <a:ea typeface="+mn-ea"/>
                <a:cs typeface="+mn-cs"/>
              </a:rPr>
              <a:t>On the toolbar, click on "Data" tab, then select "Data Validation".</a:t>
            </a:r>
            <a:endParaRPr lang="en-US" sz="1200">
              <a:effectLst/>
              <a:latin typeface="Tw Cen MT" pitchFamily="34" charset="0"/>
            </a:endParaRPr>
          </a:p>
          <a:p>
            <a:pPr rtl="0"/>
            <a:r>
              <a:rPr lang="en-US" sz="1200" b="0" i="0" baseline="0">
                <a:solidFill>
                  <a:schemeClr val="tx1"/>
                </a:solidFill>
                <a:effectLst/>
                <a:latin typeface="Tw Cen MT" pitchFamily="34" charset="0"/>
                <a:ea typeface="+mn-ea"/>
                <a:cs typeface="+mn-cs"/>
              </a:rPr>
              <a:t>A pop-up window will appear to warn you that you have more than one type of validation (Figure 9).  </a:t>
            </a:r>
            <a:endParaRPr lang="en-US" sz="1200">
              <a:effectLst/>
              <a:latin typeface="Tw Cen MT" pitchFamily="34" charset="0"/>
            </a:endParaRPr>
          </a:p>
          <a:p>
            <a:pPr rtl="0"/>
            <a:endParaRPr lang="en-US" sz="1200" b="0" i="0" baseline="0">
              <a:solidFill>
                <a:schemeClr val="tx1"/>
              </a:solidFill>
              <a:effectLst/>
              <a:latin typeface="Tw Cen MT" pitchFamily="34" charset="0"/>
              <a:ea typeface="+mn-ea"/>
              <a:cs typeface="+mn-cs"/>
            </a:endParaRPr>
          </a:p>
          <a:p>
            <a:pPr rtl="0"/>
            <a:r>
              <a:rPr lang="en-US" sz="1200" b="0" i="0" baseline="0">
                <a:solidFill>
                  <a:schemeClr val="tx1"/>
                </a:solidFill>
                <a:effectLst/>
                <a:latin typeface="Tw Cen MT" pitchFamily="34" charset="0"/>
                <a:ea typeface="+mn-ea"/>
                <a:cs typeface="+mn-cs"/>
              </a:rPr>
              <a:t>Click "OK".</a:t>
            </a:r>
          </a:p>
          <a:p>
            <a:pPr rtl="0"/>
            <a:endParaRPr lang="en-US" sz="1200">
              <a:effectLst/>
              <a:latin typeface="Tw Cen MT" pitchFamily="34" charset="0"/>
            </a:endParaRPr>
          </a:p>
          <a:p>
            <a:endParaRPr lang="en-US" sz="1100"/>
          </a:p>
        </xdr:txBody>
      </xdr:sp>
    </xdr:grpSp>
    <xdr:clientData/>
  </xdr:twoCellAnchor>
  <xdr:twoCellAnchor>
    <xdr:from>
      <xdr:col>0</xdr:col>
      <xdr:colOff>11206</xdr:colOff>
      <xdr:row>226</xdr:row>
      <xdr:rowOff>102680</xdr:rowOff>
    </xdr:from>
    <xdr:to>
      <xdr:col>7</xdr:col>
      <xdr:colOff>94863</xdr:colOff>
      <xdr:row>242</xdr:row>
      <xdr:rowOff>94619</xdr:rowOff>
    </xdr:to>
    <xdr:grpSp>
      <xdr:nvGrpSpPr>
        <xdr:cNvPr id="125" name="Group 124"/>
        <xdr:cNvGrpSpPr/>
      </xdr:nvGrpSpPr>
      <xdr:grpSpPr>
        <a:xfrm>
          <a:off x="11206" y="39450455"/>
          <a:ext cx="3817457" cy="2582739"/>
          <a:chOff x="0" y="29223891"/>
          <a:chExt cx="3855244" cy="2494729"/>
        </a:xfrm>
      </xdr:grpSpPr>
      <xdr:pic>
        <xdr:nvPicPr>
          <xdr:cNvPr id="126" name="Picture 3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9458814"/>
            <a:ext cx="3855244" cy="2259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7" name="Text Box 44"/>
          <xdr:cNvSpPr txBox="1">
            <a:spLocks noChangeArrowheads="1"/>
          </xdr:cNvSpPr>
        </xdr:nvSpPr>
        <xdr:spPr bwMode="auto">
          <a:xfrm>
            <a:off x="53579" y="29223891"/>
            <a:ext cx="588816"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10</a:t>
            </a:r>
            <a:r>
              <a:rPr lang="en-US" sz="1200" b="0" i="0" u="none" strike="noStrike" baseline="0">
                <a:solidFill>
                  <a:srgbClr val="000000"/>
                </a:solidFill>
                <a:latin typeface="Eras Demi ITC"/>
              </a:rPr>
              <a:t>:</a:t>
            </a:r>
          </a:p>
        </xdr:txBody>
      </xdr:sp>
    </xdr:grpSp>
    <xdr:clientData/>
  </xdr:twoCellAnchor>
  <xdr:twoCellAnchor>
    <xdr:from>
      <xdr:col>0</xdr:col>
      <xdr:colOff>67236</xdr:colOff>
      <xdr:row>182</xdr:row>
      <xdr:rowOff>44823</xdr:rowOff>
    </xdr:from>
    <xdr:to>
      <xdr:col>9</xdr:col>
      <xdr:colOff>67236</xdr:colOff>
      <xdr:row>197</xdr:row>
      <xdr:rowOff>112059</xdr:rowOff>
    </xdr:to>
    <xdr:grpSp>
      <xdr:nvGrpSpPr>
        <xdr:cNvPr id="13" name="Group 12"/>
        <xdr:cNvGrpSpPr/>
      </xdr:nvGrpSpPr>
      <xdr:grpSpPr>
        <a:xfrm>
          <a:off x="67236" y="32267898"/>
          <a:ext cx="4800600" cy="2496111"/>
          <a:chOff x="67236" y="39982588"/>
          <a:chExt cx="4840941" cy="2420471"/>
        </a:xfrm>
      </xdr:grpSpPr>
      <xdr:pic>
        <xdr:nvPicPr>
          <xdr:cNvPr id="133" name="Picture 132"/>
          <xdr:cNvPicPr/>
        </xdr:nvPicPr>
        <xdr:blipFill rotWithShape="1">
          <a:blip xmlns:r="http://schemas.openxmlformats.org/officeDocument/2006/relationships" r:embed="rId10"/>
          <a:srcRect t="12711" r="44293" b="45561"/>
          <a:stretch/>
        </xdr:blipFill>
        <xdr:spPr bwMode="auto">
          <a:xfrm>
            <a:off x="67236" y="39982588"/>
            <a:ext cx="4840941" cy="2420471"/>
          </a:xfrm>
          <a:prstGeom prst="rect">
            <a:avLst/>
          </a:prstGeom>
          <a:ln>
            <a:noFill/>
          </a:ln>
          <a:extLst>
            <a:ext uri="{53640926-AAD7-44D8-BBD7-CCE9431645EC}">
              <a14:shadowObscured xmlns:a14="http://schemas.microsoft.com/office/drawing/2010/main"/>
            </a:ext>
          </a:extLst>
        </xdr:spPr>
      </xdr:pic>
      <xdr:cxnSp macro="">
        <xdr:nvCxnSpPr>
          <xdr:cNvPr id="134" name="Straight Arrow Connector 133"/>
          <xdr:cNvCxnSpPr/>
        </xdr:nvCxnSpPr>
        <xdr:spPr>
          <a:xfrm>
            <a:off x="1367118" y="40455816"/>
            <a:ext cx="443161" cy="0"/>
          </a:xfrm>
          <a:prstGeom prst="straightConnector1">
            <a:avLst/>
          </a:prstGeom>
          <a:ln w="2540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135" name="TextBox 134"/>
          <xdr:cNvSpPr txBox="1"/>
        </xdr:nvSpPr>
        <xdr:spPr>
          <a:xfrm>
            <a:off x="1790600" y="40307559"/>
            <a:ext cx="928552" cy="2635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Name Box</a:t>
            </a:r>
          </a:p>
        </xdr:txBody>
      </xdr:sp>
      <xdr:cxnSp macro="">
        <xdr:nvCxnSpPr>
          <xdr:cNvPr id="12" name="Straight Arrow Connector 11"/>
          <xdr:cNvCxnSpPr/>
        </xdr:nvCxnSpPr>
        <xdr:spPr>
          <a:xfrm flipH="1" flipV="1">
            <a:off x="1232647" y="40710971"/>
            <a:ext cx="224118" cy="123264"/>
          </a:xfrm>
          <a:prstGeom prst="straightConnector1">
            <a:avLst/>
          </a:prstGeom>
          <a:ln>
            <a:solidFill>
              <a:schemeClr val="tx1"/>
            </a:solidFill>
            <a:headEnd type="non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TextBox 141"/>
          <xdr:cNvSpPr txBox="1"/>
        </xdr:nvSpPr>
        <xdr:spPr>
          <a:xfrm>
            <a:off x="1423147" y="40677352"/>
            <a:ext cx="1380652" cy="267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Print Area</a:t>
            </a:r>
          </a:p>
        </xdr:txBody>
      </xdr:sp>
    </xdr:grpSp>
    <xdr:clientData/>
  </xdr:twoCellAnchor>
  <xdr:twoCellAnchor>
    <xdr:from>
      <xdr:col>0</xdr:col>
      <xdr:colOff>0</xdr:colOff>
      <xdr:row>180</xdr:row>
      <xdr:rowOff>0</xdr:rowOff>
    </xdr:from>
    <xdr:to>
      <xdr:col>1</xdr:col>
      <xdr:colOff>43973</xdr:colOff>
      <xdr:row>181</xdr:row>
      <xdr:rowOff>39327</xdr:rowOff>
    </xdr:to>
    <xdr:sp macro="" textlink="">
      <xdr:nvSpPr>
        <xdr:cNvPr id="144" name="Text Box 36"/>
        <xdr:cNvSpPr txBox="1">
          <a:spLocks noChangeArrowheads="1"/>
        </xdr:cNvSpPr>
      </xdr:nvSpPr>
      <xdr:spPr bwMode="auto">
        <a:xfrm>
          <a:off x="0" y="39971382"/>
          <a:ext cx="581855" cy="196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8</a:t>
          </a:r>
          <a:r>
            <a:rPr lang="en-US" sz="1200" b="0" i="0" u="none" strike="noStrike" baseline="0">
              <a:solidFill>
                <a:srgbClr val="000000"/>
              </a:solidFill>
              <a:latin typeface="Tw Cen MT" pitchFamily="34" charset="0"/>
            </a:rPr>
            <a:t>:</a:t>
          </a:r>
        </a:p>
      </xdr:txBody>
    </xdr:sp>
    <xdr:clientData/>
  </xdr:twoCellAnchor>
  <xdr:twoCellAnchor>
    <xdr:from>
      <xdr:col>6</xdr:col>
      <xdr:colOff>485775</xdr:colOff>
      <xdr:row>45</xdr:row>
      <xdr:rowOff>28575</xdr:rowOff>
    </xdr:from>
    <xdr:to>
      <xdr:col>7</xdr:col>
      <xdr:colOff>304800</xdr:colOff>
      <xdr:row>46</xdr:row>
      <xdr:rowOff>142875</xdr:rowOff>
    </xdr:to>
    <xdr:sp macro="" textlink="">
      <xdr:nvSpPr>
        <xdr:cNvPr id="58" name="Oval 57"/>
        <xdr:cNvSpPr/>
      </xdr:nvSpPr>
      <xdr:spPr>
        <a:xfrm>
          <a:off x="3686175" y="8982075"/>
          <a:ext cx="352425" cy="314325"/>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342900</xdr:colOff>
      <xdr:row>46</xdr:row>
      <xdr:rowOff>57150</xdr:rowOff>
    </xdr:from>
    <xdr:to>
      <xdr:col>8</xdr:col>
      <xdr:colOff>228600</xdr:colOff>
      <xdr:row>47</xdr:row>
      <xdr:rowOff>0</xdr:rowOff>
    </xdr:to>
    <xdr:cxnSp macro="">
      <xdr:nvCxnSpPr>
        <xdr:cNvPr id="9" name="Straight Arrow Connector 8"/>
        <xdr:cNvCxnSpPr/>
      </xdr:nvCxnSpPr>
      <xdr:spPr>
        <a:xfrm>
          <a:off x="4076700" y="9210675"/>
          <a:ext cx="419100" cy="142875"/>
        </a:xfrm>
        <a:prstGeom prst="straightConnector1">
          <a:avLst/>
        </a:prstGeom>
        <a:ln w="15875">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171450</xdr:colOff>
      <xdr:row>46</xdr:row>
      <xdr:rowOff>76200</xdr:rowOff>
    </xdr:from>
    <xdr:ext cx="539891" cy="352425"/>
    <xdr:sp macro="" textlink="">
      <xdr:nvSpPr>
        <xdr:cNvPr id="10" name="TextBox 9"/>
        <xdr:cNvSpPr txBox="1"/>
      </xdr:nvSpPr>
      <xdr:spPr>
        <a:xfrm>
          <a:off x="4438650" y="9229725"/>
          <a:ext cx="539891" cy="35242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Arrow</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274</xdr:row>
      <xdr:rowOff>136070</xdr:rowOff>
    </xdr:from>
    <xdr:to>
      <xdr:col>11</xdr:col>
      <xdr:colOff>428625</xdr:colOff>
      <xdr:row>299</xdr:row>
      <xdr:rowOff>57150</xdr:rowOff>
    </xdr:to>
    <xdr:sp macro="" textlink="">
      <xdr:nvSpPr>
        <xdr:cNvPr id="2072" name="Text Box 24"/>
        <xdr:cNvSpPr txBox="1">
          <a:spLocks noChangeArrowheads="1"/>
        </xdr:cNvSpPr>
      </xdr:nvSpPr>
      <xdr:spPr bwMode="auto">
        <a:xfrm>
          <a:off x="0" y="50342345"/>
          <a:ext cx="8305800" cy="396920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xtLst/>
      </xdr:spPr>
      <xdr:txBody>
        <a:bodyPr vertOverflow="clip" wrap="square" lIns="27432" tIns="22860" rIns="0" bIns="0" anchor="t" upright="1"/>
        <a:lstStyle/>
        <a:p>
          <a:pPr algn="l" rtl="0">
            <a:defRPr sz="1000"/>
          </a:pPr>
          <a:r>
            <a:rPr lang="en-US" sz="900" b="1" i="0" u="none" strike="noStrike" baseline="0">
              <a:solidFill>
                <a:srgbClr val="000000"/>
              </a:solidFill>
              <a:latin typeface="Tw Cen MT" pitchFamily="34" charset="0"/>
              <a:cs typeface="Times New Roman"/>
            </a:rPr>
            <a:t>Sources</a:t>
          </a:r>
        </a:p>
        <a:p>
          <a:pPr algn="l" rtl="0">
            <a:defRPr sz="1000"/>
          </a:pPr>
          <a:endParaRPr lang="en-US" sz="900" b="0" i="0" u="none" strike="noStrike" baseline="30000">
            <a:solidFill>
              <a:srgbClr val="000000"/>
            </a:solidFill>
            <a:latin typeface="Tw Cen MT" pitchFamily="34" charset="0"/>
            <a:cs typeface="Times New Roman"/>
          </a:endParaRPr>
        </a:p>
        <a:p>
          <a:pPr algn="l" rtl="0">
            <a:defRPr sz="1000"/>
          </a:pPr>
          <a:r>
            <a:rPr lang="en-US" sz="1000" b="0" i="0" u="none" strike="noStrike" baseline="30000">
              <a:solidFill>
                <a:srgbClr val="000000"/>
              </a:solidFill>
              <a:latin typeface="Tw Cen MT" pitchFamily="34" charset="0"/>
              <a:cs typeface="Times New Roman"/>
            </a:rPr>
            <a:t>1</a:t>
          </a:r>
          <a:r>
            <a:rPr lang="en-US" sz="1000" b="0" i="0" u="none" strike="noStrike" baseline="0">
              <a:solidFill>
                <a:srgbClr val="000000"/>
              </a:solidFill>
              <a:latin typeface="Tw Cen MT" pitchFamily="34" charset="0"/>
              <a:cs typeface="Times New Roman"/>
            </a:rPr>
            <a:t> US Census www.census.gov  Poverty estimates and median household income:  www.census.gov/hhes/www/saipe/county.html</a:t>
          </a:r>
        </a:p>
        <a:p>
          <a:pPr algn="l" rtl="0">
            <a:defRPr sz="1000"/>
          </a:pPr>
          <a:r>
            <a:rPr lang="en-US" sz="1000" b="0" i="0" u="none" strike="noStrike" baseline="30000">
              <a:solidFill>
                <a:srgbClr val="000000"/>
              </a:solidFill>
              <a:latin typeface="Tw Cen MT" pitchFamily="34" charset="0"/>
              <a:cs typeface="Times New Roman"/>
            </a:rPr>
            <a:t>2</a:t>
          </a:r>
          <a:r>
            <a:rPr lang="en-US" sz="1000" b="0" i="0" u="none" strike="noStrike" baseline="0">
              <a:solidFill>
                <a:srgbClr val="000000"/>
              </a:solidFill>
              <a:latin typeface="Tw Cen MT" pitchFamily="34" charset="0"/>
              <a:cs typeface="Times New Roman"/>
            </a:rPr>
            <a:t> Minnesota State Demographer, http://www.demography.state.mn.us/estimates.html and US Census www.census.gov</a:t>
          </a:r>
        </a:p>
        <a:p>
          <a:pPr algn="l" rtl="0">
            <a:defRPr sz="1000"/>
          </a:pPr>
          <a:r>
            <a:rPr lang="en-US" sz="1000" b="0" i="0" u="none" strike="noStrike" baseline="30000">
              <a:solidFill>
                <a:srgbClr val="000000"/>
              </a:solidFill>
              <a:latin typeface="Tw Cen MT" pitchFamily="34" charset="0"/>
              <a:cs typeface="Times New Roman"/>
            </a:rPr>
            <a:t>3</a:t>
          </a:r>
          <a:r>
            <a:rPr lang="en-US" sz="1000" b="0" i="0" u="none" strike="noStrike" baseline="0">
              <a:solidFill>
                <a:srgbClr val="000000"/>
              </a:solidFill>
              <a:latin typeface="Tw Cen MT" pitchFamily="34" charset="0"/>
              <a:cs typeface="Times New Roman"/>
            </a:rPr>
            <a:t>Minnesota Department of Employment and Economic Development, http://www.deed.state.mn.us/lmi/tools/laus.htm</a:t>
          </a:r>
        </a:p>
        <a:p>
          <a:pPr algn="l" rtl="0">
            <a:defRPr sz="1000"/>
          </a:pPr>
          <a:r>
            <a:rPr lang="en-US" sz="1000" b="0" i="0" u="none" strike="noStrike" baseline="30000">
              <a:solidFill>
                <a:srgbClr val="000000"/>
              </a:solidFill>
              <a:latin typeface="Tw Cen MT" pitchFamily="34" charset="0"/>
              <a:cs typeface="Times New Roman"/>
            </a:rPr>
            <a:t>4</a:t>
          </a:r>
          <a:r>
            <a:rPr lang="en-US" sz="1000" b="0" i="0" u="none" strike="noStrike" baseline="0">
              <a:solidFill>
                <a:srgbClr val="000000"/>
              </a:solidFill>
              <a:latin typeface="Tw Cen MT" pitchFamily="34" charset="0"/>
              <a:cs typeface="Times New Roman"/>
            </a:rPr>
            <a:t>Minnesota Department of Human Services</a:t>
          </a:r>
        </a:p>
        <a:p>
          <a:pPr algn="l" rtl="0">
            <a:defRPr sz="1000"/>
          </a:pPr>
          <a:r>
            <a:rPr lang="en-US" sz="1000" b="0" i="0" u="none" strike="noStrike" baseline="30000">
              <a:solidFill>
                <a:srgbClr val="000000"/>
              </a:solidFill>
              <a:latin typeface="Tw Cen MT" pitchFamily="34" charset="0"/>
              <a:cs typeface="Times New Roman"/>
            </a:rPr>
            <a:t>5</a:t>
          </a:r>
          <a:r>
            <a:rPr lang="en-US" sz="1000" b="0" i="0" u="none" strike="noStrike" baseline="0">
              <a:solidFill>
                <a:srgbClr val="000000"/>
              </a:solidFill>
              <a:latin typeface="Tw Cen MT" pitchFamily="34" charset="0"/>
              <a:cs typeface="Times New Roman"/>
            </a:rPr>
            <a:t> US Department of Commerce, Bureau of Economic Analysis, www.bea.gov/bea/regional/reis/</a:t>
          </a:r>
        </a:p>
        <a:p>
          <a:pPr algn="l" rtl="0">
            <a:defRPr sz="1000"/>
          </a:pPr>
          <a:r>
            <a:rPr lang="en-US" sz="1000" b="0" i="0" u="none" strike="noStrike" baseline="30000">
              <a:solidFill>
                <a:srgbClr val="000000"/>
              </a:solidFill>
              <a:latin typeface="Tw Cen MT" pitchFamily="34" charset="0"/>
              <a:cs typeface="Times New Roman"/>
            </a:rPr>
            <a:t>6</a:t>
          </a:r>
          <a:r>
            <a:rPr lang="en-US" sz="1000" b="0" i="0" u="none" strike="noStrike" baseline="0">
              <a:solidFill>
                <a:srgbClr val="000000"/>
              </a:solidFill>
              <a:latin typeface="Tw Cen MT" pitchFamily="34" charset="0"/>
              <a:cs typeface="Times New Roman"/>
            </a:rPr>
            <a:t> Minnesota Department of Education - www.education.state.mn.us/mde/Data/index.html</a:t>
          </a:r>
        </a:p>
        <a:p>
          <a:pPr algn="l" rtl="0">
            <a:defRPr sz="1000"/>
          </a:pPr>
          <a:r>
            <a:rPr lang="en-US" sz="1000" b="0" i="0" u="none" strike="noStrike" baseline="30000">
              <a:solidFill>
                <a:srgbClr val="000000"/>
              </a:solidFill>
              <a:latin typeface="Tw Cen MT" pitchFamily="34" charset="0"/>
              <a:cs typeface="Times New Roman"/>
            </a:rPr>
            <a:t>7</a:t>
          </a:r>
          <a:r>
            <a:rPr lang="en-US" sz="1000" b="0" i="0" u="none" strike="noStrike" baseline="0">
              <a:solidFill>
                <a:srgbClr val="000000"/>
              </a:solidFill>
              <a:latin typeface="Tw Cen MT" pitchFamily="34" charset="0"/>
              <a:cs typeface="Times New Roman"/>
            </a:rPr>
            <a:t> Minnesota Department of Health, Center for Health Statistics, www.health.state.mn.us/divs/chs </a:t>
          </a:r>
        </a:p>
        <a:p>
          <a:pPr algn="l" rtl="0">
            <a:defRPr sz="1000"/>
          </a:pPr>
          <a:r>
            <a:rPr lang="en-US" sz="1000" b="0" i="0" u="none" strike="noStrike" baseline="30000">
              <a:solidFill>
                <a:srgbClr val="000000"/>
              </a:solidFill>
              <a:latin typeface="Tw Cen MT" pitchFamily="34" charset="0"/>
              <a:cs typeface="Times New Roman"/>
            </a:rPr>
            <a:t>8</a:t>
          </a:r>
          <a:r>
            <a:rPr lang="en-US" sz="1000" b="0" i="0" u="none" strike="noStrike" baseline="0">
              <a:solidFill>
                <a:srgbClr val="000000"/>
              </a:solidFill>
              <a:latin typeface="Tw Cen MT" pitchFamily="34" charset="0"/>
              <a:cs typeface="Times New Roman"/>
            </a:rPr>
            <a:t> Minnesota Department of Health, Center for Health Statistics, linked birth/death cohort</a:t>
          </a: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For more detailed data on births and deaths in Minnesota go to the Minnesota Vital Statistics Interactive Queries Website:</a:t>
          </a:r>
        </a:p>
        <a:p>
          <a:pPr algn="l" rtl="0">
            <a:defRPr sz="1000"/>
          </a:pPr>
          <a:r>
            <a:rPr lang="en-US" sz="1000" b="0" i="0" u="none" strike="noStrike" baseline="0">
              <a:solidFill>
                <a:srgbClr val="000000"/>
              </a:solidFill>
              <a:latin typeface="Tw Cen MT" pitchFamily="34" charset="0"/>
              <a:cs typeface="Times New Roman"/>
            </a:rPr>
            <a:t>https://pqc.health.state.mn.us/mhsq/index.jsp</a:t>
          </a: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1" i="0" u="none" strike="noStrike" baseline="0">
              <a:solidFill>
                <a:srgbClr val="000000"/>
              </a:solidFill>
              <a:latin typeface="Tw Cen MT" pitchFamily="34" charset="0"/>
              <a:cs typeface="Times New Roman"/>
            </a:rPr>
            <a:t>Definitions</a:t>
          </a: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Number of Households: The number of occupied houses, apartments, or other separate living quarters, in which the occupants live and eat separately from other persons in the building and to which they have direct access from outside the building or through a common hall.  </a:t>
          </a: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1" i="0" u="none" strike="noStrike" baseline="0">
              <a:solidFill>
                <a:srgbClr val="C00000"/>
              </a:solidFill>
              <a:latin typeface="Tw Cen MT" pitchFamily="34" charset="0"/>
              <a:cs typeface="Times New Roman"/>
            </a:rPr>
            <a:t>Per capita and median household income are adjusted to 2011 dollars using CPI from the Bureau of Labor and Statistics, www.bls.gov/cpi/.  For unadjusted data, go the the Minnesota Public Health Data Access Network, population statistics, https://apps.health.state.mn.us/mndata/</a:t>
          </a: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PreKindergarten to 12th Grade Enrollment: Students who were enrolled over October 1 of the school year. Excluded from the counts are shared-time students, adult students, and students attending in other states or nonpublic schools for care and treatment purposes. Dual enrolled students are counted only once.</a:t>
          </a:r>
        </a:p>
        <a:p>
          <a:pPr algn="l" rtl="0">
            <a:defRPr sz="1000"/>
          </a:pPr>
          <a:endParaRPr lang="en-US" sz="1000" b="0" i="0" u="none" strike="noStrike" baseline="0">
            <a:solidFill>
              <a:srgbClr val="000000"/>
            </a:solidFill>
            <a:latin typeface="Tw Cen MT" pitchFamily="34" charset="0"/>
            <a:cs typeface="Times New Roman"/>
          </a:endParaRPr>
        </a:p>
        <a:p>
          <a:r>
            <a:rPr lang="en-US" sz="1000">
              <a:effectLst/>
              <a:latin typeface="Tw Cen MT" pitchFamily="34" charset="0"/>
              <a:ea typeface="+mn-ea"/>
              <a:cs typeface="Times New Roman" pitchFamily="18" charset="0"/>
            </a:rPr>
            <a:t>The Four-Year Graduation Rate is a four-year, on-time graduation rate based on a cohort of first time ninth grade students plus transfers into the cohort within the four year period minus transfers out of the cohort within the four year period. </a:t>
          </a:r>
          <a:endParaRPr lang="en-US" sz="1000">
            <a:effectLst/>
            <a:latin typeface="Tw Cen MT" pitchFamily="34" charset="0"/>
            <a:cs typeface="Times New Roman" pitchFamily="18" charset="0"/>
          </a:endParaRP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Infant Deaths:  Deaths to infants under 1 year of age.</a:t>
          </a: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Age Adjusted Death Rate:  Adjusted to the 2000 US Standard Population for more information how to calculate go to: </a:t>
          </a:r>
          <a:r>
            <a:rPr lang="en-US" sz="1000" b="0" i="0" u="sng" strike="noStrike" baseline="0">
              <a:solidFill>
                <a:srgbClr val="000000"/>
              </a:solidFill>
              <a:latin typeface="Tw Cen MT" pitchFamily="34" charset="0"/>
              <a:cs typeface="Times New Roman"/>
            </a:rPr>
            <a:t>http://www.cdc.gov/nchs/data/statnt/statnt06rv.pdf</a:t>
          </a:r>
          <a:endParaRPr lang="en-US" sz="1000" b="0" i="0" u="none" strike="noStrike" baseline="0">
            <a:solidFill>
              <a:srgbClr val="000000"/>
            </a:solidFill>
            <a:latin typeface="Tw Cen MT" pitchFamily="34" charset="0"/>
            <a:cs typeface="Times New Roman"/>
          </a:endParaRP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ICD 10 Codes:  Cancer (C00-C97), Heart Disease (I00-I09, I11, I13, I20-I51), Stroke (I60-I69) and Unintentional Injury (V01-X59, Y85-Y86)</a:t>
          </a:r>
        </a:p>
        <a:p>
          <a:pPr algn="l" rtl="0">
            <a:defRPr sz="1000"/>
          </a:pPr>
          <a:endParaRPr lang="en-US" sz="1000" b="0" i="0" u="none" strike="noStrike" baseline="0">
            <a:solidFill>
              <a:srgbClr val="000000"/>
            </a:solidFill>
            <a:latin typeface="Tw Cen MT" pitchFamily="34" charset="0"/>
            <a:cs typeface="Times New Roman"/>
          </a:endParaRPr>
        </a:p>
      </xdr:txBody>
    </xdr:sp>
    <xdr:clientData/>
  </xdr:twoCellAnchor>
  <xdr:twoCellAnchor>
    <xdr:from>
      <xdr:col>0</xdr:col>
      <xdr:colOff>0</xdr:colOff>
      <xdr:row>308</xdr:row>
      <xdr:rowOff>120902</xdr:rowOff>
    </xdr:from>
    <xdr:to>
      <xdr:col>0</xdr:col>
      <xdr:colOff>1032101</xdr:colOff>
      <xdr:row>312</xdr:row>
      <xdr:rowOff>111378</xdr:rowOff>
    </xdr:to>
    <xdr:pic>
      <xdr:nvPicPr>
        <xdr:cNvPr id="2329" name="Picture 25" descr="logob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5832627"/>
          <a:ext cx="1032101" cy="63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solidFill>
          <a:headEnd type="triangle"/>
          <a:tailEnd type="non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althstats@health.state.mn.us" TargetMode="External"/><Relationship Id="rId1" Type="http://schemas.openxmlformats.org/officeDocument/2006/relationships/hyperlink" Target="http://www.health.state.mn.us/divs/chs/top_2.ht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ealthstats@state.mn.us" TargetMode="External"/><Relationship Id="rId1" Type="http://schemas.openxmlformats.org/officeDocument/2006/relationships/hyperlink" Target="http://www.health.state.mn.us/divs/chs"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R178"/>
  <sheetViews>
    <sheetView topLeftCell="A89" zoomScale="160" zoomScaleNormal="160" workbookViewId="0">
      <selection activeCell="B91" sqref="B91:B110"/>
    </sheetView>
  </sheetViews>
  <sheetFormatPr defaultRowHeight="12.75" x14ac:dyDescent="0.2"/>
  <cols>
    <col min="1" max="1" width="26.6640625" style="37" customWidth="1"/>
    <col min="2" max="2" width="46.83203125" style="37" customWidth="1"/>
    <col min="3" max="7" width="16.6640625" style="89" customWidth="1"/>
    <col min="8" max="184" width="16.6640625" style="42" customWidth="1"/>
    <col min="185" max="234" width="16.6640625" style="37" customWidth="1"/>
    <col min="235" max="16384" width="9.33203125" style="37"/>
  </cols>
  <sheetData>
    <row r="1" spans="1:252" s="38" customFormat="1" ht="30" customHeight="1" x14ac:dyDescent="0.2">
      <c r="B1" s="85"/>
      <c r="C1" s="177" t="s">
        <v>0</v>
      </c>
      <c r="D1" s="177"/>
      <c r="E1" s="177"/>
      <c r="F1" s="177"/>
      <c r="G1" s="177"/>
      <c r="H1" s="173" t="s">
        <v>452</v>
      </c>
      <c r="I1" s="173"/>
      <c r="J1" s="173"/>
      <c r="K1" s="173"/>
      <c r="L1" s="173"/>
      <c r="M1" s="172" t="s">
        <v>442</v>
      </c>
      <c r="N1" s="172"/>
      <c r="O1" s="172"/>
      <c r="P1" s="172"/>
      <c r="Q1" s="172"/>
      <c r="R1" s="173" t="s">
        <v>1</v>
      </c>
      <c r="S1" s="173"/>
      <c r="T1" s="173"/>
      <c r="U1" s="173"/>
      <c r="V1" s="173"/>
      <c r="W1" s="172" t="s">
        <v>40</v>
      </c>
      <c r="X1" s="172"/>
      <c r="Y1" s="172"/>
      <c r="Z1" s="172"/>
      <c r="AA1" s="172"/>
      <c r="AB1" s="173" t="s">
        <v>41</v>
      </c>
      <c r="AC1" s="173"/>
      <c r="AD1" s="173"/>
      <c r="AE1" s="173"/>
      <c r="AF1" s="173"/>
      <c r="AG1" s="172" t="s">
        <v>5</v>
      </c>
      <c r="AH1" s="172"/>
      <c r="AI1" s="172"/>
      <c r="AJ1" s="172"/>
      <c r="AK1" s="172"/>
      <c r="AL1" s="173" t="s">
        <v>6</v>
      </c>
      <c r="AM1" s="173"/>
      <c r="AN1" s="173"/>
      <c r="AO1" s="173"/>
      <c r="AP1" s="173"/>
      <c r="AQ1" s="172" t="s">
        <v>443</v>
      </c>
      <c r="AR1" s="172"/>
      <c r="AS1" s="172"/>
      <c r="AT1" s="172"/>
      <c r="AU1" s="172"/>
      <c r="AV1" s="173" t="s">
        <v>4</v>
      </c>
      <c r="AW1" s="173"/>
      <c r="AX1" s="173"/>
      <c r="AY1" s="173"/>
      <c r="AZ1" s="173"/>
      <c r="BA1" s="172" t="s">
        <v>2</v>
      </c>
      <c r="BB1" s="172"/>
      <c r="BC1" s="172"/>
      <c r="BD1" s="172"/>
      <c r="BE1" s="172"/>
      <c r="BF1" s="173" t="s">
        <v>3</v>
      </c>
      <c r="BG1" s="173"/>
      <c r="BH1" s="173"/>
      <c r="BI1" s="173"/>
      <c r="BJ1" s="173"/>
      <c r="BK1" s="172" t="s">
        <v>7</v>
      </c>
      <c r="BL1" s="172"/>
      <c r="BM1" s="172"/>
      <c r="BN1" s="172"/>
      <c r="BO1" s="173" t="s">
        <v>8</v>
      </c>
      <c r="BP1" s="173"/>
      <c r="BQ1" s="173"/>
      <c r="BR1" s="173"/>
      <c r="BS1" s="172" t="s">
        <v>9</v>
      </c>
      <c r="BT1" s="172"/>
      <c r="BU1" s="172"/>
      <c r="BV1" s="172"/>
      <c r="BW1" s="173" t="s">
        <v>10</v>
      </c>
      <c r="BX1" s="173"/>
      <c r="BY1" s="173"/>
      <c r="BZ1" s="173"/>
      <c r="CA1" s="172" t="s">
        <v>162</v>
      </c>
      <c r="CB1" s="172"/>
      <c r="CC1" s="172"/>
      <c r="CD1" s="172"/>
      <c r="CE1" s="173" t="s">
        <v>189</v>
      </c>
      <c r="CF1" s="173"/>
      <c r="CG1" s="173"/>
      <c r="CH1" s="173"/>
      <c r="CI1" s="172" t="s">
        <v>11</v>
      </c>
      <c r="CJ1" s="172"/>
      <c r="CK1" s="172"/>
      <c r="CL1" s="172"/>
      <c r="CM1" s="174" t="s">
        <v>12</v>
      </c>
      <c r="CN1" s="174"/>
      <c r="CO1" s="174"/>
      <c r="CP1" s="174"/>
      <c r="CQ1" s="175" t="s">
        <v>444</v>
      </c>
      <c r="CR1" s="175"/>
      <c r="CS1" s="175"/>
      <c r="CT1" s="175"/>
      <c r="CU1" s="174" t="s">
        <v>42</v>
      </c>
      <c r="CV1" s="174"/>
      <c r="CW1" s="174"/>
      <c r="CX1" s="174"/>
      <c r="CY1" s="175" t="s">
        <v>448</v>
      </c>
      <c r="CZ1" s="175"/>
      <c r="DA1" s="175"/>
      <c r="DB1" s="175"/>
      <c r="DC1" s="176" t="s">
        <v>447</v>
      </c>
      <c r="DD1" s="176"/>
      <c r="DE1" s="176"/>
      <c r="DF1" s="176"/>
      <c r="DG1" s="175" t="s">
        <v>13</v>
      </c>
      <c r="DH1" s="175"/>
      <c r="DI1" s="175"/>
      <c r="DJ1" s="175"/>
      <c r="DK1" s="173" t="s">
        <v>184</v>
      </c>
      <c r="DL1" s="173"/>
      <c r="DM1" s="173"/>
      <c r="DN1" s="173"/>
      <c r="DO1" s="172" t="s">
        <v>14</v>
      </c>
      <c r="DP1" s="172"/>
      <c r="DQ1" s="172"/>
      <c r="DR1" s="172"/>
      <c r="DS1" s="173" t="s">
        <v>445</v>
      </c>
      <c r="DT1" s="173"/>
      <c r="DU1" s="173"/>
      <c r="DV1" s="173"/>
      <c r="DW1" s="172" t="s">
        <v>446</v>
      </c>
      <c r="DX1" s="172"/>
      <c r="DY1" s="172"/>
      <c r="DZ1" s="172"/>
      <c r="EA1" s="172"/>
      <c r="EB1" s="174" t="s">
        <v>15</v>
      </c>
      <c r="EC1" s="174"/>
      <c r="ED1" s="174"/>
      <c r="EE1" s="174"/>
      <c r="EF1" s="172" t="s">
        <v>16</v>
      </c>
      <c r="EG1" s="172"/>
      <c r="EH1" s="172"/>
      <c r="EI1" s="172"/>
      <c r="EJ1" s="176" t="s">
        <v>458</v>
      </c>
      <c r="EK1" s="176"/>
      <c r="EL1" s="176"/>
      <c r="EM1" s="176"/>
      <c r="EN1" s="176"/>
      <c r="EO1" s="172" t="s">
        <v>17</v>
      </c>
      <c r="EP1" s="172"/>
      <c r="EQ1" s="172"/>
      <c r="ER1" s="172"/>
      <c r="ES1" s="173" t="s">
        <v>18</v>
      </c>
      <c r="ET1" s="173"/>
      <c r="EU1" s="173"/>
      <c r="EV1" s="173"/>
      <c r="EW1" s="172" t="s">
        <v>27</v>
      </c>
      <c r="EX1" s="172"/>
      <c r="EY1" s="172"/>
      <c r="EZ1" s="172"/>
      <c r="FA1" s="173" t="s">
        <v>28</v>
      </c>
      <c r="FB1" s="173"/>
      <c r="FC1" s="173"/>
      <c r="FD1" s="173"/>
      <c r="FE1" s="172" t="s">
        <v>20</v>
      </c>
      <c r="FF1" s="172"/>
      <c r="FG1" s="172"/>
      <c r="FH1" s="172"/>
      <c r="FI1" s="173" t="s">
        <v>24</v>
      </c>
      <c r="FJ1" s="173"/>
      <c r="FK1" s="173"/>
      <c r="FL1" s="173"/>
      <c r="FM1" s="172" t="s">
        <v>19</v>
      </c>
      <c r="FN1" s="172"/>
      <c r="FO1" s="172"/>
      <c r="FP1" s="172"/>
      <c r="FQ1" s="173" t="s">
        <v>23</v>
      </c>
      <c r="FR1" s="173"/>
      <c r="FS1" s="173"/>
      <c r="FT1" s="173"/>
      <c r="FU1" s="172" t="s">
        <v>21</v>
      </c>
      <c r="FV1" s="172"/>
      <c r="FW1" s="172"/>
      <c r="FX1" s="172"/>
      <c r="FY1" s="173" t="s">
        <v>25</v>
      </c>
      <c r="FZ1" s="173"/>
      <c r="GA1" s="173"/>
      <c r="GB1" s="173"/>
      <c r="GC1" s="172" t="s">
        <v>22</v>
      </c>
      <c r="GD1" s="172"/>
      <c r="GE1" s="172"/>
      <c r="GF1" s="172"/>
      <c r="GG1" s="173" t="s">
        <v>26</v>
      </c>
      <c r="GH1" s="173"/>
      <c r="GI1" s="173"/>
      <c r="GJ1" s="173"/>
      <c r="GK1" s="87" t="s">
        <v>451</v>
      </c>
      <c r="GL1" s="87"/>
      <c r="GM1" s="87"/>
      <c r="GN1" s="87"/>
      <c r="GO1" s="87"/>
      <c r="GP1" s="87"/>
      <c r="GQ1" s="87"/>
      <c r="GR1" s="87"/>
      <c r="GS1" s="87"/>
      <c r="GT1" s="87"/>
      <c r="GU1" s="87"/>
      <c r="GV1" s="87"/>
      <c r="GW1" s="87"/>
      <c r="GX1" s="87"/>
      <c r="GY1" s="171"/>
      <c r="GZ1" s="171"/>
      <c r="HA1" s="171"/>
      <c r="HB1" s="171"/>
      <c r="HC1" s="171"/>
      <c r="HD1" s="87"/>
      <c r="HE1" s="87"/>
      <c r="HF1" s="87"/>
      <c r="HG1" s="87"/>
      <c r="HH1" s="87"/>
      <c r="HI1" s="87"/>
      <c r="HJ1" s="87"/>
      <c r="HK1" s="87"/>
      <c r="HL1" s="87"/>
      <c r="HM1" s="87"/>
      <c r="HN1" s="87"/>
      <c r="HO1" s="87"/>
      <c r="HP1" s="87"/>
      <c r="HQ1" s="87"/>
      <c r="HR1" s="87"/>
      <c r="HS1" s="87"/>
      <c r="HT1" s="87"/>
      <c r="HU1" s="87"/>
      <c r="HV1" s="87"/>
      <c r="HW1" s="87"/>
      <c r="HX1" s="87"/>
      <c r="HY1" s="87"/>
    </row>
    <row r="2" spans="1:252" s="38" customFormat="1" ht="15" customHeight="1" x14ac:dyDescent="0.2">
      <c r="A2" s="38" t="s">
        <v>30</v>
      </c>
      <c r="B2" s="85" t="s">
        <v>31</v>
      </c>
      <c r="C2" s="89">
        <v>2007</v>
      </c>
      <c r="D2" s="89">
        <v>2008</v>
      </c>
      <c r="E2" s="89">
        <v>2009</v>
      </c>
      <c r="F2" s="89">
        <v>2010</v>
      </c>
      <c r="G2" s="89">
        <v>2011</v>
      </c>
      <c r="H2" s="42" t="s">
        <v>32</v>
      </c>
      <c r="I2" s="42" t="s">
        <v>33</v>
      </c>
      <c r="J2" s="42" t="s">
        <v>34</v>
      </c>
      <c r="K2" s="42" t="s">
        <v>35</v>
      </c>
      <c r="L2" s="42" t="s">
        <v>36</v>
      </c>
      <c r="M2" s="42">
        <v>2007</v>
      </c>
      <c r="N2" s="42">
        <v>2008</v>
      </c>
      <c r="O2" s="42">
        <v>2009</v>
      </c>
      <c r="P2" s="42">
        <v>2010</v>
      </c>
      <c r="Q2" s="42">
        <v>2011</v>
      </c>
      <c r="R2" s="42">
        <v>2007</v>
      </c>
      <c r="S2" s="42">
        <v>2008</v>
      </c>
      <c r="T2" s="42">
        <v>2009</v>
      </c>
      <c r="U2" s="42">
        <v>2010</v>
      </c>
      <c r="V2" s="42">
        <v>2011</v>
      </c>
      <c r="W2" s="42">
        <v>2007</v>
      </c>
      <c r="X2" s="42">
        <v>2008</v>
      </c>
      <c r="Y2" s="42">
        <v>2009</v>
      </c>
      <c r="Z2" s="42">
        <v>2010</v>
      </c>
      <c r="AA2" s="42">
        <v>2011</v>
      </c>
      <c r="AB2" s="42">
        <v>2007</v>
      </c>
      <c r="AC2" s="42">
        <v>2008</v>
      </c>
      <c r="AD2" s="42">
        <v>2009</v>
      </c>
      <c r="AE2" s="42">
        <v>2010</v>
      </c>
      <c r="AF2" s="42">
        <v>2011</v>
      </c>
      <c r="AG2" s="42">
        <v>2007</v>
      </c>
      <c r="AH2" s="42">
        <v>2008</v>
      </c>
      <c r="AI2" s="42">
        <v>2009</v>
      </c>
      <c r="AJ2" s="42">
        <v>2010</v>
      </c>
      <c r="AK2" s="42">
        <v>2011</v>
      </c>
      <c r="AL2" s="42">
        <v>2007</v>
      </c>
      <c r="AM2" s="42">
        <v>2008</v>
      </c>
      <c r="AN2" s="42">
        <v>2009</v>
      </c>
      <c r="AO2" s="42">
        <v>2010</v>
      </c>
      <c r="AP2" s="42">
        <v>2011</v>
      </c>
      <c r="AQ2" s="42">
        <v>2007</v>
      </c>
      <c r="AR2" s="42">
        <v>2008</v>
      </c>
      <c r="AS2" s="42">
        <v>2009</v>
      </c>
      <c r="AT2" s="42">
        <v>2010</v>
      </c>
      <c r="AU2" s="42">
        <v>2011</v>
      </c>
      <c r="AV2" s="42">
        <v>2007</v>
      </c>
      <c r="AW2" s="42">
        <v>2008</v>
      </c>
      <c r="AX2" s="42">
        <v>2009</v>
      </c>
      <c r="AY2" s="42">
        <v>2010</v>
      </c>
      <c r="AZ2" s="42">
        <v>2011</v>
      </c>
      <c r="BA2" s="42">
        <v>2007</v>
      </c>
      <c r="BB2" s="42">
        <v>2008</v>
      </c>
      <c r="BC2" s="42">
        <v>2009</v>
      </c>
      <c r="BD2" s="42">
        <v>2010</v>
      </c>
      <c r="BE2" s="42">
        <v>2011</v>
      </c>
      <c r="BF2" s="42">
        <v>2007</v>
      </c>
      <c r="BG2" s="42">
        <v>2008</v>
      </c>
      <c r="BH2" s="42">
        <v>2009</v>
      </c>
      <c r="BI2" s="42">
        <v>2010</v>
      </c>
      <c r="BJ2" s="42">
        <v>2011</v>
      </c>
      <c r="BK2" s="42" t="s">
        <v>157</v>
      </c>
      <c r="BL2" s="42" t="s">
        <v>159</v>
      </c>
      <c r="BM2" s="42" t="s">
        <v>160</v>
      </c>
      <c r="BN2" s="42" t="s">
        <v>453</v>
      </c>
      <c r="BO2" s="42" t="s">
        <v>157</v>
      </c>
      <c r="BP2" s="42" t="s">
        <v>159</v>
      </c>
      <c r="BQ2" s="42" t="s">
        <v>160</v>
      </c>
      <c r="BR2" s="42" t="s">
        <v>453</v>
      </c>
      <c r="BS2" s="42" t="s">
        <v>157</v>
      </c>
      <c r="BT2" s="42" t="s">
        <v>159</v>
      </c>
      <c r="BU2" s="42" t="s">
        <v>160</v>
      </c>
      <c r="BV2" s="42" t="s">
        <v>453</v>
      </c>
      <c r="BW2" s="42" t="s">
        <v>157</v>
      </c>
      <c r="BX2" s="42" t="s">
        <v>159</v>
      </c>
      <c r="BY2" s="42" t="s">
        <v>160</v>
      </c>
      <c r="BZ2" s="42" t="s">
        <v>453</v>
      </c>
      <c r="CA2" s="42" t="s">
        <v>157</v>
      </c>
      <c r="CB2" s="42" t="s">
        <v>159</v>
      </c>
      <c r="CC2" s="42" t="s">
        <v>160</v>
      </c>
      <c r="CD2" s="42" t="s">
        <v>453</v>
      </c>
      <c r="CE2" s="42" t="s">
        <v>157</v>
      </c>
      <c r="CF2" s="42" t="s">
        <v>159</v>
      </c>
      <c r="CG2" s="42" t="s">
        <v>160</v>
      </c>
      <c r="CH2" s="42" t="s">
        <v>453</v>
      </c>
      <c r="CI2" s="57" t="s">
        <v>455</v>
      </c>
      <c r="CJ2" s="57" t="s">
        <v>456</v>
      </c>
      <c r="CK2" s="57" t="s">
        <v>457</v>
      </c>
      <c r="CL2" s="57" t="s">
        <v>454</v>
      </c>
      <c r="CM2" s="57" t="s">
        <v>455</v>
      </c>
      <c r="CN2" s="57" t="s">
        <v>456</v>
      </c>
      <c r="CO2" s="57" t="s">
        <v>457</v>
      </c>
      <c r="CP2" s="57" t="s">
        <v>454</v>
      </c>
      <c r="CQ2" s="57" t="s">
        <v>455</v>
      </c>
      <c r="CR2" s="57" t="s">
        <v>456</v>
      </c>
      <c r="CS2" s="57" t="s">
        <v>457</v>
      </c>
      <c r="CT2" s="57" t="s">
        <v>454</v>
      </c>
      <c r="CU2" s="57" t="s">
        <v>455</v>
      </c>
      <c r="CV2" s="57" t="s">
        <v>456</v>
      </c>
      <c r="CW2" s="57" t="s">
        <v>457</v>
      </c>
      <c r="CX2" s="57" t="s">
        <v>454</v>
      </c>
      <c r="CY2" s="57" t="s">
        <v>455</v>
      </c>
      <c r="CZ2" s="57" t="s">
        <v>456</v>
      </c>
      <c r="DA2" s="57" t="s">
        <v>457</v>
      </c>
      <c r="DB2" s="57" t="s">
        <v>454</v>
      </c>
      <c r="DC2" s="57" t="s">
        <v>455</v>
      </c>
      <c r="DD2" s="57" t="s">
        <v>456</v>
      </c>
      <c r="DE2" s="57" t="s">
        <v>457</v>
      </c>
      <c r="DF2" s="57" t="s">
        <v>454</v>
      </c>
      <c r="DG2" s="57" t="s">
        <v>455</v>
      </c>
      <c r="DH2" s="57" t="s">
        <v>456</v>
      </c>
      <c r="DI2" s="57" t="s">
        <v>457</v>
      </c>
      <c r="DJ2" s="57" t="s">
        <v>454</v>
      </c>
      <c r="DK2" s="57" t="s">
        <v>455</v>
      </c>
      <c r="DL2" s="57" t="s">
        <v>456</v>
      </c>
      <c r="DM2" s="57" t="s">
        <v>457</v>
      </c>
      <c r="DN2" s="57" t="s">
        <v>454</v>
      </c>
      <c r="DO2" s="57" t="s">
        <v>455</v>
      </c>
      <c r="DP2" s="57" t="s">
        <v>456</v>
      </c>
      <c r="DQ2" s="57" t="s">
        <v>457</v>
      </c>
      <c r="DR2" s="57" t="s">
        <v>454</v>
      </c>
      <c r="DS2" s="57" t="s">
        <v>455</v>
      </c>
      <c r="DT2" s="57" t="s">
        <v>456</v>
      </c>
      <c r="DU2" s="57" t="s">
        <v>457</v>
      </c>
      <c r="DV2" s="57" t="s">
        <v>454</v>
      </c>
      <c r="DW2" s="42" t="s">
        <v>32</v>
      </c>
      <c r="DX2" s="42" t="s">
        <v>37</v>
      </c>
      <c r="DY2" s="40" t="s">
        <v>38</v>
      </c>
      <c r="DZ2" s="40" t="s">
        <v>35</v>
      </c>
      <c r="EA2" s="40" t="s">
        <v>449</v>
      </c>
      <c r="EB2" s="57" t="s">
        <v>185</v>
      </c>
      <c r="EC2" s="57" t="s">
        <v>186</v>
      </c>
      <c r="ED2" s="57" t="s">
        <v>187</v>
      </c>
      <c r="EE2" s="57" t="s">
        <v>188</v>
      </c>
      <c r="EF2" s="57" t="s">
        <v>455</v>
      </c>
      <c r="EG2" s="57" t="s">
        <v>456</v>
      </c>
      <c r="EH2" s="57" t="s">
        <v>457</v>
      </c>
      <c r="EI2" s="57" t="s">
        <v>454</v>
      </c>
      <c r="EJ2" s="40" t="s">
        <v>32</v>
      </c>
      <c r="EK2" s="40" t="s">
        <v>37</v>
      </c>
      <c r="EL2" s="40" t="s">
        <v>38</v>
      </c>
      <c r="EM2" s="40" t="s">
        <v>450</v>
      </c>
      <c r="EN2" s="40" t="s">
        <v>36</v>
      </c>
      <c r="EO2" s="57" t="s">
        <v>455</v>
      </c>
      <c r="EP2" s="57" t="s">
        <v>456</v>
      </c>
      <c r="EQ2" s="57" t="s">
        <v>457</v>
      </c>
      <c r="ER2" s="57" t="s">
        <v>454</v>
      </c>
      <c r="ES2" s="57" t="s">
        <v>455</v>
      </c>
      <c r="ET2" s="57" t="s">
        <v>456</v>
      </c>
      <c r="EU2" s="57" t="s">
        <v>457</v>
      </c>
      <c r="EV2" s="57" t="s">
        <v>454</v>
      </c>
      <c r="EW2" s="57" t="s">
        <v>455</v>
      </c>
      <c r="EX2" s="57" t="s">
        <v>456</v>
      </c>
      <c r="EY2" s="57" t="s">
        <v>457</v>
      </c>
      <c r="EZ2" s="57" t="s">
        <v>454</v>
      </c>
      <c r="FA2" s="57" t="s">
        <v>455</v>
      </c>
      <c r="FB2" s="57" t="s">
        <v>456</v>
      </c>
      <c r="FC2" s="57" t="s">
        <v>457</v>
      </c>
      <c r="FD2" s="57" t="s">
        <v>454</v>
      </c>
      <c r="FE2" s="57" t="s">
        <v>455</v>
      </c>
      <c r="FF2" s="57" t="s">
        <v>456</v>
      </c>
      <c r="FG2" s="57" t="s">
        <v>457</v>
      </c>
      <c r="FH2" s="57" t="s">
        <v>454</v>
      </c>
      <c r="FI2" s="57" t="s">
        <v>455</v>
      </c>
      <c r="FJ2" s="57" t="s">
        <v>456</v>
      </c>
      <c r="FK2" s="57" t="s">
        <v>457</v>
      </c>
      <c r="FL2" s="57" t="s">
        <v>454</v>
      </c>
      <c r="FM2" s="57" t="s">
        <v>455</v>
      </c>
      <c r="FN2" s="57" t="s">
        <v>456</v>
      </c>
      <c r="FO2" s="57" t="s">
        <v>457</v>
      </c>
      <c r="FP2" s="57" t="s">
        <v>454</v>
      </c>
      <c r="FQ2" s="57" t="s">
        <v>455</v>
      </c>
      <c r="FR2" s="57" t="s">
        <v>456</v>
      </c>
      <c r="FS2" s="57" t="s">
        <v>457</v>
      </c>
      <c r="FT2" s="57" t="s">
        <v>454</v>
      </c>
      <c r="FU2" s="57" t="s">
        <v>455</v>
      </c>
      <c r="FV2" s="57" t="s">
        <v>456</v>
      </c>
      <c r="FW2" s="57" t="s">
        <v>457</v>
      </c>
      <c r="FX2" s="57" t="s">
        <v>454</v>
      </c>
      <c r="FY2" s="57" t="s">
        <v>455</v>
      </c>
      <c r="FZ2" s="57" t="s">
        <v>456</v>
      </c>
      <c r="GA2" s="57" t="s">
        <v>457</v>
      </c>
      <c r="GB2" s="57" t="s">
        <v>454</v>
      </c>
      <c r="GC2" s="57" t="s">
        <v>455</v>
      </c>
      <c r="GD2" s="57" t="s">
        <v>456</v>
      </c>
      <c r="GE2" s="57" t="s">
        <v>457</v>
      </c>
      <c r="GF2" s="57" t="s">
        <v>454</v>
      </c>
      <c r="GG2" s="57" t="s">
        <v>455</v>
      </c>
      <c r="GH2" s="57" t="s">
        <v>456</v>
      </c>
      <c r="GI2" s="57" t="s">
        <v>457</v>
      </c>
      <c r="GJ2" s="57" t="s">
        <v>454</v>
      </c>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c r="HO2" s="87"/>
      <c r="HP2" s="87"/>
      <c r="HQ2" s="87"/>
      <c r="HR2" s="87"/>
      <c r="HS2" s="87"/>
      <c r="HT2" s="87"/>
      <c r="HU2" s="87"/>
      <c r="HV2" s="87"/>
      <c r="HW2" s="87"/>
      <c r="HX2" s="87"/>
      <c r="HY2" s="87"/>
    </row>
    <row r="3" spans="1:252" x14ac:dyDescent="0.2">
      <c r="A3" s="37">
        <v>0</v>
      </c>
      <c r="B3" s="86" t="s">
        <v>29</v>
      </c>
      <c r="C3" s="93">
        <v>5197621</v>
      </c>
      <c r="D3" s="93">
        <v>5220393</v>
      </c>
      <c r="E3" s="93">
        <v>5266214</v>
      </c>
      <c r="F3" s="93">
        <v>5303925</v>
      </c>
      <c r="G3" s="93">
        <v>5344861</v>
      </c>
      <c r="H3" s="43">
        <v>4645546</v>
      </c>
      <c r="I3" s="43">
        <v>286301</v>
      </c>
      <c r="J3" s="43">
        <v>68412</v>
      </c>
      <c r="K3" s="43">
        <v>228506</v>
      </c>
      <c r="L3" s="43">
        <v>259297</v>
      </c>
      <c r="M3" s="43">
        <v>2080877</v>
      </c>
      <c r="N3" s="43">
        <v>2095574</v>
      </c>
      <c r="O3" s="43">
        <v>2108843</v>
      </c>
      <c r="P3" s="43">
        <v>2087227</v>
      </c>
      <c r="Q3" s="43">
        <v>2101295</v>
      </c>
      <c r="R3" s="104">
        <v>18.04227264529024</v>
      </c>
      <c r="S3" s="104">
        <v>18.405817030301797</v>
      </c>
      <c r="T3" s="104">
        <v>18.90554594234591</v>
      </c>
      <c r="U3" s="104">
        <v>19.202697908766517</v>
      </c>
      <c r="V3" s="104">
        <v>19.592109307625496</v>
      </c>
      <c r="W3" s="104">
        <v>29.355616104577891</v>
      </c>
      <c r="X3" s="104">
        <v>29.300242876124123</v>
      </c>
      <c r="Y3" s="104">
        <v>29.458821686574556</v>
      </c>
      <c r="Z3" s="104">
        <v>29.891927356383359</v>
      </c>
      <c r="AA3" s="104">
        <v>29.626864692420845</v>
      </c>
      <c r="AB3" s="104">
        <v>47.39788874986813</v>
      </c>
      <c r="AC3" s="104">
        <v>47.706059906425921</v>
      </c>
      <c r="AD3" s="104">
        <v>48.364367628920469</v>
      </c>
      <c r="AE3" s="104">
        <v>49.094625265149872</v>
      </c>
      <c r="AF3" s="104">
        <v>49.218974000046344</v>
      </c>
      <c r="AG3" s="46">
        <v>4.5999999999999996</v>
      </c>
      <c r="AH3" s="46">
        <v>5.4</v>
      </c>
      <c r="AI3" s="46">
        <v>8.1</v>
      </c>
      <c r="AJ3" s="46">
        <v>7.3</v>
      </c>
      <c r="AK3" s="46">
        <v>6.4</v>
      </c>
      <c r="AL3" s="43">
        <v>126086.41666666667</v>
      </c>
      <c r="AM3" s="43">
        <v>134859.24999999997</v>
      </c>
      <c r="AN3" s="43">
        <v>169710.66666666669</v>
      </c>
      <c r="AO3" s="43">
        <v>134859.24999999997</v>
      </c>
      <c r="AP3" s="43">
        <v>237131.91666666669</v>
      </c>
      <c r="AQ3" s="43">
        <v>45176.550155979414</v>
      </c>
      <c r="AR3" s="43">
        <v>45411.790826107353</v>
      </c>
      <c r="AS3" s="43">
        <v>42935.940007852143</v>
      </c>
      <c r="AT3" s="43">
        <v>43870.692385097878</v>
      </c>
      <c r="AU3" s="43">
        <v>44559.7610489777</v>
      </c>
      <c r="AV3" s="101">
        <v>60388.172661592922</v>
      </c>
      <c r="AW3" s="101">
        <v>59883.297501660454</v>
      </c>
      <c r="AX3" s="101">
        <v>58317.829180980429</v>
      </c>
      <c r="AY3" s="101">
        <v>57171.41127967128</v>
      </c>
      <c r="AZ3" s="101">
        <v>56944</v>
      </c>
      <c r="BA3" s="47">
        <v>9.4998192127147938</v>
      </c>
      <c r="BB3" s="47">
        <v>9.62031204909146</v>
      </c>
      <c r="BC3" s="47">
        <v>10.873109199822638</v>
      </c>
      <c r="BD3" s="47">
        <v>11.47544174337067</v>
      </c>
      <c r="BE3" s="47">
        <v>11.81764463946117</v>
      </c>
      <c r="BF3" s="47">
        <v>11.941743194622052</v>
      </c>
      <c r="BG3" s="47">
        <v>11.402595156967484</v>
      </c>
      <c r="BH3" s="47">
        <v>13.880229458334476</v>
      </c>
      <c r="BI3" s="47">
        <v>15.017250168944953</v>
      </c>
      <c r="BJ3" s="47">
        <v>15.262407516987487</v>
      </c>
      <c r="BK3" s="43">
        <v>835934</v>
      </c>
      <c r="BL3" s="43">
        <v>836630</v>
      </c>
      <c r="BM3" s="43">
        <v>837640</v>
      </c>
      <c r="BN3" s="43">
        <v>839426</v>
      </c>
      <c r="BO3" s="46">
        <v>32.727823009950548</v>
      </c>
      <c r="BP3" s="46">
        <v>35.487132902238741</v>
      </c>
      <c r="BQ3" s="46">
        <v>36.566305334033714</v>
      </c>
      <c r="BR3" s="46">
        <v>37.152887806667891</v>
      </c>
      <c r="BS3" s="104">
        <v>7.6293104479540252</v>
      </c>
      <c r="BT3" s="104">
        <v>7.5757503316878427</v>
      </c>
      <c r="BU3" s="104">
        <v>7.6561530012893364</v>
      </c>
      <c r="BV3" s="104">
        <v>7.6984749102362802</v>
      </c>
      <c r="BW3" s="46">
        <v>14.437503439266736</v>
      </c>
      <c r="BX3" s="46">
        <v>14.608488818235061</v>
      </c>
      <c r="BY3" s="46">
        <v>14.839071677570317</v>
      </c>
      <c r="BZ3" s="46">
        <v>14.906853016227755</v>
      </c>
      <c r="CA3" s="46">
        <v>74.807048791019</v>
      </c>
      <c r="CB3" s="46">
        <v>75.848097788765273</v>
      </c>
      <c r="CC3" s="46">
        <v>76.821750059683467</v>
      </c>
      <c r="CD3" s="46">
        <v>77.55</v>
      </c>
      <c r="CE3" s="46">
        <v>5.5389140759930919</v>
      </c>
      <c r="CF3" s="46">
        <v>4.8605960719681365</v>
      </c>
      <c r="CG3" s="46">
        <v>4.7760816750691628</v>
      </c>
      <c r="CH3" s="43">
        <v>5.07</v>
      </c>
      <c r="CI3" s="43">
        <v>321455</v>
      </c>
      <c r="CJ3" s="43">
        <v>329719</v>
      </c>
      <c r="CK3" s="43">
        <v>353139</v>
      </c>
      <c r="CL3" s="43">
        <v>353497</v>
      </c>
      <c r="CM3" s="46">
        <v>14.071164799426533</v>
      </c>
      <c r="CN3" s="46">
        <v>13.686687153312365</v>
      </c>
      <c r="CO3" s="46">
        <v>13.859483963726307</v>
      </c>
      <c r="CP3" s="46">
        <v>13.424099497307829</v>
      </c>
      <c r="CQ3" s="43">
        <v>13574</v>
      </c>
      <c r="CR3" s="43">
        <v>14290</v>
      </c>
      <c r="CS3" s="43">
        <v>16325</v>
      </c>
      <c r="CT3" s="43">
        <v>16394</v>
      </c>
      <c r="CU3" s="46">
        <v>4.3425127325774833</v>
      </c>
      <c r="CV3" s="46">
        <v>4.4853324293615069</v>
      </c>
      <c r="CW3" s="46">
        <v>4.7904244330719754</v>
      </c>
      <c r="CX3" s="46">
        <v>4.8115048793014896</v>
      </c>
      <c r="CY3" s="43">
        <v>20902</v>
      </c>
      <c r="CZ3" s="43">
        <v>21242</v>
      </c>
      <c r="DA3" s="43">
        <v>25199</v>
      </c>
      <c r="DB3" s="43">
        <v>24336</v>
      </c>
      <c r="DC3" s="46">
        <v>7.293956715032488</v>
      </c>
      <c r="DD3" s="46">
        <v>7.492319684533908</v>
      </c>
      <c r="DE3" s="46">
        <v>8.2936462224562675</v>
      </c>
      <c r="DF3" s="46">
        <v>8.0110606359865688</v>
      </c>
      <c r="DG3" s="46">
        <v>82.994400044201626</v>
      </c>
      <c r="DH3" s="46">
        <v>84.532739478026826</v>
      </c>
      <c r="DI3" s="46">
        <v>86.217288290588641</v>
      </c>
      <c r="DJ3" s="46">
        <v>85.665889702385499</v>
      </c>
      <c r="DK3" s="46">
        <v>13.985204519966684</v>
      </c>
      <c r="DL3" s="46">
        <v>11.886255369757784</v>
      </c>
      <c r="DM3" s="46">
        <v>9.8083711548159354</v>
      </c>
      <c r="DN3" s="46">
        <v>10.735990551433911</v>
      </c>
      <c r="DO3" s="46">
        <v>23.859319434116657</v>
      </c>
      <c r="DP3" s="46">
        <v>25.610999199087445</v>
      </c>
      <c r="DQ3" s="46">
        <v>29.134444878789424</v>
      </c>
      <c r="DR3" s="46">
        <v>33.097063176093421</v>
      </c>
      <c r="DS3" s="46">
        <v>33.801495967958921</v>
      </c>
      <c r="DT3" s="46">
        <v>29.871641151674538</v>
      </c>
      <c r="DU3" s="46">
        <v>26.954764766333977</v>
      </c>
      <c r="DV3" s="46">
        <v>24.347275875849206</v>
      </c>
      <c r="DW3" s="43">
        <v>52253</v>
      </c>
      <c r="DX3" s="43">
        <v>6553</v>
      </c>
      <c r="DY3" s="43">
        <v>1447</v>
      </c>
      <c r="DZ3" s="43">
        <v>5000</v>
      </c>
      <c r="EA3" s="43">
        <v>4615</v>
      </c>
      <c r="EB3" s="43">
        <v>2340</v>
      </c>
      <c r="EC3" s="43">
        <v>1990</v>
      </c>
      <c r="ED3" s="43">
        <v>1728</v>
      </c>
      <c r="EE3" s="43">
        <v>1836</v>
      </c>
      <c r="EF3" s="43">
        <v>182322</v>
      </c>
      <c r="EG3" s="43">
        <v>187603</v>
      </c>
      <c r="EH3" s="43">
        <v>187513</v>
      </c>
      <c r="EI3" s="43">
        <v>191974</v>
      </c>
      <c r="EJ3" s="115">
        <v>37701</v>
      </c>
      <c r="EK3" s="115">
        <v>993</v>
      </c>
      <c r="EL3" s="115">
        <v>463</v>
      </c>
      <c r="EM3" s="115">
        <v>480</v>
      </c>
      <c r="EN3" s="115">
        <v>333</v>
      </c>
      <c r="EO3" s="46">
        <v>798.08461792818423</v>
      </c>
      <c r="EP3" s="46">
        <v>778.74298115148338</v>
      </c>
      <c r="EQ3" s="46">
        <v>735.92364946670034</v>
      </c>
      <c r="ER3" s="46">
        <v>729.02403044330583</v>
      </c>
      <c r="ES3" s="46">
        <v>809.24057080447051</v>
      </c>
      <c r="ET3" s="46">
        <v>769.43265499160134</v>
      </c>
      <c r="EU3" s="46">
        <v>699.27117514248425</v>
      </c>
      <c r="EV3" s="46">
        <v>659.84203314950912</v>
      </c>
      <c r="EW3" s="46">
        <v>1026.5721464023275</v>
      </c>
      <c r="EX3" s="46">
        <v>944.68510620289362</v>
      </c>
      <c r="EY3" s="46">
        <v>840.61622085021668</v>
      </c>
      <c r="EZ3" s="46">
        <v>787.75222980419483</v>
      </c>
      <c r="FA3" s="46">
        <v>656.29479804144853</v>
      </c>
      <c r="FB3" s="46">
        <v>641.75206595754128</v>
      </c>
      <c r="FC3" s="46">
        <v>591.85620890568509</v>
      </c>
      <c r="FD3" s="46">
        <v>559.95102198814061</v>
      </c>
      <c r="FE3" s="43">
        <v>43001</v>
      </c>
      <c r="FF3" s="43">
        <v>44505</v>
      </c>
      <c r="FG3" s="43">
        <v>45364</v>
      </c>
      <c r="FH3" s="43">
        <v>47249</v>
      </c>
      <c r="FI3" s="46">
        <v>195.73250360071066</v>
      </c>
      <c r="FJ3" s="46">
        <v>188.51582785692867</v>
      </c>
      <c r="FK3" s="46">
        <v>175.91790554089704</v>
      </c>
      <c r="FL3" s="46">
        <v>167.40671013110492</v>
      </c>
      <c r="FM3" s="43">
        <v>51358</v>
      </c>
      <c r="FN3" s="43">
        <v>45945</v>
      </c>
      <c r="FO3" s="43">
        <v>40060</v>
      </c>
      <c r="FP3" s="43">
        <v>35467</v>
      </c>
      <c r="FQ3" s="46">
        <v>227.78569064368006</v>
      </c>
      <c r="FR3" s="46">
        <v>187.03809246271766</v>
      </c>
      <c r="FS3" s="46">
        <v>146.87324427333328</v>
      </c>
      <c r="FT3" s="46">
        <v>119.44828638351943</v>
      </c>
      <c r="FU3" s="43">
        <v>14889</v>
      </c>
      <c r="FV3" s="43">
        <v>14294</v>
      </c>
      <c r="FW3" s="43">
        <v>12374</v>
      </c>
      <c r="FX3" s="43">
        <v>10409</v>
      </c>
      <c r="FY3" s="46">
        <v>65.107022978255316</v>
      </c>
      <c r="FZ3" s="46">
        <v>57.35616825348599</v>
      </c>
      <c r="GA3" s="46">
        <v>45.060093717209739</v>
      </c>
      <c r="GB3" s="46">
        <v>35.03754929493536</v>
      </c>
      <c r="GC3" s="39">
        <v>7645</v>
      </c>
      <c r="GD3" s="39">
        <v>8614</v>
      </c>
      <c r="GE3" s="39">
        <v>9500</v>
      </c>
      <c r="GF3" s="39">
        <v>10492</v>
      </c>
      <c r="GG3" s="111">
        <v>33.142461162791385</v>
      </c>
      <c r="GH3" s="111">
        <v>34.890846206213695</v>
      </c>
      <c r="GI3" s="111">
        <v>35.354923234734287</v>
      </c>
      <c r="GJ3" s="111">
        <v>36.850445687301963</v>
      </c>
      <c r="GK3" s="88">
        <v>191</v>
      </c>
      <c r="GL3" s="88">
        <v>192</v>
      </c>
      <c r="GM3" s="88">
        <v>193</v>
      </c>
      <c r="GN3" s="88">
        <v>194</v>
      </c>
      <c r="GO3" s="88">
        <v>195</v>
      </c>
      <c r="GP3" s="88">
        <v>196</v>
      </c>
      <c r="GQ3" s="88">
        <v>197</v>
      </c>
      <c r="GR3" s="88">
        <v>198</v>
      </c>
      <c r="GS3" s="88">
        <v>199</v>
      </c>
      <c r="GT3" s="88">
        <v>200</v>
      </c>
      <c r="GU3" s="88">
        <v>201</v>
      </c>
      <c r="GV3" s="88">
        <v>202</v>
      </c>
      <c r="GW3" s="88">
        <v>203</v>
      </c>
      <c r="GX3" s="88">
        <v>204</v>
      </c>
      <c r="GY3" s="88">
        <v>205</v>
      </c>
      <c r="GZ3" s="88">
        <v>206</v>
      </c>
      <c r="HA3" s="88">
        <v>207</v>
      </c>
      <c r="HB3" s="88">
        <v>208</v>
      </c>
      <c r="HC3" s="88">
        <v>209</v>
      </c>
      <c r="HD3" s="88">
        <v>210</v>
      </c>
      <c r="HE3" s="88">
        <v>211</v>
      </c>
      <c r="HF3" s="88">
        <v>212</v>
      </c>
      <c r="HG3" s="88">
        <v>213</v>
      </c>
      <c r="HH3" s="88">
        <v>214</v>
      </c>
      <c r="HI3" s="88">
        <v>215</v>
      </c>
      <c r="HJ3" s="88">
        <v>216</v>
      </c>
      <c r="HK3" s="88">
        <v>217</v>
      </c>
      <c r="HL3" s="88">
        <v>218</v>
      </c>
      <c r="HM3" s="88">
        <v>219</v>
      </c>
      <c r="HN3" s="88">
        <v>220</v>
      </c>
      <c r="HO3" s="88">
        <v>221</v>
      </c>
      <c r="HP3" s="88">
        <v>222</v>
      </c>
      <c r="HQ3" s="88">
        <v>223</v>
      </c>
      <c r="HR3" s="88">
        <v>224</v>
      </c>
      <c r="HS3" s="88">
        <v>225</v>
      </c>
      <c r="HT3" s="88">
        <v>226</v>
      </c>
      <c r="HU3" s="88">
        <v>227</v>
      </c>
      <c r="HV3" s="88">
        <v>228</v>
      </c>
      <c r="HW3" s="88">
        <v>229</v>
      </c>
      <c r="HX3" s="88">
        <v>230</v>
      </c>
      <c r="HY3" s="88">
        <v>231</v>
      </c>
    </row>
    <row r="4" spans="1:252" x14ac:dyDescent="0.2">
      <c r="A4" s="37">
        <v>1</v>
      </c>
      <c r="B4" s="86" t="s">
        <v>60</v>
      </c>
      <c r="C4" s="93">
        <v>15910</v>
      </c>
      <c r="D4" s="93">
        <v>15736</v>
      </c>
      <c r="E4" s="93">
        <v>15646</v>
      </c>
      <c r="F4" s="93">
        <v>16202</v>
      </c>
      <c r="G4" s="93">
        <v>16220</v>
      </c>
      <c r="H4" s="43">
        <v>15510</v>
      </c>
      <c r="I4" s="43">
        <v>67</v>
      </c>
      <c r="J4" s="43">
        <v>395</v>
      </c>
      <c r="K4" s="43">
        <v>35</v>
      </c>
      <c r="L4" s="43">
        <v>183</v>
      </c>
      <c r="M4" s="43">
        <v>7203</v>
      </c>
      <c r="N4" s="43">
        <v>7235</v>
      </c>
      <c r="O4" s="43">
        <v>7111</v>
      </c>
      <c r="P4" s="43">
        <v>7299</v>
      </c>
      <c r="Q4" s="43">
        <v>7330</v>
      </c>
      <c r="R4" s="104">
        <v>41.350698456044533</v>
      </c>
      <c r="S4" s="104">
        <v>43.128623577410352</v>
      </c>
      <c r="T4" s="104">
        <v>47.0562341806977</v>
      </c>
      <c r="U4" s="104">
        <v>46.936821952776008</v>
      </c>
      <c r="V4" s="104">
        <v>47.896922585454156</v>
      </c>
      <c r="W4" s="104">
        <v>25.753597311206807</v>
      </c>
      <c r="X4" s="104">
        <v>25.821344213012669</v>
      </c>
      <c r="Y4" s="104">
        <v>25.123803235391218</v>
      </c>
      <c r="Z4" s="104">
        <v>25.388215273346095</v>
      </c>
      <c r="AA4" s="104">
        <v>24.821637738260037</v>
      </c>
      <c r="AB4" s="104">
        <v>67.104295767251344</v>
      </c>
      <c r="AC4" s="104">
        <v>68.949967790423017</v>
      </c>
      <c r="AD4" s="104">
        <v>72.180037416088922</v>
      </c>
      <c r="AE4" s="104">
        <v>72.325037226122106</v>
      </c>
      <c r="AF4" s="104">
        <v>72.7185603237142</v>
      </c>
      <c r="AG4" s="46">
        <v>6.8943215625404219</v>
      </c>
      <c r="AH4" s="46">
        <v>8.0036321183032815</v>
      </c>
      <c r="AI4" s="46">
        <v>10.670967741935485</v>
      </c>
      <c r="AJ4" s="46">
        <v>9.9540380827314507</v>
      </c>
      <c r="AK4" s="46">
        <v>9.1648879402347916</v>
      </c>
      <c r="AL4" s="43">
        <v>476.75</v>
      </c>
      <c r="AM4" s="43">
        <v>542.83333333333337</v>
      </c>
      <c r="AN4" s="43">
        <v>712.58333333333337</v>
      </c>
      <c r="AO4" s="43">
        <v>542.83333333333337</v>
      </c>
      <c r="AP4" s="43">
        <v>933.75</v>
      </c>
      <c r="AQ4" s="43">
        <v>29638.967569453227</v>
      </c>
      <c r="AR4" s="43">
        <v>30539.154630573561</v>
      </c>
      <c r="AS4" s="43">
        <v>30367.178793925614</v>
      </c>
      <c r="AT4" s="43">
        <v>30756.771082044357</v>
      </c>
      <c r="AU4" s="43">
        <v>30948.705302096179</v>
      </c>
      <c r="AV4" s="101">
        <v>41886.80918482507</v>
      </c>
      <c r="AW4" s="101">
        <v>41455.899453328566</v>
      </c>
      <c r="AX4" s="101">
        <v>40811.261628530272</v>
      </c>
      <c r="AY4" s="101">
        <v>39865.872042044248</v>
      </c>
      <c r="AZ4" s="101">
        <v>39958</v>
      </c>
      <c r="BA4" s="47">
        <v>13.39969372128637</v>
      </c>
      <c r="BB4" s="47">
        <v>13.92258064516129</v>
      </c>
      <c r="BC4" s="47">
        <v>14.972741433021806</v>
      </c>
      <c r="BD4" s="47">
        <v>13.103448275862069</v>
      </c>
      <c r="BE4" s="47">
        <v>13.153446440868967</v>
      </c>
      <c r="BF4" s="47">
        <v>21.944632005401754</v>
      </c>
      <c r="BG4" s="47">
        <v>22.566219470244238</v>
      </c>
      <c r="BH4" s="47">
        <v>23.943148688046648</v>
      </c>
      <c r="BI4" s="47">
        <v>24.08120406020301</v>
      </c>
      <c r="BJ4" s="47">
        <v>22.889842632331902</v>
      </c>
      <c r="BK4" s="43">
        <v>2013</v>
      </c>
      <c r="BL4" s="43">
        <v>2018</v>
      </c>
      <c r="BM4" s="43">
        <v>2034</v>
      </c>
      <c r="BN4" s="43">
        <v>1984</v>
      </c>
      <c r="BO4" s="46">
        <v>47.938400397416792</v>
      </c>
      <c r="BP4" s="46">
        <v>51.387512388503467</v>
      </c>
      <c r="BQ4" s="46">
        <v>51.474926253687315</v>
      </c>
      <c r="BR4" s="46">
        <v>51.5625</v>
      </c>
      <c r="BS4" s="104">
        <v>9.9354197714853459E-2</v>
      </c>
      <c r="BT4" s="104">
        <v>0.14866204162537167</v>
      </c>
      <c r="BU4" s="104">
        <v>9.8328416912487712E-2</v>
      </c>
      <c r="BV4" s="104">
        <v>5.040322580645161E-2</v>
      </c>
      <c r="BW4" s="46">
        <v>15.648286140089418</v>
      </c>
      <c r="BX4" s="46">
        <v>17.244796828543112</v>
      </c>
      <c r="BY4" s="46">
        <v>17.502458210422812</v>
      </c>
      <c r="BZ4" s="46">
        <v>16.683467741935484</v>
      </c>
      <c r="CA4" s="46">
        <v>81.05263157894737</v>
      </c>
      <c r="CB4" s="46">
        <v>81.012658227848107</v>
      </c>
      <c r="CC4" s="46">
        <v>85.05747126436782</v>
      </c>
      <c r="CD4" s="46">
        <v>75.430000000000007</v>
      </c>
      <c r="CE4" s="46">
        <v>3.6842105263157894</v>
      </c>
      <c r="CF4" s="46">
        <v>5.0632911392405067</v>
      </c>
      <c r="CG4" s="46">
        <v>6.3218390804597702</v>
      </c>
      <c r="CH4" s="46">
        <v>8</v>
      </c>
      <c r="CI4" s="43">
        <v>685</v>
      </c>
      <c r="CJ4" s="43">
        <v>692</v>
      </c>
      <c r="CK4" s="43">
        <v>763</v>
      </c>
      <c r="CL4" s="43">
        <v>689</v>
      </c>
      <c r="CM4" s="46">
        <v>10.384452125401735</v>
      </c>
      <c r="CN4" s="46">
        <v>9.4864694431497281</v>
      </c>
      <c r="CO4" s="46">
        <v>9.5818158985307047</v>
      </c>
      <c r="CP4" s="46">
        <v>8.6434001555561135</v>
      </c>
      <c r="CQ4" s="43">
        <v>27</v>
      </c>
      <c r="CR4" s="43">
        <v>21</v>
      </c>
      <c r="CS4" s="43">
        <v>31</v>
      </c>
      <c r="CT4" s="43">
        <v>33</v>
      </c>
      <c r="CU4" s="46">
        <v>4.0298507462686564</v>
      </c>
      <c r="CV4" s="46">
        <v>3.1157270029673589</v>
      </c>
      <c r="CW4" s="46">
        <v>4.1610738255033555</v>
      </c>
      <c r="CX4" s="46">
        <v>4.8458149779735686</v>
      </c>
      <c r="CY4" s="43">
        <v>34</v>
      </c>
      <c r="CZ4" s="43">
        <v>49</v>
      </c>
      <c r="DA4" s="43">
        <v>53</v>
      </c>
      <c r="DB4" s="43">
        <v>45</v>
      </c>
      <c r="DC4" s="46">
        <v>5.802047781569966</v>
      </c>
      <c r="DD4" s="46">
        <v>7.7901430842607313</v>
      </c>
      <c r="DE4" s="46">
        <v>8.1664098613251159</v>
      </c>
      <c r="DF4" s="46">
        <v>7.4013157894736841</v>
      </c>
      <c r="DG4" s="46">
        <v>81.141045958795559</v>
      </c>
      <c r="DH4" s="46">
        <v>87.537537537537531</v>
      </c>
      <c r="DI4" s="46">
        <v>86.327077747989279</v>
      </c>
      <c r="DJ4" s="46">
        <v>85.7566765578635</v>
      </c>
      <c r="DK4" s="46">
        <v>26.403641881638848</v>
      </c>
      <c r="DL4" s="46">
        <v>26.151560178306092</v>
      </c>
      <c r="DM4" s="46">
        <v>29.679144385026738</v>
      </c>
      <c r="DN4" s="46">
        <v>29.289940828402369</v>
      </c>
      <c r="DO4" s="46">
        <v>27.007299270072991</v>
      </c>
      <c r="DP4" s="46">
        <v>31.502890173410403</v>
      </c>
      <c r="DQ4" s="46">
        <v>40.104849279161208</v>
      </c>
      <c r="DR4" s="46">
        <v>44.121915820029031</v>
      </c>
      <c r="DS4" s="46">
        <v>38.230475150191154</v>
      </c>
      <c r="DT4" s="46">
        <v>34.513274336283189</v>
      </c>
      <c r="DU4" s="46">
        <v>33.127208480565372</v>
      </c>
      <c r="DV4" s="46">
        <v>27.335984095427435</v>
      </c>
      <c r="DW4" s="43">
        <v>112</v>
      </c>
      <c r="DX4" s="43">
        <v>2</v>
      </c>
      <c r="DY4" s="43">
        <v>6</v>
      </c>
      <c r="DZ4" s="43">
        <v>1</v>
      </c>
      <c r="EA4" s="43">
        <v>3</v>
      </c>
      <c r="EB4" s="43">
        <v>5</v>
      </c>
      <c r="EC4" s="43">
        <v>6</v>
      </c>
      <c r="ED4" s="43">
        <v>2</v>
      </c>
      <c r="EE4" s="43">
        <v>0</v>
      </c>
      <c r="EF4" s="43">
        <v>923</v>
      </c>
      <c r="EG4" s="43">
        <v>906</v>
      </c>
      <c r="EH4" s="43">
        <v>878</v>
      </c>
      <c r="EI4" s="43">
        <v>1019</v>
      </c>
      <c r="EJ4" s="115">
        <v>225</v>
      </c>
      <c r="EK4" s="115">
        <v>0</v>
      </c>
      <c r="EL4" s="115">
        <v>6</v>
      </c>
      <c r="EM4" s="115">
        <v>0</v>
      </c>
      <c r="EN4" s="115">
        <v>1</v>
      </c>
      <c r="EO4" s="46">
        <v>1399.2480747074162</v>
      </c>
      <c r="EP4" s="46">
        <v>1242.0146409672909</v>
      </c>
      <c r="EQ4" s="46">
        <v>1102.5995227929172</v>
      </c>
      <c r="ER4" s="46">
        <v>1278.3199939784731</v>
      </c>
      <c r="ES4" s="46">
        <v>909.09293683365308</v>
      </c>
      <c r="ET4" s="46">
        <v>794.71329118904873</v>
      </c>
      <c r="EU4" s="46">
        <v>648.32281651547692</v>
      </c>
      <c r="EV4" s="46">
        <v>696.67877441879932</v>
      </c>
      <c r="EW4" s="46">
        <v>1256.4203180183022</v>
      </c>
      <c r="EX4" s="46">
        <v>1024.1568591689029</v>
      </c>
      <c r="EY4" s="46">
        <v>780.06838268230445</v>
      </c>
      <c r="EZ4" s="46">
        <v>803.73770081035775</v>
      </c>
      <c r="FA4" s="46">
        <v>669.48941058429455</v>
      </c>
      <c r="FB4" s="46">
        <v>630.02138542097953</v>
      </c>
      <c r="FC4" s="46">
        <v>517.02903318930134</v>
      </c>
      <c r="FD4" s="46">
        <v>590.20035775443432</v>
      </c>
      <c r="FE4" s="43">
        <v>228</v>
      </c>
      <c r="FF4" s="43">
        <v>230</v>
      </c>
      <c r="FG4" s="43">
        <v>233</v>
      </c>
      <c r="FH4" s="43">
        <v>239</v>
      </c>
      <c r="FI4" s="46">
        <v>220.78513218604414</v>
      </c>
      <c r="FJ4" s="46">
        <v>198.4155783118687</v>
      </c>
      <c r="FK4" s="46">
        <v>162.55399842539902</v>
      </c>
      <c r="FL4" s="46">
        <v>160.76091878689948</v>
      </c>
      <c r="FM4" s="43">
        <v>306</v>
      </c>
      <c r="FN4" s="43">
        <v>279</v>
      </c>
      <c r="FO4" s="43">
        <v>205</v>
      </c>
      <c r="FP4" s="43">
        <v>232</v>
      </c>
      <c r="FQ4" s="46">
        <v>287.78878218536954</v>
      </c>
      <c r="FR4" s="46">
        <v>230.57140308195557</v>
      </c>
      <c r="FS4" s="46">
        <v>145.67366374773241</v>
      </c>
      <c r="FT4" s="46">
        <v>147.76289410436016</v>
      </c>
      <c r="FU4" s="43">
        <v>109</v>
      </c>
      <c r="FV4" s="43">
        <v>57</v>
      </c>
      <c r="FW4" s="43">
        <v>59</v>
      </c>
      <c r="FX4" s="43">
        <v>43</v>
      </c>
      <c r="FY4" s="46">
        <v>101.94266899348818</v>
      </c>
      <c r="FZ4" s="46">
        <v>46.326287658037643</v>
      </c>
      <c r="GA4" s="46">
        <v>40.813609399204033</v>
      </c>
      <c r="GB4" s="46">
        <v>28.484204213570006</v>
      </c>
      <c r="GC4" s="39">
        <v>33</v>
      </c>
      <c r="GD4" s="39">
        <v>45</v>
      </c>
      <c r="GE4" s="39">
        <v>48</v>
      </c>
      <c r="GF4" s="39">
        <v>61</v>
      </c>
      <c r="GG4" s="111">
        <v>47.310358064495666</v>
      </c>
      <c r="GH4" s="111">
        <v>54.378855109446775</v>
      </c>
      <c r="GI4" s="111">
        <v>52.175846886233529</v>
      </c>
      <c r="GJ4" s="111">
        <v>56.095073066067989</v>
      </c>
      <c r="GK4" s="88" t="s">
        <v>195</v>
      </c>
      <c r="GL4" s="88" t="s">
        <v>196</v>
      </c>
      <c r="GM4" s="88" t="s">
        <v>197</v>
      </c>
      <c r="GN4" s="88" t="s">
        <v>198</v>
      </c>
      <c r="GO4" s="88" t="s">
        <v>199</v>
      </c>
      <c r="GP4" s="88" t="s">
        <v>200</v>
      </c>
      <c r="GQ4" s="88" t="s">
        <v>201</v>
      </c>
      <c r="GR4" s="88" t="s">
        <v>202</v>
      </c>
      <c r="GS4" s="88" t="s">
        <v>203</v>
      </c>
      <c r="GT4" s="88" t="s">
        <v>204</v>
      </c>
      <c r="GU4" s="88" t="s">
        <v>205</v>
      </c>
      <c r="GV4" s="88" t="s">
        <v>206</v>
      </c>
      <c r="GW4" s="88" t="s">
        <v>207</v>
      </c>
      <c r="GX4" s="88" t="s">
        <v>208</v>
      </c>
      <c r="GY4" s="88" t="s">
        <v>209</v>
      </c>
      <c r="GZ4" s="88" t="s">
        <v>210</v>
      </c>
      <c r="HA4" s="88" t="s">
        <v>211</v>
      </c>
      <c r="HB4" s="88" t="s">
        <v>212</v>
      </c>
      <c r="HC4" s="88" t="s">
        <v>213</v>
      </c>
      <c r="HD4" s="88" t="s">
        <v>214</v>
      </c>
      <c r="HE4" s="88" t="s">
        <v>215</v>
      </c>
      <c r="HF4" s="88" t="s">
        <v>216</v>
      </c>
      <c r="HG4" s="88" t="s">
        <v>217</v>
      </c>
      <c r="HH4" s="88" t="s">
        <v>218</v>
      </c>
      <c r="HI4" s="88" t="s">
        <v>219</v>
      </c>
      <c r="HJ4" s="88" t="s">
        <v>220</v>
      </c>
      <c r="HK4" s="88" t="s">
        <v>221</v>
      </c>
      <c r="HL4" s="88" t="s">
        <v>222</v>
      </c>
      <c r="HM4" s="88" t="s">
        <v>223</v>
      </c>
      <c r="HN4" s="88" t="s">
        <v>224</v>
      </c>
      <c r="HO4" s="88" t="s">
        <v>225</v>
      </c>
      <c r="HP4" s="88" t="s">
        <v>226</v>
      </c>
      <c r="HQ4" s="88" t="s">
        <v>227</v>
      </c>
      <c r="HR4" s="88" t="s">
        <v>228</v>
      </c>
      <c r="HS4" s="88" t="s">
        <v>229</v>
      </c>
      <c r="HT4" s="88" t="s">
        <v>230</v>
      </c>
      <c r="HU4" s="88" t="s">
        <v>231</v>
      </c>
      <c r="HV4" s="88" t="s">
        <v>232</v>
      </c>
      <c r="HW4" s="88" t="s">
        <v>233</v>
      </c>
      <c r="HX4" s="88" t="s">
        <v>234</v>
      </c>
      <c r="HY4" s="88" t="s">
        <v>235</v>
      </c>
    </row>
    <row r="5" spans="1:252" ht="13.5" customHeight="1" x14ac:dyDescent="0.2">
      <c r="A5" s="37">
        <v>2</v>
      </c>
      <c r="B5" s="86" t="s">
        <v>61</v>
      </c>
      <c r="C5" s="93">
        <v>326252</v>
      </c>
      <c r="D5" s="93">
        <v>327090</v>
      </c>
      <c r="E5" s="93">
        <v>331582</v>
      </c>
      <c r="F5" s="93">
        <v>330844</v>
      </c>
      <c r="G5" s="93">
        <v>333140</v>
      </c>
      <c r="H5" s="43">
        <v>294222</v>
      </c>
      <c r="I5" s="43">
        <v>15000</v>
      </c>
      <c r="J5" s="43">
        <v>2533</v>
      </c>
      <c r="K5" s="43">
        <v>13538</v>
      </c>
      <c r="L5" s="43">
        <v>12500</v>
      </c>
      <c r="M5" s="43">
        <v>119973</v>
      </c>
      <c r="N5" s="43">
        <v>120891</v>
      </c>
      <c r="O5" s="43">
        <v>122105</v>
      </c>
      <c r="P5" s="43">
        <v>121227</v>
      </c>
      <c r="Q5" s="43">
        <v>122151</v>
      </c>
      <c r="R5" s="104">
        <v>11.926176082030464</v>
      </c>
      <c r="S5" s="104">
        <v>12.313844516835214</v>
      </c>
      <c r="T5" s="104">
        <v>13.416109877002066</v>
      </c>
      <c r="U5" s="104">
        <v>14.129095890410959</v>
      </c>
      <c r="V5" s="104">
        <v>14.76272175435235</v>
      </c>
      <c r="W5" s="104">
        <v>30.792482873865914</v>
      </c>
      <c r="X5" s="104">
        <v>30.326499819023073</v>
      </c>
      <c r="Y5" s="104">
        <v>29.886423551986724</v>
      </c>
      <c r="Z5" s="104">
        <v>30.898410958904108</v>
      </c>
      <c r="AA5" s="104">
        <v>30.304033164087336</v>
      </c>
      <c r="AB5" s="104">
        <v>42.71865895589638</v>
      </c>
      <c r="AC5" s="104">
        <v>42.640344335858288</v>
      </c>
      <c r="AD5" s="104">
        <v>43.302533428988788</v>
      </c>
      <c r="AE5" s="104">
        <v>45.027506849315067</v>
      </c>
      <c r="AF5" s="104">
        <v>45.066754918439685</v>
      </c>
      <c r="AG5" s="46">
        <v>4.6030107345644549</v>
      </c>
      <c r="AH5" s="46">
        <v>5.4096167466750611</v>
      </c>
      <c r="AI5" s="46">
        <v>8.6922241483740255</v>
      </c>
      <c r="AJ5" s="46">
        <v>7.786604467269485</v>
      </c>
      <c r="AK5" s="46">
        <v>6.7136349134121023</v>
      </c>
      <c r="AL5" s="43">
        <v>5776.416666666667</v>
      </c>
      <c r="AM5" s="43">
        <v>6224.916666666667</v>
      </c>
      <c r="AN5" s="43">
        <v>8070.666666666667</v>
      </c>
      <c r="AO5" s="43">
        <v>6224.916666666667</v>
      </c>
      <c r="AP5" s="43">
        <v>11745.75</v>
      </c>
      <c r="AQ5" s="43">
        <v>41477.111695017687</v>
      </c>
      <c r="AR5" s="43">
        <v>40775.022114210522</v>
      </c>
      <c r="AS5" s="43">
        <v>39342.094120091431</v>
      </c>
      <c r="AT5" s="43">
        <v>39432.359848983571</v>
      </c>
      <c r="AU5" s="43">
        <v>39849.75085549619</v>
      </c>
      <c r="AV5" s="101">
        <v>71419.125155540125</v>
      </c>
      <c r="AW5" s="101">
        <v>73113.0367853676</v>
      </c>
      <c r="AX5" s="101">
        <v>70614.470748635431</v>
      </c>
      <c r="AY5" s="101">
        <v>67806.8493781414</v>
      </c>
      <c r="AZ5" s="101">
        <v>63799</v>
      </c>
      <c r="BA5" s="47">
        <v>6.3515971970408387</v>
      </c>
      <c r="BB5" s="47">
        <v>5.8123043742912675</v>
      </c>
      <c r="BC5" s="47">
        <v>7.0910848399284028</v>
      </c>
      <c r="BD5" s="47">
        <v>7.4072266816307613</v>
      </c>
      <c r="BE5" s="47">
        <v>8.5708825973805371</v>
      </c>
      <c r="BF5" s="47">
        <v>8.0397098308917041</v>
      </c>
      <c r="BG5" s="47">
        <v>7.3649325258690572</v>
      </c>
      <c r="BH5" s="47">
        <v>9.2619775248453937</v>
      </c>
      <c r="BI5" s="47">
        <v>10.207210500866816</v>
      </c>
      <c r="BJ5" s="47">
        <v>11.148446655346424</v>
      </c>
      <c r="BK5" s="43">
        <v>64180</v>
      </c>
      <c r="BL5" s="43">
        <v>63985</v>
      </c>
      <c r="BM5" s="43">
        <v>63551</v>
      </c>
      <c r="BN5" s="43">
        <v>63416</v>
      </c>
      <c r="BO5" s="46">
        <v>27.332502337176692</v>
      </c>
      <c r="BP5" s="46">
        <v>30.539970305540361</v>
      </c>
      <c r="BQ5" s="46">
        <v>32.594294346273074</v>
      </c>
      <c r="BR5" s="46">
        <v>33.472625204995587</v>
      </c>
      <c r="BS5" s="104">
        <v>6.9273917108133372</v>
      </c>
      <c r="BT5" s="104">
        <v>7.0328983355473937</v>
      </c>
      <c r="BU5" s="104">
        <v>7.5765920284495918</v>
      </c>
      <c r="BV5" s="104">
        <v>7.5091459568563135</v>
      </c>
      <c r="BW5" s="46">
        <v>13.416952321595513</v>
      </c>
      <c r="BX5" s="46">
        <v>13.661014300226615</v>
      </c>
      <c r="BY5" s="46">
        <v>13.941558748092083</v>
      </c>
      <c r="BZ5" s="46">
        <v>14.297653588999621</v>
      </c>
      <c r="CA5" s="46">
        <v>74.457572502685281</v>
      </c>
      <c r="CB5" s="46">
        <v>75.510638297872347</v>
      </c>
      <c r="CC5" s="46">
        <v>76.020627417275463</v>
      </c>
      <c r="CD5" s="46">
        <v>76.05</v>
      </c>
      <c r="CE5" s="46">
        <v>5.3705692803437168</v>
      </c>
      <c r="CF5" s="46">
        <v>4</v>
      </c>
      <c r="CG5" s="46">
        <v>3.8031800601633003</v>
      </c>
      <c r="CH5" s="46">
        <v>4.3</v>
      </c>
      <c r="CI5" s="43">
        <v>21035</v>
      </c>
      <c r="CJ5" s="43">
        <v>21324</v>
      </c>
      <c r="CK5" s="43">
        <v>21863</v>
      </c>
      <c r="CL5" s="43">
        <v>21469</v>
      </c>
      <c r="CM5" s="46">
        <v>15.558627586293614</v>
      </c>
      <c r="CN5" s="46">
        <v>14.395842461254297</v>
      </c>
      <c r="CO5" s="46">
        <v>13.708800080260092</v>
      </c>
      <c r="CP5" s="46">
        <v>13.020132111676334</v>
      </c>
      <c r="CQ5" s="43">
        <v>807</v>
      </c>
      <c r="CR5" s="43">
        <v>897</v>
      </c>
      <c r="CS5" s="43">
        <v>965</v>
      </c>
      <c r="CT5" s="43">
        <v>932</v>
      </c>
      <c r="CU5" s="46">
        <v>3.939083321130473</v>
      </c>
      <c r="CV5" s="46">
        <v>4.3594479004665629</v>
      </c>
      <c r="CW5" s="46">
        <v>4.5904290743031106</v>
      </c>
      <c r="CX5" s="46">
        <v>4.5326330123528837</v>
      </c>
      <c r="CY5" s="43">
        <v>1306</v>
      </c>
      <c r="CZ5" s="43">
        <v>1321</v>
      </c>
      <c r="DA5" s="43">
        <v>1579</v>
      </c>
      <c r="DB5" s="43">
        <v>1472</v>
      </c>
      <c r="DC5" s="46">
        <v>6.8783904776952651</v>
      </c>
      <c r="DD5" s="46">
        <v>7.1262879646113175</v>
      </c>
      <c r="DE5" s="46">
        <v>8.2996057818659654</v>
      </c>
      <c r="DF5" s="46">
        <v>7.9297527339330927</v>
      </c>
      <c r="DG5" s="46">
        <v>83.878113616225264</v>
      </c>
      <c r="DH5" s="46">
        <v>84.995121951219517</v>
      </c>
      <c r="DI5" s="46">
        <v>86.284796067867106</v>
      </c>
      <c r="DJ5" s="46">
        <v>86.722896133434418</v>
      </c>
      <c r="DK5" s="46">
        <v>15.528900735475592</v>
      </c>
      <c r="DL5" s="46">
        <v>11.403814551068175</v>
      </c>
      <c r="DM5" s="46">
        <v>7.4974423929458762</v>
      </c>
      <c r="DN5" s="46">
        <v>9.7497883548114004</v>
      </c>
      <c r="DO5" s="46">
        <v>20.900489706651452</v>
      </c>
      <c r="DP5" s="46">
        <v>22.448405253283301</v>
      </c>
      <c r="DQ5" s="46">
        <v>25.184134681366942</v>
      </c>
      <c r="DR5" s="46">
        <v>29.915684539059953</v>
      </c>
      <c r="DS5" s="46">
        <v>30.704857391198885</v>
      </c>
      <c r="DT5" s="46">
        <v>24.45231442757737</v>
      </c>
      <c r="DU5" s="46">
        <v>21.752255131756517</v>
      </c>
      <c r="DV5" s="46">
        <v>19.686007305422873</v>
      </c>
      <c r="DW5" s="43">
        <v>3313</v>
      </c>
      <c r="DX5" s="43">
        <v>317</v>
      </c>
      <c r="DY5" s="43">
        <v>29</v>
      </c>
      <c r="DZ5" s="43">
        <v>290</v>
      </c>
      <c r="EA5" s="43">
        <v>166</v>
      </c>
      <c r="EB5" s="43">
        <v>132</v>
      </c>
      <c r="EC5" s="43">
        <v>120</v>
      </c>
      <c r="ED5" s="43">
        <v>96</v>
      </c>
      <c r="EE5" s="43">
        <v>103</v>
      </c>
      <c r="EF5" s="43">
        <v>5627</v>
      </c>
      <c r="EG5" s="43">
        <v>6620</v>
      </c>
      <c r="EH5" s="43">
        <v>7203</v>
      </c>
      <c r="EI5" s="43">
        <v>8091</v>
      </c>
      <c r="EJ5" s="115">
        <v>1734</v>
      </c>
      <c r="EK5" s="115">
        <v>36</v>
      </c>
      <c r="EL5" s="115">
        <v>12</v>
      </c>
      <c r="EM5" s="115">
        <v>30</v>
      </c>
      <c r="EN5" s="115">
        <v>18</v>
      </c>
      <c r="EO5" s="46">
        <v>416.20345817957769</v>
      </c>
      <c r="EP5" s="46">
        <v>446.91651234995049</v>
      </c>
      <c r="EQ5" s="46">
        <v>451.65113194947378</v>
      </c>
      <c r="ER5" s="46">
        <v>490.6883828570181</v>
      </c>
      <c r="ES5" s="46">
        <v>863.84112522925795</v>
      </c>
      <c r="ET5" s="46">
        <v>741.21322018645026</v>
      </c>
      <c r="EU5" s="46">
        <v>671.22432950347923</v>
      </c>
      <c r="EV5" s="46">
        <v>647.25916128511221</v>
      </c>
      <c r="EW5" s="46">
        <v>1127.238794526613</v>
      </c>
      <c r="EX5" s="46">
        <v>924.87298662214062</v>
      </c>
      <c r="EY5" s="46">
        <v>781.55979899331317</v>
      </c>
      <c r="EZ5" s="46">
        <v>777.03762701151595</v>
      </c>
      <c r="FA5" s="46">
        <v>708.12012647878191</v>
      </c>
      <c r="FB5" s="46">
        <v>625.92987357036827</v>
      </c>
      <c r="FC5" s="46">
        <v>587.16335608735528</v>
      </c>
      <c r="FD5" s="46">
        <v>546.32640354090904</v>
      </c>
      <c r="FE5" s="43">
        <v>1509</v>
      </c>
      <c r="FF5" s="43">
        <v>1805</v>
      </c>
      <c r="FG5" s="43">
        <v>2045</v>
      </c>
      <c r="FH5" s="43">
        <v>2393</v>
      </c>
      <c r="FI5" s="46">
        <v>214.0331295925717</v>
      </c>
      <c r="FJ5" s="46">
        <v>185.80834478048143</v>
      </c>
      <c r="FK5" s="46">
        <v>177.51406477303769</v>
      </c>
      <c r="FL5" s="46">
        <v>177.20818143162671</v>
      </c>
      <c r="FM5" s="43">
        <v>1401</v>
      </c>
      <c r="FN5" s="43">
        <v>1479</v>
      </c>
      <c r="FO5" s="43">
        <v>1325</v>
      </c>
      <c r="FP5" s="43">
        <v>1213</v>
      </c>
      <c r="FQ5" s="46">
        <v>225.74155858433321</v>
      </c>
      <c r="FR5" s="46">
        <v>174.21457711254109</v>
      </c>
      <c r="FS5" s="46">
        <v>130.27985050247486</v>
      </c>
      <c r="FT5" s="46">
        <v>104.06120538425554</v>
      </c>
      <c r="FU5" s="43">
        <v>353</v>
      </c>
      <c r="FV5" s="43">
        <v>390</v>
      </c>
      <c r="FW5" s="43">
        <v>375</v>
      </c>
      <c r="FX5" s="43">
        <v>357</v>
      </c>
      <c r="FY5" s="46">
        <v>65.934037151185194</v>
      </c>
      <c r="FZ5" s="46">
        <v>49.2400926627773</v>
      </c>
      <c r="GA5" s="46">
        <v>38.213349465273517</v>
      </c>
      <c r="GB5" s="46">
        <v>31.754037756994762</v>
      </c>
      <c r="GC5" s="39">
        <v>307</v>
      </c>
      <c r="GD5" s="39">
        <v>371</v>
      </c>
      <c r="GE5" s="39">
        <v>507</v>
      </c>
      <c r="GF5" s="39">
        <v>502</v>
      </c>
      <c r="GG5" s="111">
        <v>33.781382680532431</v>
      </c>
      <c r="GH5" s="111">
        <v>33.73833203450846</v>
      </c>
      <c r="GI5" s="111">
        <v>41.011219612249143</v>
      </c>
      <c r="GJ5" s="111">
        <v>36.174893123072557</v>
      </c>
      <c r="GK5" s="88" t="s">
        <v>236</v>
      </c>
      <c r="GL5" s="88" t="s">
        <v>237</v>
      </c>
      <c r="GM5" s="88" t="s">
        <v>238</v>
      </c>
      <c r="GN5" s="88" t="s">
        <v>239</v>
      </c>
      <c r="GO5" s="88" t="s">
        <v>240</v>
      </c>
      <c r="GP5" s="88" t="s">
        <v>241</v>
      </c>
      <c r="GQ5" s="88" t="s">
        <v>242</v>
      </c>
      <c r="GR5" s="88" t="s">
        <v>243</v>
      </c>
      <c r="GS5" s="88" t="s">
        <v>244</v>
      </c>
      <c r="GT5" s="88" t="s">
        <v>245</v>
      </c>
      <c r="GU5" s="88" t="s">
        <v>246</v>
      </c>
      <c r="GV5" s="88" t="s">
        <v>247</v>
      </c>
      <c r="GW5" s="88" t="s">
        <v>248</v>
      </c>
      <c r="GX5" s="88" t="s">
        <v>249</v>
      </c>
      <c r="GY5" s="88" t="s">
        <v>250</v>
      </c>
      <c r="GZ5" s="88" t="s">
        <v>251</v>
      </c>
      <c r="HA5" s="88" t="s">
        <v>252</v>
      </c>
      <c r="HB5" s="88" t="s">
        <v>253</v>
      </c>
      <c r="HC5" s="88" t="s">
        <v>254</v>
      </c>
      <c r="HD5" s="88" t="s">
        <v>255</v>
      </c>
      <c r="HE5" s="88" t="s">
        <v>256</v>
      </c>
      <c r="HF5" s="88" t="s">
        <v>257</v>
      </c>
      <c r="HG5" s="88" t="s">
        <v>258</v>
      </c>
      <c r="HH5" s="88" t="s">
        <v>259</v>
      </c>
      <c r="HI5" s="88" t="s">
        <v>260</v>
      </c>
      <c r="HJ5" s="88" t="s">
        <v>261</v>
      </c>
      <c r="HK5" s="88" t="s">
        <v>262</v>
      </c>
      <c r="HL5" s="88" t="s">
        <v>263</v>
      </c>
      <c r="HM5" s="88" t="s">
        <v>264</v>
      </c>
      <c r="HN5" s="88" t="s">
        <v>265</v>
      </c>
      <c r="HO5" s="88" t="s">
        <v>266</v>
      </c>
      <c r="HP5" s="88" t="s">
        <v>267</v>
      </c>
      <c r="HQ5" s="88" t="s">
        <v>268</v>
      </c>
      <c r="HR5" s="88" t="s">
        <v>269</v>
      </c>
      <c r="HS5" s="88" t="s">
        <v>270</v>
      </c>
      <c r="HT5" s="88" t="s">
        <v>271</v>
      </c>
      <c r="HU5" s="88" t="s">
        <v>272</v>
      </c>
      <c r="HV5" s="88" t="s">
        <v>273</v>
      </c>
      <c r="HW5" s="88" t="s">
        <v>274</v>
      </c>
      <c r="HX5" s="88" t="s">
        <v>275</v>
      </c>
      <c r="HY5" s="88" t="s">
        <v>276</v>
      </c>
    </row>
    <row r="6" spans="1:252" x14ac:dyDescent="0.2">
      <c r="A6" s="37">
        <v>3</v>
      </c>
      <c r="B6" s="86" t="s">
        <v>62</v>
      </c>
      <c r="C6" s="93">
        <v>31964</v>
      </c>
      <c r="D6" s="93">
        <v>32000</v>
      </c>
      <c r="E6" s="93">
        <v>32076</v>
      </c>
      <c r="F6" s="93">
        <v>32504</v>
      </c>
      <c r="G6" s="93">
        <v>32778</v>
      </c>
      <c r="H6" s="43">
        <v>28974</v>
      </c>
      <c r="I6" s="43">
        <v>172</v>
      </c>
      <c r="J6" s="43">
        <v>2484</v>
      </c>
      <c r="K6" s="43">
        <v>157</v>
      </c>
      <c r="L6" s="43">
        <v>470</v>
      </c>
      <c r="M6" s="43">
        <v>13107</v>
      </c>
      <c r="N6" s="43">
        <v>13280</v>
      </c>
      <c r="O6" s="43">
        <v>13273</v>
      </c>
      <c r="P6" s="43">
        <v>13224</v>
      </c>
      <c r="Q6" s="43">
        <v>13372</v>
      </c>
      <c r="R6" s="104">
        <v>25.639043247161151</v>
      </c>
      <c r="S6" s="104">
        <v>26.519552799882831</v>
      </c>
      <c r="T6" s="104">
        <v>27.252419955323901</v>
      </c>
      <c r="U6" s="104">
        <v>28.022469675879897</v>
      </c>
      <c r="V6" s="104">
        <v>28.534095951876139</v>
      </c>
      <c r="W6" s="104">
        <v>28.813723121526937</v>
      </c>
      <c r="X6" s="104">
        <v>29.707562368793635</v>
      </c>
      <c r="Y6" s="104">
        <v>31.973194341027551</v>
      </c>
      <c r="Z6" s="104">
        <v>33.560349970173</v>
      </c>
      <c r="AA6" s="104">
        <v>33.085153592031951</v>
      </c>
      <c r="AB6" s="104">
        <v>54.452766368688089</v>
      </c>
      <c r="AC6" s="104">
        <v>56.227115168676463</v>
      </c>
      <c r="AD6" s="104">
        <v>59.225614296351452</v>
      </c>
      <c r="AE6" s="104">
        <v>61.58281964605289</v>
      </c>
      <c r="AF6" s="104">
        <v>61.61924954390809</v>
      </c>
      <c r="AG6" s="46">
        <v>5.7948687562955499</v>
      </c>
      <c r="AH6" s="46">
        <v>6.7034139402560458</v>
      </c>
      <c r="AI6" s="46">
        <v>8.9068358811652732</v>
      </c>
      <c r="AJ6" s="46">
        <v>7.8163632276916157</v>
      </c>
      <c r="AK6" s="46">
        <v>7.1476211649622057</v>
      </c>
      <c r="AL6" s="43">
        <v>1172.25</v>
      </c>
      <c r="AM6" s="43">
        <v>1258.6666666666667</v>
      </c>
      <c r="AN6" s="43">
        <v>1591</v>
      </c>
      <c r="AO6" s="43">
        <v>1258.6666666666667</v>
      </c>
      <c r="AP6" s="43">
        <v>2088.5</v>
      </c>
      <c r="AQ6" s="43">
        <v>36232.756004487979</v>
      </c>
      <c r="AR6" s="43">
        <v>36004.179498703474</v>
      </c>
      <c r="AS6" s="43">
        <v>35307.412623970704</v>
      </c>
      <c r="AT6" s="43">
        <v>36534.809950625735</v>
      </c>
      <c r="AU6" s="43">
        <v>36997.83391299042</v>
      </c>
      <c r="AV6" s="101">
        <v>47103.946335040659</v>
      </c>
      <c r="AW6" s="101">
        <v>45968.198589894244</v>
      </c>
      <c r="AX6" s="101">
        <v>46758.27313703463</v>
      </c>
      <c r="AY6" s="101">
        <v>45357.925624610194</v>
      </c>
      <c r="AZ6" s="101">
        <v>47819</v>
      </c>
      <c r="BA6" s="47">
        <v>12.134130822092136</v>
      </c>
      <c r="BB6" s="47">
        <v>11.60884483415936</v>
      </c>
      <c r="BC6" s="47">
        <v>13.146209958769425</v>
      </c>
      <c r="BD6" s="47">
        <v>14.596282992347337</v>
      </c>
      <c r="BE6" s="47">
        <v>12.942015061827874</v>
      </c>
      <c r="BF6" s="47">
        <v>18.401538039000275</v>
      </c>
      <c r="BG6" s="47">
        <v>17.663268117938827</v>
      </c>
      <c r="BH6" s="47">
        <v>19.45981554677207</v>
      </c>
      <c r="BI6" s="47">
        <v>22.520005080655405</v>
      </c>
      <c r="BJ6" s="47">
        <v>20.352175577389307</v>
      </c>
      <c r="BK6" s="43">
        <v>4459</v>
      </c>
      <c r="BL6" s="43">
        <v>4466</v>
      </c>
      <c r="BM6" s="43">
        <v>4510</v>
      </c>
      <c r="BN6" s="43">
        <v>4539</v>
      </c>
      <c r="BO6" s="46">
        <v>37.609329446064137</v>
      </c>
      <c r="BP6" s="46">
        <v>41.043439319301392</v>
      </c>
      <c r="BQ6" s="46">
        <v>41.773835920177383</v>
      </c>
      <c r="BR6" s="46">
        <v>40.361313064551666</v>
      </c>
      <c r="BS6" s="104">
        <v>0.44853106077595872</v>
      </c>
      <c r="BT6" s="104">
        <v>0.26869682042095833</v>
      </c>
      <c r="BU6" s="104">
        <v>0.33259423503325941</v>
      </c>
      <c r="BV6" s="104">
        <v>0.26437541308658297</v>
      </c>
      <c r="BW6" s="46">
        <v>19.847499439336175</v>
      </c>
      <c r="BX6" s="46">
        <v>20.510523958799819</v>
      </c>
      <c r="BY6" s="46">
        <v>20.576496674057651</v>
      </c>
      <c r="BZ6" s="46">
        <v>20.577219651905708</v>
      </c>
      <c r="CA6" s="46">
        <v>81.979695431472081</v>
      </c>
      <c r="CB6" s="46">
        <v>85.444743935309972</v>
      </c>
      <c r="CC6" s="46">
        <v>80.965147453083105</v>
      </c>
      <c r="CD6" s="46">
        <v>84.9</v>
      </c>
      <c r="CE6" s="46">
        <v>5.5837563451776653</v>
      </c>
      <c r="CF6" s="46">
        <v>6.1994609164420487</v>
      </c>
      <c r="CG6" s="46">
        <v>6.4343163538873993</v>
      </c>
      <c r="CH6" s="46">
        <v>5.41</v>
      </c>
      <c r="CI6" s="43">
        <v>1768</v>
      </c>
      <c r="CJ6" s="43">
        <v>1837</v>
      </c>
      <c r="CK6" s="43">
        <v>2078</v>
      </c>
      <c r="CL6" s="43">
        <v>2174</v>
      </c>
      <c r="CM6" s="46">
        <v>12.272067857316388</v>
      </c>
      <c r="CN6" s="46">
        <v>12.346674731995833</v>
      </c>
      <c r="CO6" s="46">
        <v>13.162228584458688</v>
      </c>
      <c r="CP6" s="46">
        <v>13.476153283495121</v>
      </c>
      <c r="CQ6" s="43">
        <v>69</v>
      </c>
      <c r="CR6" s="43">
        <v>74</v>
      </c>
      <c r="CS6" s="43">
        <v>84</v>
      </c>
      <c r="CT6" s="43">
        <v>72</v>
      </c>
      <c r="CU6" s="46">
        <v>3.990746096009254</v>
      </c>
      <c r="CV6" s="46">
        <v>4.1807909604519775</v>
      </c>
      <c r="CW6" s="46">
        <v>4.1895261845386536</v>
      </c>
      <c r="CX6" s="46">
        <v>3.4074775201135825</v>
      </c>
      <c r="CY6" s="43">
        <v>123</v>
      </c>
      <c r="CZ6" s="43">
        <v>121</v>
      </c>
      <c r="DA6" s="43">
        <v>125</v>
      </c>
      <c r="DB6" s="43">
        <v>117</v>
      </c>
      <c r="DC6" s="46">
        <v>7.4455205811138017</v>
      </c>
      <c r="DD6" s="46">
        <v>7.7217613273771537</v>
      </c>
      <c r="DE6" s="46">
        <v>6.932889628397116</v>
      </c>
      <c r="DF6" s="46">
        <v>6.3934426229508201</v>
      </c>
      <c r="DG6" s="46">
        <v>83.371428571428567</v>
      </c>
      <c r="DH6" s="46">
        <v>80.917327293318237</v>
      </c>
      <c r="DI6" s="46">
        <v>82.709359605911331</v>
      </c>
      <c r="DJ6" s="46">
        <v>84.172661870503603</v>
      </c>
      <c r="DK6" s="46">
        <v>25.2</v>
      </c>
      <c r="DL6" s="46">
        <v>24.581650317368723</v>
      </c>
      <c r="DM6" s="46">
        <v>21.619001454192922</v>
      </c>
      <c r="DN6" s="46">
        <v>21.278581427904808</v>
      </c>
      <c r="DO6" s="46">
        <v>29.920814479638008</v>
      </c>
      <c r="DP6" s="46">
        <v>33.442265795206971</v>
      </c>
      <c r="DQ6" s="46">
        <v>37.204819277108435</v>
      </c>
      <c r="DR6" s="46">
        <v>40.708371665133392</v>
      </c>
      <c r="DS6" s="46">
        <v>40.278061746064196</v>
      </c>
      <c r="DT6" s="46">
        <v>41.776837652035958</v>
      </c>
      <c r="DU6" s="46">
        <v>31.543052003410061</v>
      </c>
      <c r="DV6" s="46">
        <v>36.188178528347407</v>
      </c>
      <c r="DW6" s="43">
        <v>315</v>
      </c>
      <c r="DX6" s="43">
        <v>5</v>
      </c>
      <c r="DY6" s="43">
        <v>70</v>
      </c>
      <c r="DZ6" s="43">
        <v>1</v>
      </c>
      <c r="EA6" s="43">
        <v>7</v>
      </c>
      <c r="EB6" s="43">
        <v>7</v>
      </c>
      <c r="EC6" s="43">
        <v>9</v>
      </c>
      <c r="ED6" s="43">
        <v>9</v>
      </c>
      <c r="EE6" s="43">
        <v>18</v>
      </c>
      <c r="EF6" s="43">
        <v>1602</v>
      </c>
      <c r="EG6" s="43">
        <v>1607</v>
      </c>
      <c r="EH6" s="43">
        <v>1598</v>
      </c>
      <c r="EI6" s="43">
        <v>1669</v>
      </c>
      <c r="EJ6" s="115">
        <v>300</v>
      </c>
      <c r="EK6" s="115">
        <v>0</v>
      </c>
      <c r="EL6" s="115">
        <v>23</v>
      </c>
      <c r="EM6" s="115">
        <v>0</v>
      </c>
      <c r="EN6" s="115">
        <v>0</v>
      </c>
      <c r="EO6" s="46">
        <v>1111.9826191980121</v>
      </c>
      <c r="EP6" s="46">
        <v>1080.0819975131901</v>
      </c>
      <c r="EQ6" s="46">
        <v>1012.1867794978338</v>
      </c>
      <c r="ER6" s="46">
        <v>1034.5768091146899</v>
      </c>
      <c r="ES6" s="46">
        <v>886.22085337645353</v>
      </c>
      <c r="ET6" s="46">
        <v>853.36470072866541</v>
      </c>
      <c r="EU6" s="46">
        <v>799.12984306390058</v>
      </c>
      <c r="EV6" s="46">
        <v>764.49543256705863</v>
      </c>
      <c r="EW6" s="46">
        <v>1064.3893445120652</v>
      </c>
      <c r="EX6" s="46">
        <v>1087.0698188060421</v>
      </c>
      <c r="EY6" s="46">
        <v>968.00550384761095</v>
      </c>
      <c r="EZ6" s="46">
        <v>893.2346265207857</v>
      </c>
      <c r="FA6" s="46">
        <v>737.97352852824167</v>
      </c>
      <c r="FB6" s="46">
        <v>657.5044129703025</v>
      </c>
      <c r="FC6" s="46">
        <v>663.76033683540561</v>
      </c>
      <c r="FD6" s="46">
        <v>667.59457771388043</v>
      </c>
      <c r="FE6" s="43">
        <v>332</v>
      </c>
      <c r="FF6" s="43">
        <v>353</v>
      </c>
      <c r="FG6" s="43">
        <v>326</v>
      </c>
      <c r="FH6" s="43">
        <v>398</v>
      </c>
      <c r="FI6" s="46">
        <v>189.73299759290381</v>
      </c>
      <c r="FJ6" s="46">
        <v>191.457726396298</v>
      </c>
      <c r="FK6" s="46">
        <v>164.95821336768503</v>
      </c>
      <c r="FL6" s="46">
        <v>181.25497978562038</v>
      </c>
      <c r="FM6" s="43">
        <v>479</v>
      </c>
      <c r="FN6" s="43">
        <v>450</v>
      </c>
      <c r="FO6" s="43">
        <v>424</v>
      </c>
      <c r="FP6" s="43">
        <v>308</v>
      </c>
      <c r="FQ6" s="46">
        <v>260.53367100403307</v>
      </c>
      <c r="FR6" s="46">
        <v>233.43768837622514</v>
      </c>
      <c r="FS6" s="46">
        <v>207.46147014400657</v>
      </c>
      <c r="FT6" s="46">
        <v>137.33378127735239</v>
      </c>
      <c r="FU6" s="43">
        <v>145</v>
      </c>
      <c r="FV6" s="43">
        <v>132</v>
      </c>
      <c r="FW6" s="43">
        <v>116</v>
      </c>
      <c r="FX6" s="43">
        <v>100</v>
      </c>
      <c r="FY6" s="46">
        <v>75.119735765870729</v>
      </c>
      <c r="FZ6" s="46">
        <v>66.638087699318845</v>
      </c>
      <c r="GA6" s="46">
        <v>56.495529448318692</v>
      </c>
      <c r="GB6" s="46">
        <v>44.492089929154702</v>
      </c>
      <c r="GC6" s="39">
        <v>79</v>
      </c>
      <c r="GD6" s="39">
        <v>92</v>
      </c>
      <c r="GE6" s="39">
        <v>80</v>
      </c>
      <c r="GF6" s="39">
        <v>89</v>
      </c>
      <c r="GG6" s="111">
        <v>51.941057204009653</v>
      </c>
      <c r="GH6" s="111">
        <v>58.097800591096238</v>
      </c>
      <c r="GI6" s="111">
        <v>47.012135659146999</v>
      </c>
      <c r="GJ6" s="111">
        <v>50.831749710728261</v>
      </c>
      <c r="GK6" s="88" t="s">
        <v>277</v>
      </c>
      <c r="GL6" s="88" t="s">
        <v>278</v>
      </c>
      <c r="GM6" s="88" t="s">
        <v>279</v>
      </c>
      <c r="GN6" s="88" t="s">
        <v>280</v>
      </c>
      <c r="GO6" s="88" t="s">
        <v>281</v>
      </c>
      <c r="GP6" s="88" t="s">
        <v>282</v>
      </c>
      <c r="GQ6" s="88" t="s">
        <v>283</v>
      </c>
      <c r="GR6" s="88" t="s">
        <v>284</v>
      </c>
      <c r="GS6" s="88" t="s">
        <v>285</v>
      </c>
      <c r="GT6" s="88" t="s">
        <v>286</v>
      </c>
      <c r="GU6" s="88" t="s">
        <v>287</v>
      </c>
      <c r="GV6" s="88" t="s">
        <v>288</v>
      </c>
      <c r="GW6" s="88" t="s">
        <v>289</v>
      </c>
      <c r="GX6" s="88" t="s">
        <v>290</v>
      </c>
      <c r="GY6" s="88" t="s">
        <v>291</v>
      </c>
      <c r="GZ6" s="88" t="s">
        <v>292</v>
      </c>
      <c r="HA6" s="88" t="s">
        <v>293</v>
      </c>
      <c r="HB6" s="88" t="s">
        <v>294</v>
      </c>
      <c r="HC6" s="88" t="s">
        <v>295</v>
      </c>
      <c r="HD6" s="88" t="s">
        <v>296</v>
      </c>
      <c r="HE6" s="88" t="s">
        <v>297</v>
      </c>
      <c r="HF6" s="88" t="s">
        <v>298</v>
      </c>
      <c r="HG6" s="88" t="s">
        <v>299</v>
      </c>
      <c r="HH6" s="88" t="s">
        <v>300</v>
      </c>
      <c r="HI6" s="88" t="s">
        <v>301</v>
      </c>
      <c r="HJ6" s="88" t="s">
        <v>302</v>
      </c>
      <c r="HK6" s="88" t="s">
        <v>303</v>
      </c>
      <c r="HL6" s="88" t="s">
        <v>304</v>
      </c>
      <c r="HM6" s="88" t="s">
        <v>305</v>
      </c>
      <c r="HN6" s="88" t="s">
        <v>306</v>
      </c>
      <c r="HO6" s="88" t="s">
        <v>307</v>
      </c>
      <c r="HP6" s="88" t="s">
        <v>308</v>
      </c>
      <c r="HQ6" s="88" t="s">
        <v>309</v>
      </c>
      <c r="HR6" s="88" t="s">
        <v>310</v>
      </c>
      <c r="HS6" s="88" t="s">
        <v>311</v>
      </c>
      <c r="HT6" s="88" t="s">
        <v>312</v>
      </c>
      <c r="HU6" s="88" t="s">
        <v>313</v>
      </c>
      <c r="HV6" s="88" t="s">
        <v>314</v>
      </c>
      <c r="HW6" s="88" t="s">
        <v>315</v>
      </c>
      <c r="HX6" s="88" t="s">
        <v>316</v>
      </c>
      <c r="HY6" s="88" t="s">
        <v>317</v>
      </c>
      <c r="HZ6" s="59"/>
      <c r="IA6" s="59"/>
      <c r="IB6" s="59"/>
      <c r="IC6" s="59"/>
      <c r="ID6" s="59"/>
      <c r="IE6" s="59"/>
      <c r="IF6" s="59"/>
      <c r="IG6" s="59"/>
      <c r="IH6" s="59"/>
      <c r="II6" s="59"/>
      <c r="IJ6" s="59"/>
      <c r="IK6" s="59"/>
      <c r="IL6" s="59"/>
      <c r="IM6" s="59"/>
      <c r="IN6" s="59"/>
      <c r="IO6" s="59"/>
      <c r="IP6" s="59"/>
      <c r="IQ6" s="59"/>
      <c r="IR6" s="59"/>
    </row>
    <row r="7" spans="1:252" x14ac:dyDescent="0.2">
      <c r="A7" s="37">
        <v>4</v>
      </c>
      <c r="B7" s="86" t="s">
        <v>63</v>
      </c>
      <c r="C7" s="93">
        <v>43609</v>
      </c>
      <c r="D7" s="93">
        <v>43835</v>
      </c>
      <c r="E7" s="93">
        <v>44350</v>
      </c>
      <c r="F7" s="93">
        <v>44442</v>
      </c>
      <c r="G7" s="93">
        <v>45264</v>
      </c>
      <c r="H7" s="43">
        <v>34128</v>
      </c>
      <c r="I7" s="43">
        <v>331</v>
      </c>
      <c r="J7" s="43">
        <v>9004</v>
      </c>
      <c r="K7" s="43">
        <v>374</v>
      </c>
      <c r="L7" s="43">
        <v>828</v>
      </c>
      <c r="M7" s="43">
        <v>16193</v>
      </c>
      <c r="N7" s="43">
        <v>16397</v>
      </c>
      <c r="O7" s="43">
        <v>16480</v>
      </c>
      <c r="P7" s="43">
        <v>16846</v>
      </c>
      <c r="Q7" s="43">
        <v>17163</v>
      </c>
      <c r="R7" s="104">
        <v>18.799438413861591</v>
      </c>
      <c r="S7" s="104">
        <v>19.826779837173046</v>
      </c>
      <c r="T7" s="104">
        <v>19.584782164041727</v>
      </c>
      <c r="U7" s="104">
        <v>19.600763046736613</v>
      </c>
      <c r="V7" s="104">
        <v>20.215242400728719</v>
      </c>
      <c r="W7" s="104">
        <v>30.531109817484506</v>
      </c>
      <c r="X7" s="104">
        <v>32.035336913216696</v>
      </c>
      <c r="Y7" s="104">
        <v>31.604963523556282</v>
      </c>
      <c r="Z7" s="104">
        <v>31.789072080664941</v>
      </c>
      <c r="AA7" s="104">
        <v>32.492156135083164</v>
      </c>
      <c r="AB7" s="104">
        <v>49.330548231346093</v>
      </c>
      <c r="AC7" s="104">
        <v>51.862116750389745</v>
      </c>
      <c r="AD7" s="104">
        <v>51.189745687598013</v>
      </c>
      <c r="AE7" s="104">
        <v>51.389835127401554</v>
      </c>
      <c r="AF7" s="104">
        <v>52.707398535811883</v>
      </c>
      <c r="AG7" s="46">
        <v>6.1114778836178436</v>
      </c>
      <c r="AH7" s="46">
        <v>6.843713278495887</v>
      </c>
      <c r="AI7" s="46">
        <v>8.9790107013273328</v>
      </c>
      <c r="AJ7" s="46">
        <v>8.2816572301608691</v>
      </c>
      <c r="AK7" s="46">
        <v>8.4297595371542222</v>
      </c>
      <c r="AL7" s="43">
        <v>3015.0833333333335</v>
      </c>
      <c r="AM7" s="43">
        <v>3225.6666666666665</v>
      </c>
      <c r="AN7" s="43">
        <v>3634.1666666666665</v>
      </c>
      <c r="AO7" s="43">
        <v>3225.6666666666665</v>
      </c>
      <c r="AP7" s="43">
        <v>4331.583333333333</v>
      </c>
      <c r="AQ7" s="43">
        <v>31176.46725668434</v>
      </c>
      <c r="AR7" s="43">
        <v>32212.162902899883</v>
      </c>
      <c r="AS7" s="43">
        <v>32268.380002625014</v>
      </c>
      <c r="AT7" s="43">
        <v>32214.651376267506</v>
      </c>
      <c r="AU7" s="43">
        <v>31833.73100035348</v>
      </c>
      <c r="AV7" s="101">
        <v>44521.957061280395</v>
      </c>
      <c r="AW7" s="101">
        <v>46744.45194911358</v>
      </c>
      <c r="AX7" s="101">
        <v>41521.086521206125</v>
      </c>
      <c r="AY7" s="101">
        <v>41580.333547345639</v>
      </c>
      <c r="AZ7" s="101">
        <v>40657</v>
      </c>
      <c r="BA7" s="47">
        <v>16.95663650980298</v>
      </c>
      <c r="BB7" s="47">
        <v>17.014136798514922</v>
      </c>
      <c r="BC7" s="47">
        <v>20.902007083825264</v>
      </c>
      <c r="BD7" s="47">
        <v>20.809411764705882</v>
      </c>
      <c r="BE7" s="47">
        <v>20.436723647382664</v>
      </c>
      <c r="BF7" s="47">
        <v>24.114544084400904</v>
      </c>
      <c r="BG7" s="47">
        <v>25.245415817744028</v>
      </c>
      <c r="BH7" s="47">
        <v>29.943977591036415</v>
      </c>
      <c r="BI7" s="47">
        <v>29.639581210043549</v>
      </c>
      <c r="BJ7" s="47">
        <v>29.637661516219392</v>
      </c>
      <c r="BK7" s="43">
        <v>7540</v>
      </c>
      <c r="BL7" s="43">
        <v>7667</v>
      </c>
      <c r="BM7" s="43">
        <v>7813</v>
      </c>
      <c r="BN7" s="43">
        <v>7805</v>
      </c>
      <c r="BO7" s="46">
        <v>56.246684350132625</v>
      </c>
      <c r="BP7" s="46">
        <v>59.566975348897877</v>
      </c>
      <c r="BQ7" s="46">
        <v>60.296940995776268</v>
      </c>
      <c r="BR7" s="46">
        <v>59.692504804612426</v>
      </c>
      <c r="BS7" s="104">
        <v>1.4721485411140585</v>
      </c>
      <c r="BT7" s="104">
        <v>1.7999217425329332</v>
      </c>
      <c r="BU7" s="104">
        <v>1.1519262767182901</v>
      </c>
      <c r="BV7" s="104">
        <v>1.1274823830877643</v>
      </c>
      <c r="BW7" s="46">
        <v>17.798408488063661</v>
      </c>
      <c r="BX7" s="46">
        <v>18.638320073040301</v>
      </c>
      <c r="BY7" s="46">
        <v>18.507615512607192</v>
      </c>
      <c r="BZ7" s="46">
        <v>18.347213324791799</v>
      </c>
      <c r="CA7" s="46">
        <v>58.39017735334243</v>
      </c>
      <c r="CB7" s="46">
        <v>58.797653958944281</v>
      </c>
      <c r="CC7" s="46">
        <v>56.327160493827158</v>
      </c>
      <c r="CD7" s="46">
        <v>59.7</v>
      </c>
      <c r="CE7" s="46">
        <v>16.098226466575717</v>
      </c>
      <c r="CF7" s="46">
        <v>12.170087976539589</v>
      </c>
      <c r="CG7" s="46">
        <v>13.271604938271604</v>
      </c>
      <c r="CH7" s="46">
        <v>12.17</v>
      </c>
      <c r="CI7" s="43">
        <v>2729</v>
      </c>
      <c r="CJ7" s="43">
        <v>2862</v>
      </c>
      <c r="CK7" s="43">
        <v>3243</v>
      </c>
      <c r="CL7" s="43">
        <v>3645</v>
      </c>
      <c r="CM7" s="46">
        <v>14.685544236905972</v>
      </c>
      <c r="CN7" s="46">
        <v>14.542830719824389</v>
      </c>
      <c r="CO7" s="46">
        <v>15.360495628203063</v>
      </c>
      <c r="CP7" s="46">
        <v>16.455981941309254</v>
      </c>
      <c r="CQ7" s="43">
        <v>115</v>
      </c>
      <c r="CR7" s="43">
        <v>132</v>
      </c>
      <c r="CS7" s="43">
        <v>144</v>
      </c>
      <c r="CT7" s="43">
        <v>163</v>
      </c>
      <c r="CU7" s="46">
        <v>4.3071161048689142</v>
      </c>
      <c r="CV7" s="46">
        <v>4.7142857142857144</v>
      </c>
      <c r="CW7" s="46">
        <v>4.569977784830213</v>
      </c>
      <c r="CX7" s="46">
        <v>4.6032194295396778</v>
      </c>
      <c r="CY7" s="43">
        <v>200</v>
      </c>
      <c r="CZ7" s="43">
        <v>188</v>
      </c>
      <c r="DA7" s="43">
        <v>237</v>
      </c>
      <c r="DB7" s="43">
        <v>288</v>
      </c>
      <c r="DC7" s="46">
        <v>8.0873433077234136</v>
      </c>
      <c r="DD7" s="46">
        <v>8.5338175215615077</v>
      </c>
      <c r="DE7" s="46">
        <v>8.9231927710843379</v>
      </c>
      <c r="DF7" s="46">
        <v>9.5427435387673949</v>
      </c>
      <c r="DG7" s="46">
        <v>70.357941834451907</v>
      </c>
      <c r="DH7" s="46">
        <v>73.293243721259287</v>
      </c>
      <c r="DI7" s="46">
        <v>71.826625386996909</v>
      </c>
      <c r="DJ7" s="46">
        <v>71.717451523545705</v>
      </c>
      <c r="DK7" s="46">
        <v>20.511841100076396</v>
      </c>
      <c r="DL7" s="46">
        <v>17.426470588235293</v>
      </c>
      <c r="DM7" s="46">
        <v>25.959158415841586</v>
      </c>
      <c r="DN7" s="46">
        <v>28.810766273001924</v>
      </c>
      <c r="DO7" s="46">
        <v>44.5950897764749</v>
      </c>
      <c r="DP7" s="46">
        <v>48.881900768693221</v>
      </c>
      <c r="DQ7" s="46">
        <v>51.711378353376503</v>
      </c>
      <c r="DR7" s="46">
        <v>57.44855967078189</v>
      </c>
      <c r="DS7" s="46">
        <v>45.584045584045583</v>
      </c>
      <c r="DT7" s="46">
        <v>45.883940620782724</v>
      </c>
      <c r="DU7" s="46">
        <v>52.059376960066906</v>
      </c>
      <c r="DV7" s="46">
        <v>57.123730893673994</v>
      </c>
      <c r="DW7" s="43">
        <v>412</v>
      </c>
      <c r="DX7" s="43">
        <v>6</v>
      </c>
      <c r="DY7" s="43">
        <v>300</v>
      </c>
      <c r="DZ7" s="43">
        <v>2</v>
      </c>
      <c r="EA7" s="43">
        <v>9</v>
      </c>
      <c r="EB7" s="43">
        <v>35</v>
      </c>
      <c r="EC7" s="43">
        <v>27</v>
      </c>
      <c r="ED7" s="43">
        <v>20</v>
      </c>
      <c r="EE7" s="43">
        <v>34</v>
      </c>
      <c r="EF7" s="43">
        <v>1487</v>
      </c>
      <c r="EG7" s="43">
        <v>1625</v>
      </c>
      <c r="EH7" s="43">
        <v>1677</v>
      </c>
      <c r="EI7" s="43">
        <v>1802</v>
      </c>
      <c r="EJ7" s="115">
        <v>326</v>
      </c>
      <c r="EK7" s="115">
        <v>1</v>
      </c>
      <c r="EL7" s="115">
        <v>75</v>
      </c>
      <c r="EM7" s="115">
        <v>0</v>
      </c>
      <c r="EN7" s="115">
        <v>1</v>
      </c>
      <c r="EO7" s="46">
        <v>800.19803152360498</v>
      </c>
      <c r="EP7" s="46">
        <v>825.71977357493472</v>
      </c>
      <c r="EQ7" s="46">
        <v>794.31240112539433</v>
      </c>
      <c r="ER7" s="46">
        <v>813.54401805869077</v>
      </c>
      <c r="ES7" s="46">
        <v>869.19438713225759</v>
      </c>
      <c r="ET7" s="46">
        <v>876.37135838731092</v>
      </c>
      <c r="EU7" s="46">
        <v>800.1027628120836</v>
      </c>
      <c r="EV7" s="46">
        <v>761.63605482600326</v>
      </c>
      <c r="EW7" s="46">
        <v>1077.262658824799</v>
      </c>
      <c r="EX7" s="46">
        <v>1044.6700812849988</v>
      </c>
      <c r="EY7" s="46">
        <v>1015.4130855822247</v>
      </c>
      <c r="EZ7" s="46">
        <v>929.62970398003131</v>
      </c>
      <c r="FA7" s="46">
        <v>707.47404032673819</v>
      </c>
      <c r="FB7" s="46">
        <v>726.98676294684378</v>
      </c>
      <c r="FC7" s="46">
        <v>627.08884367789176</v>
      </c>
      <c r="FD7" s="46">
        <v>624.68175131690498</v>
      </c>
      <c r="FE7" s="43">
        <v>334</v>
      </c>
      <c r="FF7" s="43">
        <v>331</v>
      </c>
      <c r="FG7" s="43">
        <v>355</v>
      </c>
      <c r="FH7" s="43">
        <v>395</v>
      </c>
      <c r="FI7" s="46">
        <v>201.26962240077449</v>
      </c>
      <c r="FJ7" s="46">
        <v>183.93319954595145</v>
      </c>
      <c r="FK7" s="46">
        <v>174.01837680043445</v>
      </c>
      <c r="FL7" s="46">
        <v>171.08785420115487</v>
      </c>
      <c r="FM7" s="43">
        <v>395</v>
      </c>
      <c r="FN7" s="43">
        <v>389</v>
      </c>
      <c r="FO7" s="43">
        <v>341</v>
      </c>
      <c r="FP7" s="43">
        <v>337</v>
      </c>
      <c r="FQ7" s="46">
        <v>234.2312628441789</v>
      </c>
      <c r="FR7" s="46">
        <v>209.69857034204188</v>
      </c>
      <c r="FS7" s="46">
        <v>162.26049067949799</v>
      </c>
      <c r="FT7" s="46">
        <v>138.33756748269582</v>
      </c>
      <c r="FU7" s="43">
        <v>120</v>
      </c>
      <c r="FV7" s="43">
        <v>117</v>
      </c>
      <c r="FW7" s="43">
        <v>89</v>
      </c>
      <c r="FX7" s="43">
        <v>87</v>
      </c>
      <c r="FY7" s="46">
        <v>70.665328379564514</v>
      </c>
      <c r="FZ7" s="46">
        <v>62.251142548198153</v>
      </c>
      <c r="GA7" s="46">
        <v>42.237783283719565</v>
      </c>
      <c r="GB7" s="46">
        <v>35.574166530659895</v>
      </c>
      <c r="GC7" s="39">
        <v>104</v>
      </c>
      <c r="GD7" s="39">
        <v>109</v>
      </c>
      <c r="GE7" s="39">
        <v>109</v>
      </c>
      <c r="GF7" s="39">
        <v>111</v>
      </c>
      <c r="GG7" s="111">
        <v>54.931230823365659</v>
      </c>
      <c r="GH7" s="111">
        <v>55.904353941896048</v>
      </c>
      <c r="GI7" s="111">
        <v>51.238277686495628</v>
      </c>
      <c r="GJ7" s="111">
        <v>51.469736986229705</v>
      </c>
      <c r="GK7" s="88" t="s">
        <v>318</v>
      </c>
      <c r="GL7" s="88" t="s">
        <v>319</v>
      </c>
      <c r="GM7" s="88" t="s">
        <v>320</v>
      </c>
      <c r="GN7" s="88" t="s">
        <v>321</v>
      </c>
      <c r="GO7" s="88" t="s">
        <v>322</v>
      </c>
      <c r="GP7" s="88" t="s">
        <v>323</v>
      </c>
      <c r="GQ7" s="88" t="s">
        <v>324</v>
      </c>
      <c r="GR7" s="88" t="s">
        <v>325</v>
      </c>
      <c r="GS7" s="88" t="s">
        <v>326</v>
      </c>
      <c r="GT7" s="88" t="s">
        <v>327</v>
      </c>
      <c r="GU7" s="88" t="s">
        <v>328</v>
      </c>
      <c r="GV7" s="88" t="s">
        <v>329</v>
      </c>
      <c r="GW7" s="88" t="s">
        <v>330</v>
      </c>
      <c r="GX7" s="88" t="s">
        <v>331</v>
      </c>
      <c r="GY7" s="88" t="s">
        <v>332</v>
      </c>
      <c r="GZ7" s="88" t="s">
        <v>333</v>
      </c>
      <c r="HA7" s="88" t="s">
        <v>334</v>
      </c>
      <c r="HB7" s="88" t="s">
        <v>335</v>
      </c>
      <c r="HC7" s="88" t="s">
        <v>336</v>
      </c>
      <c r="HD7" s="88" t="s">
        <v>337</v>
      </c>
      <c r="HE7" s="88" t="s">
        <v>338</v>
      </c>
      <c r="HF7" s="88" t="s">
        <v>339</v>
      </c>
      <c r="HG7" s="88" t="s">
        <v>340</v>
      </c>
      <c r="HH7" s="88" t="s">
        <v>341</v>
      </c>
      <c r="HI7" s="88" t="s">
        <v>342</v>
      </c>
      <c r="HJ7" s="88" t="s">
        <v>343</v>
      </c>
      <c r="HK7" s="88" t="s">
        <v>344</v>
      </c>
      <c r="HL7" s="88" t="s">
        <v>345</v>
      </c>
      <c r="HM7" s="88" t="s">
        <v>346</v>
      </c>
      <c r="HN7" s="88" t="s">
        <v>347</v>
      </c>
      <c r="HO7" s="88" t="s">
        <v>348</v>
      </c>
      <c r="HP7" s="88" t="s">
        <v>349</v>
      </c>
      <c r="HQ7" s="88" t="s">
        <v>350</v>
      </c>
      <c r="HR7" s="88" t="s">
        <v>351</v>
      </c>
      <c r="HS7" s="88" t="s">
        <v>352</v>
      </c>
      <c r="HT7" s="88" t="s">
        <v>353</v>
      </c>
      <c r="HU7" s="88" t="s">
        <v>354</v>
      </c>
      <c r="HV7" s="88" t="s">
        <v>355</v>
      </c>
      <c r="HW7" s="88" t="s">
        <v>356</v>
      </c>
      <c r="HX7" s="88" t="s">
        <v>357</v>
      </c>
      <c r="HY7" s="88" t="s">
        <v>358</v>
      </c>
      <c r="HZ7" s="59"/>
      <c r="IA7" s="59"/>
      <c r="IB7" s="59"/>
      <c r="IC7" s="59"/>
      <c r="ID7" s="59"/>
      <c r="IE7" s="59"/>
      <c r="IF7" s="59"/>
      <c r="IG7" s="59"/>
      <c r="IH7" s="59"/>
      <c r="II7" s="59"/>
      <c r="IJ7" s="59"/>
      <c r="IK7" s="59"/>
      <c r="IL7" s="59"/>
      <c r="IM7" s="59"/>
      <c r="IN7" s="59"/>
      <c r="IO7" s="59"/>
      <c r="IP7" s="59"/>
      <c r="IQ7" s="59"/>
      <c r="IR7" s="59"/>
    </row>
    <row r="8" spans="1:252" x14ac:dyDescent="0.2">
      <c r="A8" s="37">
        <v>5</v>
      </c>
      <c r="B8" s="86" t="s">
        <v>64</v>
      </c>
      <c r="C8" s="93">
        <v>39504</v>
      </c>
      <c r="D8" s="93">
        <v>39878</v>
      </c>
      <c r="E8" s="93">
        <v>40193</v>
      </c>
      <c r="F8" s="93">
        <v>38451</v>
      </c>
      <c r="G8" s="93">
        <v>38671</v>
      </c>
      <c r="H8" s="43">
        <v>36611</v>
      </c>
      <c r="I8" s="43">
        <v>805</v>
      </c>
      <c r="J8" s="43">
        <v>199</v>
      </c>
      <c r="K8" s="43">
        <v>443</v>
      </c>
      <c r="L8" s="43">
        <v>689</v>
      </c>
      <c r="M8" s="43">
        <v>15489</v>
      </c>
      <c r="N8" s="43">
        <v>15611</v>
      </c>
      <c r="O8" s="43">
        <v>15741</v>
      </c>
      <c r="P8" s="43">
        <v>15079</v>
      </c>
      <c r="Q8" s="43">
        <v>15155</v>
      </c>
      <c r="R8" s="104">
        <v>14.841080286606651</v>
      </c>
      <c r="S8" s="104">
        <v>15.065438327118519</v>
      </c>
      <c r="T8" s="104">
        <v>14.800547235023041</v>
      </c>
      <c r="U8" s="104">
        <v>17.623632215906895</v>
      </c>
      <c r="V8" s="104">
        <v>17.610667076544729</v>
      </c>
      <c r="W8" s="104">
        <v>30.314164982546391</v>
      </c>
      <c r="X8" s="104">
        <v>30.719456021057251</v>
      </c>
      <c r="Y8" s="104">
        <v>29.903513824884794</v>
      </c>
      <c r="Z8" s="104">
        <v>31.048215597571822</v>
      </c>
      <c r="AA8" s="104">
        <v>30.986781432523824</v>
      </c>
      <c r="AB8" s="104">
        <v>45.155245269153042</v>
      </c>
      <c r="AC8" s="104">
        <v>45.784894348175769</v>
      </c>
      <c r="AD8" s="104">
        <v>44.704061059907836</v>
      </c>
      <c r="AE8" s="104">
        <v>48.671847813478713</v>
      </c>
      <c r="AF8" s="104">
        <v>48.597448509068549</v>
      </c>
      <c r="AG8" s="46">
        <v>5.0589925551830728</v>
      </c>
      <c r="AH8" s="46">
        <v>6.0008628127696291</v>
      </c>
      <c r="AI8" s="46">
        <v>8.7914915515910455</v>
      </c>
      <c r="AJ8" s="46">
        <v>7.9689554264387805</v>
      </c>
      <c r="AK8" s="46">
        <v>6.9612462328621758</v>
      </c>
      <c r="AL8" s="43">
        <v>752</v>
      </c>
      <c r="AM8" s="43">
        <v>823.66666666666663</v>
      </c>
      <c r="AN8" s="43">
        <v>1055.3333333333333</v>
      </c>
      <c r="AO8" s="43">
        <v>823.66666666666663</v>
      </c>
      <c r="AP8" s="43">
        <v>1748.6666666666667</v>
      </c>
      <c r="AQ8" s="43">
        <v>35201.839796584522</v>
      </c>
      <c r="AR8" s="43">
        <v>35467.563139253427</v>
      </c>
      <c r="AS8" s="43">
        <v>34095.411398180491</v>
      </c>
      <c r="AT8" s="43">
        <v>34172.258444734282</v>
      </c>
      <c r="AU8" s="43">
        <v>34270.357632334308</v>
      </c>
      <c r="AV8" s="101">
        <v>53092.425659056047</v>
      </c>
      <c r="AW8" s="101">
        <v>52851.048025341035</v>
      </c>
      <c r="AX8" s="101">
        <v>52079.33861758111</v>
      </c>
      <c r="AY8" s="101">
        <v>51305.931063579999</v>
      </c>
      <c r="AZ8" s="101">
        <v>49482</v>
      </c>
      <c r="BA8" s="47">
        <v>8.6812083129458415</v>
      </c>
      <c r="BB8" s="47">
        <v>10.194558482290843</v>
      </c>
      <c r="BC8" s="47">
        <v>12.15196922142351</v>
      </c>
      <c r="BD8" s="47">
        <v>10.540919060328198</v>
      </c>
      <c r="BE8" s="47">
        <v>11.526824006104139</v>
      </c>
      <c r="BF8" s="47">
        <v>10.232078390923157</v>
      </c>
      <c r="BG8" s="47">
        <v>12.802768166089965</v>
      </c>
      <c r="BH8" s="47">
        <v>13.433454168824444</v>
      </c>
      <c r="BI8" s="47">
        <v>12.654155495978552</v>
      </c>
      <c r="BJ8" s="47">
        <v>14.104070947750827</v>
      </c>
      <c r="BK8" s="43">
        <v>5414</v>
      </c>
      <c r="BL8" s="43">
        <v>5455</v>
      </c>
      <c r="BM8" s="43">
        <v>5559</v>
      </c>
      <c r="BN8" s="43">
        <v>5830</v>
      </c>
      <c r="BO8" s="46">
        <v>28.666420391577393</v>
      </c>
      <c r="BP8" s="46">
        <v>32.447296058661777</v>
      </c>
      <c r="BQ8" s="46">
        <v>32.074114049289442</v>
      </c>
      <c r="BR8" s="46">
        <v>32.658662092624354</v>
      </c>
      <c r="BS8" s="104">
        <v>0.35094200221647581</v>
      </c>
      <c r="BT8" s="104">
        <v>0.38496791934005498</v>
      </c>
      <c r="BU8" s="104">
        <v>0.35977693829825508</v>
      </c>
      <c r="BV8" s="104">
        <v>0.39451114922813035</v>
      </c>
      <c r="BW8" s="46">
        <v>16.900628001477649</v>
      </c>
      <c r="BX8" s="46">
        <v>16.901924839596699</v>
      </c>
      <c r="BY8" s="46">
        <v>16.531750314804821</v>
      </c>
      <c r="BZ8" s="46">
        <v>16.39794168096055</v>
      </c>
      <c r="CA8" s="46">
        <v>84.199584199584194</v>
      </c>
      <c r="CB8" s="46">
        <v>85.091743119266056</v>
      </c>
      <c r="CC8" s="46">
        <v>83.885209713024281</v>
      </c>
      <c r="CD8" s="46">
        <v>89.33</v>
      </c>
      <c r="CE8" s="46">
        <v>1.0395010395010396</v>
      </c>
      <c r="CF8" s="46">
        <v>1.834862385321101</v>
      </c>
      <c r="CG8" s="46">
        <v>2.2075055187637971</v>
      </c>
      <c r="CH8" s="46">
        <v>0.63</v>
      </c>
      <c r="CI8" s="43">
        <v>2438</v>
      </c>
      <c r="CJ8" s="43">
        <v>2594</v>
      </c>
      <c r="CK8" s="43">
        <v>2960</v>
      </c>
      <c r="CL8" s="43">
        <v>2941</v>
      </c>
      <c r="CM8" s="46">
        <v>15.000769112444239</v>
      </c>
      <c r="CN8" s="46">
        <v>15.059419103517541</v>
      </c>
      <c r="CO8" s="46">
        <v>15.70016920114781</v>
      </c>
      <c r="CP8" s="46">
        <v>14.951931142823733</v>
      </c>
      <c r="CQ8" s="43">
        <v>105</v>
      </c>
      <c r="CR8" s="43">
        <v>118</v>
      </c>
      <c r="CS8" s="43">
        <v>159</v>
      </c>
      <c r="CT8" s="43">
        <v>141</v>
      </c>
      <c r="CU8" s="46">
        <v>4.4416243654822338</v>
      </c>
      <c r="CV8" s="46">
        <v>4.6751188589540416</v>
      </c>
      <c r="CW8" s="46">
        <v>5.5613850996852046</v>
      </c>
      <c r="CX8" s="46">
        <v>4.9249039469088371</v>
      </c>
      <c r="CY8" s="43">
        <v>162</v>
      </c>
      <c r="CZ8" s="43">
        <v>188</v>
      </c>
      <c r="DA8" s="43">
        <v>268</v>
      </c>
      <c r="DB8" s="43">
        <v>305</v>
      </c>
      <c r="DC8" s="46">
        <v>7.0373588184187659</v>
      </c>
      <c r="DD8" s="46">
        <v>7.5775896815800081</v>
      </c>
      <c r="DE8" s="46">
        <v>9.4565984474241347</v>
      </c>
      <c r="DF8" s="46">
        <v>10.792639773531493</v>
      </c>
      <c r="DG8" s="46">
        <v>85.090609555189459</v>
      </c>
      <c r="DH8" s="46">
        <v>89.386337321497493</v>
      </c>
      <c r="DI8" s="46">
        <v>89.942431425668815</v>
      </c>
      <c r="DJ8" s="46">
        <v>89.123764064098197</v>
      </c>
      <c r="DK8" s="46">
        <v>20.445177246496289</v>
      </c>
      <c r="DL8" s="46">
        <v>17.174835970667697</v>
      </c>
      <c r="DM8" s="46">
        <v>16.818950930626059</v>
      </c>
      <c r="DN8" s="46">
        <v>17.789115646258505</v>
      </c>
      <c r="DO8" s="46">
        <v>22.436423297785069</v>
      </c>
      <c r="DP8" s="46">
        <v>28.488820354664611</v>
      </c>
      <c r="DQ8" s="46">
        <v>30.844594594594593</v>
      </c>
      <c r="DR8" s="46">
        <v>33.52601156069364</v>
      </c>
      <c r="DS8" s="46">
        <v>31.650071123755335</v>
      </c>
      <c r="DT8" s="46">
        <v>38.70673952641166</v>
      </c>
      <c r="DU8" s="46">
        <v>35.464454205303397</v>
      </c>
      <c r="DV8" s="46">
        <v>29.351535836177476</v>
      </c>
      <c r="DW8" s="43">
        <v>518</v>
      </c>
      <c r="DX8" s="43">
        <v>29</v>
      </c>
      <c r="DY8" s="43">
        <v>1</v>
      </c>
      <c r="DZ8" s="43">
        <v>4</v>
      </c>
      <c r="EA8" s="43">
        <v>6</v>
      </c>
      <c r="EB8" s="43">
        <v>11</v>
      </c>
      <c r="EC8" s="43">
        <v>15</v>
      </c>
      <c r="ED8" s="43">
        <v>18</v>
      </c>
      <c r="EE8" s="43">
        <v>12</v>
      </c>
      <c r="EF8" s="43">
        <v>1303</v>
      </c>
      <c r="EG8" s="43">
        <v>1514</v>
      </c>
      <c r="EH8" s="43">
        <v>1563</v>
      </c>
      <c r="EI8" s="43">
        <v>1551</v>
      </c>
      <c r="EJ8" s="115">
        <v>318</v>
      </c>
      <c r="EK8" s="115">
        <v>1</v>
      </c>
      <c r="EL8" s="115">
        <v>3</v>
      </c>
      <c r="EM8" s="115">
        <v>1</v>
      </c>
      <c r="EN8" s="115">
        <v>1</v>
      </c>
      <c r="EO8" s="46">
        <v>801.72281187509611</v>
      </c>
      <c r="EP8" s="46">
        <v>878.94990449982879</v>
      </c>
      <c r="EQ8" s="46">
        <v>829.03258315520361</v>
      </c>
      <c r="ER8" s="46">
        <v>788.52244823256069</v>
      </c>
      <c r="ES8" s="46">
        <v>796.47481102503821</v>
      </c>
      <c r="ET8" s="46">
        <v>888.53730105522641</v>
      </c>
      <c r="EU8" s="46">
        <v>888.69029231447462</v>
      </c>
      <c r="EV8" s="46">
        <v>770.0224450192303</v>
      </c>
      <c r="EW8" s="46">
        <v>986.76312904104088</v>
      </c>
      <c r="EX8" s="46">
        <v>1054.7073392134801</v>
      </c>
      <c r="EY8" s="46">
        <v>1039.3674761157422</v>
      </c>
      <c r="EZ8" s="46">
        <v>919.65114154462685</v>
      </c>
      <c r="FA8" s="46">
        <v>647.03344415377148</v>
      </c>
      <c r="FB8" s="46">
        <v>763.09572758677598</v>
      </c>
      <c r="FC8" s="46">
        <v>771.46321902906914</v>
      </c>
      <c r="FD8" s="46">
        <v>652.01354584505566</v>
      </c>
      <c r="FE8" s="43">
        <v>279</v>
      </c>
      <c r="FF8" s="43">
        <v>291</v>
      </c>
      <c r="FG8" s="43">
        <v>336</v>
      </c>
      <c r="FH8" s="43">
        <v>323</v>
      </c>
      <c r="FI8" s="46">
        <v>188.91973676203264</v>
      </c>
      <c r="FJ8" s="46">
        <v>190.01635311361025</v>
      </c>
      <c r="FK8" s="46">
        <v>205.02163881130119</v>
      </c>
      <c r="FL8" s="46">
        <v>174.03568215088052</v>
      </c>
      <c r="FM8" s="43">
        <v>440</v>
      </c>
      <c r="FN8" s="43">
        <v>481</v>
      </c>
      <c r="FO8" s="43">
        <v>392</v>
      </c>
      <c r="FP8" s="43">
        <v>348</v>
      </c>
      <c r="FQ8" s="46">
        <v>264.26391143019271</v>
      </c>
      <c r="FR8" s="46">
        <v>278.48086422039125</v>
      </c>
      <c r="FS8" s="46">
        <v>221.51323560764007</v>
      </c>
      <c r="FT8" s="46">
        <v>169.1517966472224</v>
      </c>
      <c r="FU8" s="43">
        <v>117</v>
      </c>
      <c r="FV8" s="43">
        <v>142</v>
      </c>
      <c r="FW8" s="43">
        <v>137</v>
      </c>
      <c r="FX8" s="43">
        <v>91</v>
      </c>
      <c r="FY8" s="46">
        <v>65.074338458075658</v>
      </c>
      <c r="FZ8" s="46">
        <v>80.081535609577003</v>
      </c>
      <c r="GA8" s="46">
        <v>74.201644192180112</v>
      </c>
      <c r="GB8" s="46">
        <v>43.504689263881005</v>
      </c>
      <c r="GC8" s="39">
        <v>55</v>
      </c>
      <c r="GD8" s="39">
        <v>70</v>
      </c>
      <c r="GE8" s="39">
        <v>75</v>
      </c>
      <c r="GF8" s="39">
        <v>71</v>
      </c>
      <c r="GG8" s="111">
        <v>33.982607259434971</v>
      </c>
      <c r="GH8" s="111">
        <v>39.584019510271894</v>
      </c>
      <c r="GI8" s="111">
        <v>39.755557630697851</v>
      </c>
      <c r="GJ8" s="111">
        <v>35.096424479246565</v>
      </c>
      <c r="GK8" s="88" t="s">
        <v>359</v>
      </c>
      <c r="GL8" s="88" t="s">
        <v>360</v>
      </c>
      <c r="GM8" s="88" t="s">
        <v>361</v>
      </c>
      <c r="GN8" s="88" t="s">
        <v>362</v>
      </c>
      <c r="GO8" s="88" t="s">
        <v>363</v>
      </c>
      <c r="GP8" s="88" t="s">
        <v>364</v>
      </c>
      <c r="GQ8" s="88" t="s">
        <v>365</v>
      </c>
      <c r="GR8" s="88" t="s">
        <v>366</v>
      </c>
      <c r="GS8" s="88" t="s">
        <v>367</v>
      </c>
      <c r="GT8" s="88" t="s">
        <v>368</v>
      </c>
      <c r="GU8" s="88" t="s">
        <v>369</v>
      </c>
      <c r="GV8" s="88" t="s">
        <v>370</v>
      </c>
      <c r="GW8" s="88" t="s">
        <v>371</v>
      </c>
      <c r="GX8" s="88" t="s">
        <v>372</v>
      </c>
      <c r="GY8" s="88" t="s">
        <v>373</v>
      </c>
      <c r="GZ8" s="88" t="s">
        <v>374</v>
      </c>
      <c r="HA8" s="88" t="s">
        <v>375</v>
      </c>
      <c r="HB8" s="88" t="s">
        <v>376</v>
      </c>
      <c r="HC8" s="88" t="s">
        <v>377</v>
      </c>
      <c r="HD8" s="88" t="s">
        <v>378</v>
      </c>
      <c r="HE8" s="88" t="s">
        <v>379</v>
      </c>
      <c r="HF8" s="88" t="s">
        <v>380</v>
      </c>
      <c r="HG8" s="88" t="s">
        <v>381</v>
      </c>
      <c r="HH8" s="88" t="s">
        <v>382</v>
      </c>
      <c r="HI8" s="88" t="s">
        <v>383</v>
      </c>
      <c r="HJ8" s="88" t="s">
        <v>384</v>
      </c>
      <c r="HK8" s="88" t="s">
        <v>385</v>
      </c>
      <c r="HL8" s="88" t="s">
        <v>386</v>
      </c>
      <c r="HM8" s="88" t="s">
        <v>387</v>
      </c>
      <c r="HN8" s="88" t="s">
        <v>388</v>
      </c>
      <c r="HO8" s="88" t="s">
        <v>389</v>
      </c>
      <c r="HP8" s="88" t="s">
        <v>390</v>
      </c>
      <c r="HQ8" s="88" t="s">
        <v>391</v>
      </c>
      <c r="HR8" s="88" t="s">
        <v>392</v>
      </c>
      <c r="HS8" s="88" t="s">
        <v>393</v>
      </c>
      <c r="HT8" s="88" t="s">
        <v>394</v>
      </c>
      <c r="HU8" s="88" t="s">
        <v>395</v>
      </c>
      <c r="HV8" s="88" t="s">
        <v>396</v>
      </c>
      <c r="HW8" s="88" t="s">
        <v>397</v>
      </c>
      <c r="HX8" s="88" t="s">
        <v>398</v>
      </c>
      <c r="HY8" s="88" t="s">
        <v>399</v>
      </c>
      <c r="HZ8" s="59"/>
      <c r="IA8" s="59"/>
      <c r="IB8" s="59"/>
      <c r="IC8" s="59"/>
      <c r="ID8" s="59"/>
      <c r="IE8" s="59"/>
      <c r="IF8" s="59"/>
      <c r="IG8" s="59"/>
      <c r="IH8" s="59"/>
      <c r="II8" s="59"/>
      <c r="IJ8" s="59"/>
      <c r="IK8" s="59"/>
      <c r="IL8" s="59"/>
      <c r="IM8" s="59"/>
      <c r="IN8" s="59"/>
      <c r="IO8" s="59"/>
      <c r="IP8" s="59"/>
      <c r="IQ8" s="59"/>
      <c r="IR8" s="59"/>
    </row>
    <row r="9" spans="1:252" x14ac:dyDescent="0.2">
      <c r="A9" s="37">
        <v>6</v>
      </c>
      <c r="B9" s="86" t="s">
        <v>65</v>
      </c>
      <c r="C9" s="93">
        <v>5385</v>
      </c>
      <c r="D9" s="93">
        <v>5365</v>
      </c>
      <c r="E9" s="93">
        <v>5251</v>
      </c>
      <c r="F9" s="93">
        <v>5269</v>
      </c>
      <c r="G9" s="93">
        <v>5238</v>
      </c>
      <c r="H9" s="43">
        <v>5148</v>
      </c>
      <c r="I9" s="43">
        <v>14</v>
      </c>
      <c r="J9" s="43">
        <v>25</v>
      </c>
      <c r="K9" s="43">
        <v>6</v>
      </c>
      <c r="L9" s="43">
        <v>48</v>
      </c>
      <c r="M9" s="43">
        <v>2259</v>
      </c>
      <c r="N9" s="43">
        <v>2261</v>
      </c>
      <c r="O9" s="43">
        <v>2222</v>
      </c>
      <c r="P9" s="43">
        <v>2293</v>
      </c>
      <c r="Q9" s="43">
        <v>2285</v>
      </c>
      <c r="R9" s="104">
        <v>43.217665615141954</v>
      </c>
      <c r="S9" s="104">
        <v>44.546899841017485</v>
      </c>
      <c r="T9" s="104">
        <v>42.333873581847648</v>
      </c>
      <c r="U9" s="104">
        <v>43.367179823124793</v>
      </c>
      <c r="V9" s="104">
        <v>43.764472378432018</v>
      </c>
      <c r="W9" s="104">
        <v>26.656151419558359</v>
      </c>
      <c r="X9" s="104">
        <v>26.04133545310016</v>
      </c>
      <c r="Y9" s="104">
        <v>27.876823338735818</v>
      </c>
      <c r="Z9" s="104">
        <v>29.217163445791027</v>
      </c>
      <c r="AA9" s="104">
        <v>29.507112140258023</v>
      </c>
      <c r="AB9" s="104">
        <v>69.873817034700309</v>
      </c>
      <c r="AC9" s="104">
        <v>70.588235294117652</v>
      </c>
      <c r="AD9" s="104">
        <v>70.210696920583473</v>
      </c>
      <c r="AE9" s="104">
        <v>72.584343268915816</v>
      </c>
      <c r="AF9" s="104">
        <v>73.271584518690048</v>
      </c>
      <c r="AG9" s="46">
        <v>4.8128342245989302</v>
      </c>
      <c r="AH9" s="46">
        <v>5.4726368159203984</v>
      </c>
      <c r="AI9" s="46">
        <v>5.9661016949152543</v>
      </c>
      <c r="AJ9" s="46">
        <v>6.0272197018794555</v>
      </c>
      <c r="AK9" s="46">
        <v>6.2624254473161036</v>
      </c>
      <c r="AL9" s="43">
        <v>108.83333333333333</v>
      </c>
      <c r="AM9" s="43">
        <v>117.75</v>
      </c>
      <c r="AN9" s="43">
        <v>132.25</v>
      </c>
      <c r="AO9" s="43">
        <v>117.75</v>
      </c>
      <c r="AP9" s="43">
        <v>179.16666666666666</v>
      </c>
      <c r="AQ9" s="43">
        <v>35670.693278555271</v>
      </c>
      <c r="AR9" s="43">
        <v>40106.611803905274</v>
      </c>
      <c r="AS9" s="43">
        <v>39283.79734688958</v>
      </c>
      <c r="AT9" s="43">
        <v>40307.625235647174</v>
      </c>
      <c r="AU9" s="43">
        <v>39620.84765177549</v>
      </c>
      <c r="AV9" s="101">
        <v>43121.390610681869</v>
      </c>
      <c r="AW9" s="101">
        <v>41547.837940019417</v>
      </c>
      <c r="AX9" s="101">
        <v>41009.425446426489</v>
      </c>
      <c r="AY9" s="101">
        <v>42117.779061342037</v>
      </c>
      <c r="AZ9" s="101">
        <v>43190</v>
      </c>
      <c r="BA9" s="47">
        <v>11.840091813312931</v>
      </c>
      <c r="BB9" s="47">
        <v>12.576804915514593</v>
      </c>
      <c r="BC9" s="47">
        <v>11.606441476826394</v>
      </c>
      <c r="BD9" s="47">
        <v>11.290951638065522</v>
      </c>
      <c r="BE9" s="47">
        <v>14.997059400117625</v>
      </c>
      <c r="BF9" s="47">
        <v>15.441176470588236</v>
      </c>
      <c r="BG9" s="47">
        <v>16.187739463601531</v>
      </c>
      <c r="BH9" s="47">
        <v>15.700934579439252</v>
      </c>
      <c r="BI9" s="47">
        <v>15.45538178472861</v>
      </c>
      <c r="BJ9" s="47">
        <v>21.028037383177569</v>
      </c>
      <c r="BK9" s="43">
        <v>905</v>
      </c>
      <c r="BL9" s="43">
        <v>897</v>
      </c>
      <c r="BM9" s="43">
        <v>904</v>
      </c>
      <c r="BN9" s="43">
        <v>868</v>
      </c>
      <c r="BO9" s="46">
        <v>44.19889502762431</v>
      </c>
      <c r="BP9" s="46">
        <v>42.474916387959865</v>
      </c>
      <c r="BQ9" s="46">
        <v>46.017699115044245</v>
      </c>
      <c r="BR9" s="46">
        <v>44.124423963133637</v>
      </c>
      <c r="BS9" s="104">
        <v>0.22099447513812154</v>
      </c>
      <c r="BT9" s="104">
        <v>0.55741360089186176</v>
      </c>
      <c r="BU9" s="104">
        <v>0.33185840707964603</v>
      </c>
      <c r="BV9" s="104">
        <v>0</v>
      </c>
      <c r="BW9" s="46">
        <v>13.591160220994475</v>
      </c>
      <c r="BX9" s="46">
        <v>13.154960981047937</v>
      </c>
      <c r="BY9" s="46">
        <v>14.269911504424778</v>
      </c>
      <c r="BZ9" s="46">
        <v>13.364055299539171</v>
      </c>
      <c r="CA9" s="46">
        <v>94.318181818181813</v>
      </c>
      <c r="CB9" s="46">
        <v>96.703296703296701</v>
      </c>
      <c r="CC9" s="46">
        <v>92.222222222222229</v>
      </c>
      <c r="CD9" s="46">
        <v>92.41</v>
      </c>
      <c r="CE9" s="46">
        <v>0</v>
      </c>
      <c r="CF9" s="46">
        <v>50.549450549450547</v>
      </c>
      <c r="CG9" s="46">
        <v>3.3333333333333335</v>
      </c>
      <c r="CH9" s="46">
        <v>2.5299999999999998</v>
      </c>
      <c r="CI9" s="43">
        <v>298</v>
      </c>
      <c r="CJ9" s="43">
        <v>273</v>
      </c>
      <c r="CK9" s="43">
        <v>272</v>
      </c>
      <c r="CL9" s="43">
        <v>311</v>
      </c>
      <c r="CM9" s="46">
        <v>10.009068619218755</v>
      </c>
      <c r="CN9" s="46">
        <v>9.593421653723162</v>
      </c>
      <c r="CO9" s="46">
        <v>9.741073666869605</v>
      </c>
      <c r="CP9" s="46">
        <v>11.73230722800664</v>
      </c>
      <c r="CQ9" s="43">
        <v>8</v>
      </c>
      <c r="CR9" s="43">
        <v>9</v>
      </c>
      <c r="CS9" s="43">
        <v>8</v>
      </c>
      <c r="CT9" s="43">
        <v>5</v>
      </c>
      <c r="CU9" s="46">
        <v>2.7210884353741496</v>
      </c>
      <c r="CV9" s="46">
        <v>3.3210332103321032</v>
      </c>
      <c r="CW9" s="46">
        <v>3.007518796992481</v>
      </c>
      <c r="CX9" s="46">
        <v>1.6501650165016502</v>
      </c>
      <c r="CY9" s="43">
        <v>16</v>
      </c>
      <c r="CZ9" s="43">
        <v>18</v>
      </c>
      <c r="DA9" s="43">
        <v>23</v>
      </c>
      <c r="DB9" s="43">
        <v>24</v>
      </c>
      <c r="DC9" s="46">
        <v>6.0150375939849621</v>
      </c>
      <c r="DD9" s="46">
        <v>6.8441064638783269</v>
      </c>
      <c r="DE9" s="46">
        <v>8.778625954198473</v>
      </c>
      <c r="DF9" s="46">
        <v>8.053691275167786</v>
      </c>
      <c r="DG9" s="46">
        <v>76.206896551724142</v>
      </c>
      <c r="DH9" s="46">
        <v>81.617647058823536</v>
      </c>
      <c r="DI9" s="46">
        <v>81.180811808118079</v>
      </c>
      <c r="DJ9" s="46">
        <v>82.666666666666671</v>
      </c>
      <c r="DK9" s="46">
        <v>17.375886524822697</v>
      </c>
      <c r="DL9" s="46">
        <v>17.777777777777779</v>
      </c>
      <c r="DM9" s="46">
        <v>9.1911764705882355</v>
      </c>
      <c r="DN9" s="46">
        <v>17.041800643086816</v>
      </c>
      <c r="DO9" s="46">
        <v>21.812080536912752</v>
      </c>
      <c r="DP9" s="46">
        <v>26.007326007326007</v>
      </c>
      <c r="DQ9" s="46">
        <v>23.161764705882351</v>
      </c>
      <c r="DR9" s="46">
        <v>26.04501607717042</v>
      </c>
      <c r="DS9" s="46">
        <v>25.562372188139058</v>
      </c>
      <c r="DT9" s="46">
        <v>31.423290203327173</v>
      </c>
      <c r="DU9" s="46" t="s">
        <v>39</v>
      </c>
      <c r="DV9" s="46" t="s">
        <v>39</v>
      </c>
      <c r="DW9" s="43">
        <v>58</v>
      </c>
      <c r="DX9" s="43">
        <v>0</v>
      </c>
      <c r="DY9" s="43">
        <v>1</v>
      </c>
      <c r="DZ9" s="43">
        <v>0</v>
      </c>
      <c r="EA9" s="43">
        <v>3</v>
      </c>
      <c r="EB9" s="43">
        <v>2</v>
      </c>
      <c r="EC9" s="43">
        <v>1</v>
      </c>
      <c r="ED9" s="43">
        <v>2</v>
      </c>
      <c r="EE9" s="43">
        <v>2</v>
      </c>
      <c r="EF9" s="43">
        <v>509</v>
      </c>
      <c r="EG9" s="43">
        <v>469</v>
      </c>
      <c r="EH9" s="43">
        <v>418</v>
      </c>
      <c r="EI9" s="43">
        <v>404</v>
      </c>
      <c r="EJ9" s="115">
        <v>86</v>
      </c>
      <c r="EK9" s="115">
        <v>0</v>
      </c>
      <c r="EL9" s="115">
        <v>1</v>
      </c>
      <c r="EM9" s="115">
        <v>0</v>
      </c>
      <c r="EN9" s="115">
        <v>1</v>
      </c>
      <c r="EO9" s="46">
        <v>1709.6026601283043</v>
      </c>
      <c r="EP9" s="46">
        <v>1648.1006430755174</v>
      </c>
      <c r="EQ9" s="46">
        <v>1496.9738208645203</v>
      </c>
      <c r="ER9" s="46">
        <v>1524.0682058246566</v>
      </c>
      <c r="ES9" s="46">
        <v>917.66887798267874</v>
      </c>
      <c r="ET9" s="46">
        <v>853.98291141642267</v>
      </c>
      <c r="EU9" s="46">
        <v>771.20509323318299</v>
      </c>
      <c r="EV9" s="46">
        <v>696.31059351663703</v>
      </c>
      <c r="EW9" s="46">
        <v>1140.4927819990617</v>
      </c>
      <c r="EX9" s="46">
        <v>1091.8066988747096</v>
      </c>
      <c r="EY9" s="46">
        <v>906.42372293487176</v>
      </c>
      <c r="EZ9" s="46">
        <v>842.58451580651717</v>
      </c>
      <c r="FA9" s="46">
        <v>757.04513457928488</v>
      </c>
      <c r="FB9" s="46">
        <v>665.36780727672522</v>
      </c>
      <c r="FC9" s="46">
        <v>642.30601161547281</v>
      </c>
      <c r="FD9" s="46">
        <v>586.42080200176269</v>
      </c>
      <c r="FE9" s="43">
        <v>123</v>
      </c>
      <c r="FF9" s="43">
        <v>120</v>
      </c>
      <c r="FG9" s="43">
        <v>107</v>
      </c>
      <c r="FH9" s="43">
        <v>100</v>
      </c>
      <c r="FI9" s="46">
        <v>255.25377923160079</v>
      </c>
      <c r="FJ9" s="46">
        <v>231.93258500279248</v>
      </c>
      <c r="FK9" s="46">
        <v>219.79317461647562</v>
      </c>
      <c r="FL9" s="46">
        <v>188.06336859081628</v>
      </c>
      <c r="FM9" s="43">
        <v>214</v>
      </c>
      <c r="FN9" s="43">
        <v>170</v>
      </c>
      <c r="FO9" s="43">
        <v>127</v>
      </c>
      <c r="FP9" s="43">
        <v>99</v>
      </c>
      <c r="FQ9" s="46">
        <v>351.3101683407354</v>
      </c>
      <c r="FR9" s="46">
        <v>288.08520958650547</v>
      </c>
      <c r="FS9" s="46">
        <v>205.09616604371158</v>
      </c>
      <c r="FT9" s="46">
        <v>151.68529415488359</v>
      </c>
      <c r="FU9" s="43">
        <v>32</v>
      </c>
      <c r="FV9" s="43">
        <v>48</v>
      </c>
      <c r="FW9" s="43">
        <v>38</v>
      </c>
      <c r="FX9" s="43">
        <v>31</v>
      </c>
      <c r="FY9" s="46">
        <v>46.396048249577575</v>
      </c>
      <c r="FZ9" s="46">
        <v>73.990688367802434</v>
      </c>
      <c r="GA9" s="46">
        <v>56.729485778060806</v>
      </c>
      <c r="GB9" s="46">
        <v>44.153276185367709</v>
      </c>
      <c r="GC9" s="39">
        <v>13</v>
      </c>
      <c r="GD9" s="39">
        <v>16</v>
      </c>
      <c r="GE9" s="39">
        <v>19</v>
      </c>
      <c r="GF9" s="39">
        <v>15</v>
      </c>
      <c r="GG9" s="111" t="s">
        <v>39</v>
      </c>
      <c r="GH9" s="111" t="s">
        <v>39</v>
      </c>
      <c r="GI9" s="111" t="s">
        <v>39</v>
      </c>
      <c r="GJ9" s="111" t="s">
        <v>39</v>
      </c>
      <c r="GK9" s="88" t="s">
        <v>400</v>
      </c>
      <c r="GL9" s="88" t="s">
        <v>401</v>
      </c>
      <c r="GM9" s="88" t="s">
        <v>402</v>
      </c>
      <c r="GN9" s="88" t="s">
        <v>403</v>
      </c>
      <c r="GO9" s="88" t="s">
        <v>404</v>
      </c>
      <c r="GP9" s="88" t="s">
        <v>405</v>
      </c>
      <c r="GQ9" s="88" t="s">
        <v>406</v>
      </c>
      <c r="GR9" s="88" t="s">
        <v>407</v>
      </c>
      <c r="GS9" s="88" t="s">
        <v>408</v>
      </c>
      <c r="GT9" s="88" t="s">
        <v>409</v>
      </c>
      <c r="GU9" s="88" t="s">
        <v>410</v>
      </c>
      <c r="GV9" s="88" t="s">
        <v>411</v>
      </c>
      <c r="GW9" s="88" t="s">
        <v>412</v>
      </c>
      <c r="GX9" s="88" t="s">
        <v>413</v>
      </c>
      <c r="GY9" s="88" t="s">
        <v>414</v>
      </c>
      <c r="GZ9" s="88" t="s">
        <v>415</v>
      </c>
      <c r="HA9" s="88" t="s">
        <v>416</v>
      </c>
      <c r="HB9" s="88" t="s">
        <v>417</v>
      </c>
      <c r="HC9" s="88" t="s">
        <v>418</v>
      </c>
      <c r="HD9" s="88" t="s">
        <v>419</v>
      </c>
      <c r="HE9" s="88" t="s">
        <v>420</v>
      </c>
      <c r="HF9" s="88" t="s">
        <v>421</v>
      </c>
      <c r="HG9" s="88" t="s">
        <v>422</v>
      </c>
      <c r="HH9" s="88" t="s">
        <v>423</v>
      </c>
      <c r="HI9" s="88" t="s">
        <v>424</v>
      </c>
      <c r="HJ9" s="88" t="s">
        <v>425</v>
      </c>
      <c r="HK9" s="88" t="s">
        <v>426</v>
      </c>
      <c r="HL9" s="88" t="s">
        <v>427</v>
      </c>
      <c r="HM9" s="88" t="s">
        <v>428</v>
      </c>
      <c r="HN9" s="88" t="s">
        <v>429</v>
      </c>
      <c r="HO9" s="88" t="s">
        <v>430</v>
      </c>
      <c r="HP9" s="88" t="s">
        <v>431</v>
      </c>
      <c r="HQ9" s="88" t="s">
        <v>432</v>
      </c>
      <c r="HR9" s="88" t="s">
        <v>433</v>
      </c>
      <c r="HS9" s="88" t="s">
        <v>434</v>
      </c>
      <c r="HT9" s="88" t="s">
        <v>435</v>
      </c>
      <c r="HU9" s="88" t="s">
        <v>436</v>
      </c>
      <c r="HV9" s="88" t="s">
        <v>437</v>
      </c>
      <c r="HW9" s="88" t="s">
        <v>438</v>
      </c>
      <c r="HX9" s="88" t="s">
        <v>439</v>
      </c>
      <c r="HY9" s="88" t="s">
        <v>440</v>
      </c>
      <c r="HZ9" s="59"/>
      <c r="IA9" s="59"/>
      <c r="IB9" s="59"/>
      <c r="IC9" s="59"/>
      <c r="ID9" s="59"/>
      <c r="IE9" s="59"/>
      <c r="IF9" s="59"/>
      <c r="IG9" s="59"/>
      <c r="IH9" s="59"/>
      <c r="II9" s="59"/>
      <c r="IJ9" s="59"/>
      <c r="IK9" s="59"/>
      <c r="IL9" s="59"/>
      <c r="IM9" s="59"/>
      <c r="IN9" s="59"/>
      <c r="IO9" s="59"/>
      <c r="IP9" s="59"/>
      <c r="IQ9" s="59"/>
      <c r="IR9" s="59"/>
    </row>
    <row r="10" spans="1:252" ht="21" customHeight="1" x14ac:dyDescent="0.2">
      <c r="A10" s="37">
        <v>7</v>
      </c>
      <c r="B10" s="86" t="s">
        <v>66</v>
      </c>
      <c r="C10" s="93">
        <v>59802</v>
      </c>
      <c r="D10" s="93">
        <v>60401</v>
      </c>
      <c r="E10" s="93">
        <v>61010</v>
      </c>
      <c r="F10" s="93">
        <v>64013</v>
      </c>
      <c r="G10" s="93">
        <v>64384</v>
      </c>
      <c r="H10" s="43">
        <v>59911</v>
      </c>
      <c r="I10" s="43">
        <v>1832</v>
      </c>
      <c r="J10" s="43">
        <v>219</v>
      </c>
      <c r="K10" s="43">
        <v>1481</v>
      </c>
      <c r="L10" s="43">
        <v>1658</v>
      </c>
      <c r="M10" s="44">
        <v>23699</v>
      </c>
      <c r="N10" s="44">
        <v>23974</v>
      </c>
      <c r="O10" s="45">
        <v>24175</v>
      </c>
      <c r="P10" s="45">
        <v>24445</v>
      </c>
      <c r="Q10" s="46">
        <v>24634</v>
      </c>
      <c r="R10" s="105">
        <v>16.019169031777789</v>
      </c>
      <c r="S10" s="105">
        <v>16.103301581429761</v>
      </c>
      <c r="T10" s="105">
        <v>16.397665618018511</v>
      </c>
      <c r="U10" s="105">
        <v>16.450574312565262</v>
      </c>
      <c r="V10" s="105">
        <v>16.659467864547338</v>
      </c>
      <c r="W10" s="105">
        <v>23.100544363281067</v>
      </c>
      <c r="X10" s="105">
        <v>23.545731989272173</v>
      </c>
      <c r="Y10" s="105">
        <v>22.684995212693202</v>
      </c>
      <c r="Z10" s="105">
        <v>22.804994778976681</v>
      </c>
      <c r="AA10" s="105">
        <v>22.386834830684172</v>
      </c>
      <c r="AB10" s="105">
        <v>39.119713395058859</v>
      </c>
      <c r="AC10" s="105">
        <v>39.649033570701931</v>
      </c>
      <c r="AD10" s="105">
        <v>39.08266083071171</v>
      </c>
      <c r="AE10" s="105">
        <v>39.255569091541943</v>
      </c>
      <c r="AF10" s="105">
        <v>39.04630269523151</v>
      </c>
      <c r="AG10" s="46">
        <v>3.8016029863855949</v>
      </c>
      <c r="AH10" s="46">
        <v>4.3551177958205773</v>
      </c>
      <c r="AI10" s="46">
        <v>6.6821431397894848</v>
      </c>
      <c r="AJ10" s="46">
        <v>6.2096035588119847</v>
      </c>
      <c r="AK10" s="45">
        <v>5.3391911099625275</v>
      </c>
      <c r="AL10" s="49">
        <v>1187.0833333333333</v>
      </c>
      <c r="AM10" s="49">
        <v>1268.6666666666667</v>
      </c>
      <c r="AN10" s="49">
        <v>1654.25</v>
      </c>
      <c r="AO10" s="49">
        <v>1268.6666666666667</v>
      </c>
      <c r="AP10" s="49">
        <v>2396.6666666666665</v>
      </c>
      <c r="AQ10" s="49">
        <v>35234.082159850819</v>
      </c>
      <c r="AR10" s="49">
        <v>35980.127298315376</v>
      </c>
      <c r="AS10" s="49">
        <v>34055.871437561691</v>
      </c>
      <c r="AT10" s="49">
        <v>35369.919327300682</v>
      </c>
      <c r="AU10" s="49">
        <v>36808.337475149106</v>
      </c>
      <c r="AV10" s="101">
        <v>54008.055468742459</v>
      </c>
      <c r="AW10" s="101">
        <v>51295.407040310638</v>
      </c>
      <c r="AX10" s="102">
        <v>45062.871583922584</v>
      </c>
      <c r="AY10" s="102">
        <v>48313.360168947424</v>
      </c>
      <c r="AZ10" s="102">
        <v>46280</v>
      </c>
      <c r="BA10" s="99">
        <v>12.295694904390556</v>
      </c>
      <c r="BB10" s="99">
        <v>15.78751988686583</v>
      </c>
      <c r="BC10" s="99">
        <v>17.547542819153588</v>
      </c>
      <c r="BD10" s="99">
        <v>16.94847623322859</v>
      </c>
      <c r="BE10" s="99">
        <v>18.345663075319003</v>
      </c>
      <c r="BF10" s="99">
        <v>11.508951406649617</v>
      </c>
      <c r="BG10" s="99">
        <v>12.144964180362411</v>
      </c>
      <c r="BH10" s="48">
        <v>14.023602377465759</v>
      </c>
      <c r="BI10" s="48">
        <v>14.462066710268148</v>
      </c>
      <c r="BJ10" s="48">
        <v>17.285373281751585</v>
      </c>
      <c r="BK10" s="44">
        <v>9954</v>
      </c>
      <c r="BL10" s="44">
        <v>9938</v>
      </c>
      <c r="BM10" s="44">
        <v>10082</v>
      </c>
      <c r="BN10" s="42">
        <v>10184</v>
      </c>
      <c r="BO10" s="45">
        <v>31.24372111713884</v>
      </c>
      <c r="BP10" s="45">
        <v>33.839806802173477</v>
      </c>
      <c r="BQ10" s="45">
        <v>34.318587581829</v>
      </c>
      <c r="BR10" s="46">
        <v>35.280832678711704</v>
      </c>
      <c r="BS10" s="105">
        <v>3.4257584890496284</v>
      </c>
      <c r="BT10" s="105">
        <v>3.5822097001408735</v>
      </c>
      <c r="BU10" s="105">
        <v>3.5707200952192024</v>
      </c>
      <c r="BV10" s="105">
        <v>4.0750196386488611</v>
      </c>
      <c r="BW10" s="45">
        <v>17.902350813743219</v>
      </c>
      <c r="BX10" s="45">
        <v>18.373918293419198</v>
      </c>
      <c r="BY10" s="45">
        <v>18.736361832969649</v>
      </c>
      <c r="BZ10" s="45">
        <v>17.979183032207384</v>
      </c>
      <c r="CA10" s="44">
        <v>77.790973871733968</v>
      </c>
      <c r="CB10" s="44">
        <v>80.886075949367083</v>
      </c>
      <c r="CC10" s="44">
        <v>82.299741602067186</v>
      </c>
      <c r="CD10" s="45">
        <v>83.49</v>
      </c>
      <c r="CE10" s="45">
        <v>6.6508313539192399</v>
      </c>
      <c r="CF10" s="45">
        <v>0</v>
      </c>
      <c r="CG10" s="45">
        <v>5.5555555555555554</v>
      </c>
      <c r="CH10" s="45">
        <v>4.8099999999999996</v>
      </c>
      <c r="CI10" s="48">
        <v>3097</v>
      </c>
      <c r="CJ10" s="51">
        <v>3236</v>
      </c>
      <c r="CK10" s="51">
        <v>3575</v>
      </c>
      <c r="CL10" s="57">
        <v>3899</v>
      </c>
      <c r="CM10" s="108">
        <v>11.487772217915287</v>
      </c>
      <c r="CN10" s="108">
        <v>11.815048486972778</v>
      </c>
      <c r="CO10" s="108">
        <v>12.426008765984365</v>
      </c>
      <c r="CP10" s="108">
        <v>12.593262491521592</v>
      </c>
      <c r="CQ10" s="60">
        <v>119</v>
      </c>
      <c r="CR10" s="60">
        <v>116</v>
      </c>
      <c r="CS10" s="60">
        <v>150</v>
      </c>
      <c r="CT10" s="60">
        <v>135</v>
      </c>
      <c r="CU10" s="108">
        <v>3.9338842975206614</v>
      </c>
      <c r="CV10" s="108">
        <v>3.729903536977492</v>
      </c>
      <c r="CW10" s="108">
        <v>4.3528728961114336</v>
      </c>
      <c r="CX10" s="108">
        <v>3.593292520628161</v>
      </c>
      <c r="CY10" s="61">
        <v>189</v>
      </c>
      <c r="CZ10" s="57">
        <v>207</v>
      </c>
      <c r="DA10" s="60">
        <v>247</v>
      </c>
      <c r="DB10" s="60">
        <v>241</v>
      </c>
      <c r="DC10" s="108">
        <v>6.7021276595744679</v>
      </c>
      <c r="DD10" s="108">
        <v>6.993243243243243</v>
      </c>
      <c r="DE10" s="108">
        <v>7.6328800988875152</v>
      </c>
      <c r="DF10" s="108">
        <v>6.6482758620689655</v>
      </c>
      <c r="DG10" s="108">
        <v>88.134453781512605</v>
      </c>
      <c r="DH10" s="108">
        <v>88.779527559055111</v>
      </c>
      <c r="DI10" s="108">
        <v>89.220377146073744</v>
      </c>
      <c r="DJ10" s="108">
        <v>90.977055942253159</v>
      </c>
      <c r="DK10" s="108">
        <v>11.987491313412091</v>
      </c>
      <c r="DL10" s="108">
        <v>13.744958113558797</v>
      </c>
      <c r="DM10" s="108">
        <v>10.759316335107874</v>
      </c>
      <c r="DN10" s="108">
        <v>8.3183568677792046</v>
      </c>
      <c r="DO10" s="108">
        <v>23.029715762273902</v>
      </c>
      <c r="DP10" s="108">
        <v>26.143386897404202</v>
      </c>
      <c r="DQ10" s="108">
        <v>29.986013986013987</v>
      </c>
      <c r="DR10" s="108">
        <v>30.905360348807388</v>
      </c>
      <c r="DS10" s="108">
        <v>17.066112636343401</v>
      </c>
      <c r="DT10" s="108">
        <v>16.520566419420096</v>
      </c>
      <c r="DU10" s="108">
        <v>17.264653641207815</v>
      </c>
      <c r="DV10" s="108">
        <v>12.659066808059386</v>
      </c>
      <c r="DW10" s="62">
        <v>703</v>
      </c>
      <c r="DX10" s="62">
        <v>41</v>
      </c>
      <c r="DY10" s="57">
        <v>4</v>
      </c>
      <c r="DZ10" s="60">
        <v>9</v>
      </c>
      <c r="EA10" s="60">
        <v>22</v>
      </c>
      <c r="EB10" s="60">
        <v>22</v>
      </c>
      <c r="EC10" s="60">
        <v>22</v>
      </c>
      <c r="ED10" s="57">
        <v>12</v>
      </c>
      <c r="EE10" s="60">
        <v>13</v>
      </c>
      <c r="EF10" s="60">
        <v>2050</v>
      </c>
      <c r="EG10" s="60">
        <v>2162</v>
      </c>
      <c r="EH10" s="60">
        <v>2187</v>
      </c>
      <c r="EI10" s="60">
        <v>2262</v>
      </c>
      <c r="EJ10" s="115">
        <v>481</v>
      </c>
      <c r="EK10" s="115">
        <v>1</v>
      </c>
      <c r="EL10" s="115">
        <v>0</v>
      </c>
      <c r="EM10" s="115">
        <v>5</v>
      </c>
      <c r="EN10" s="115">
        <v>2</v>
      </c>
      <c r="EO10" s="108">
        <v>760.41114132148323</v>
      </c>
      <c r="EP10" s="108">
        <v>789.37375861666078</v>
      </c>
      <c r="EQ10" s="108">
        <v>760.15891387993872</v>
      </c>
      <c r="ER10" s="108">
        <v>730.5965569587546</v>
      </c>
      <c r="ES10" s="108">
        <v>761.94265940044033</v>
      </c>
      <c r="ET10" s="108">
        <v>748.02557233509106</v>
      </c>
      <c r="EU10" s="108">
        <v>710.90046827498418</v>
      </c>
      <c r="EV10" s="108">
        <v>671.04808718183665</v>
      </c>
      <c r="EW10" s="108">
        <v>984.10747185880973</v>
      </c>
      <c r="EX10" s="108">
        <v>917.42188419336628</v>
      </c>
      <c r="EY10" s="108">
        <v>834.0582806566083</v>
      </c>
      <c r="EZ10" s="108">
        <v>816.2354121799267</v>
      </c>
      <c r="FA10" s="108">
        <v>605.71374287127333</v>
      </c>
      <c r="FB10" s="108">
        <v>627.74008163352687</v>
      </c>
      <c r="FC10" s="108">
        <v>620.21374083398587</v>
      </c>
      <c r="FD10" s="108">
        <v>562.89225449170976</v>
      </c>
      <c r="FE10" s="57">
        <v>472</v>
      </c>
      <c r="FF10" s="62">
        <v>491</v>
      </c>
      <c r="FG10" s="62">
        <v>471</v>
      </c>
      <c r="FH10" s="62">
        <v>503</v>
      </c>
      <c r="FI10" s="108">
        <v>185.58649621296877</v>
      </c>
      <c r="FJ10" s="108">
        <v>184.9764771562385</v>
      </c>
      <c r="FK10" s="108">
        <v>170.25760975833458</v>
      </c>
      <c r="FL10" s="108">
        <v>164.26490473101586</v>
      </c>
      <c r="FM10" s="62">
        <v>603</v>
      </c>
      <c r="FN10" s="62">
        <v>568</v>
      </c>
      <c r="FO10" s="57">
        <v>468</v>
      </c>
      <c r="FP10" s="62">
        <v>411</v>
      </c>
      <c r="FQ10" s="108">
        <v>221.20369629958552</v>
      </c>
      <c r="FR10" s="108">
        <v>192.56250416560147</v>
      </c>
      <c r="FS10" s="108">
        <v>144.21714495561307</v>
      </c>
      <c r="FT10" s="108">
        <v>116.82723440828951</v>
      </c>
      <c r="FU10" s="60">
        <v>219</v>
      </c>
      <c r="FV10" s="60">
        <v>197</v>
      </c>
      <c r="FW10" s="60">
        <v>155</v>
      </c>
      <c r="FX10" s="60">
        <v>115</v>
      </c>
      <c r="FY10" s="108">
        <v>76.868544747940248</v>
      </c>
      <c r="FZ10" s="108">
        <v>63.238246508950731</v>
      </c>
      <c r="GA10" s="108">
        <v>47.037118299610164</v>
      </c>
      <c r="GB10" s="108">
        <v>32.145690164805124</v>
      </c>
      <c r="GC10" s="63">
        <v>93</v>
      </c>
      <c r="GD10" s="64">
        <v>75</v>
      </c>
      <c r="GE10" s="63">
        <v>79</v>
      </c>
      <c r="GF10" s="63">
        <v>87</v>
      </c>
      <c r="GG10" s="112">
        <v>34.46742693192391</v>
      </c>
      <c r="GH10" s="112">
        <v>25.267871329973087</v>
      </c>
      <c r="GI10" s="112">
        <v>26.29779429307105</v>
      </c>
      <c r="GJ10" s="112">
        <v>27.037391173421749</v>
      </c>
      <c r="GK10" s="63"/>
      <c r="GL10" s="63"/>
      <c r="GM10" s="63"/>
      <c r="GN10" s="64"/>
      <c r="GO10" s="63"/>
      <c r="GP10" s="63"/>
      <c r="GQ10" s="63"/>
      <c r="GR10" s="63"/>
      <c r="GS10" s="64"/>
      <c r="GT10" s="63"/>
      <c r="GU10" s="63"/>
      <c r="GV10" s="63"/>
      <c r="GW10" s="63"/>
      <c r="GX10" s="64"/>
      <c r="GY10" s="64"/>
      <c r="GZ10" s="64"/>
      <c r="HA10" s="64"/>
      <c r="HB10" s="64"/>
      <c r="HC10" s="64"/>
      <c r="HD10" s="65"/>
      <c r="HE10" s="65"/>
      <c r="HF10" s="65"/>
      <c r="HG10" s="65"/>
      <c r="HH10" s="65"/>
      <c r="HI10" s="66"/>
      <c r="HJ10" s="66"/>
      <c r="HK10" s="63"/>
      <c r="HL10" s="64"/>
      <c r="HM10" s="64"/>
      <c r="HN10" s="64"/>
      <c r="HO10" s="64"/>
      <c r="HP10" s="64"/>
      <c r="HQ10" s="64"/>
      <c r="HR10" s="64"/>
      <c r="HS10" s="64"/>
      <c r="HT10" s="64"/>
      <c r="HU10" s="39"/>
      <c r="HV10" s="59"/>
      <c r="HW10" s="59"/>
      <c r="HX10" s="59"/>
      <c r="HY10" s="59"/>
      <c r="HZ10" s="59"/>
      <c r="IA10" s="59"/>
      <c r="IB10" s="59"/>
      <c r="IC10" s="59"/>
      <c r="ID10" s="59"/>
      <c r="IE10" s="59"/>
      <c r="IF10" s="59"/>
      <c r="IG10" s="59"/>
      <c r="IH10" s="59"/>
      <c r="II10" s="59"/>
      <c r="IJ10" s="59"/>
      <c r="IK10" s="59"/>
      <c r="IL10" s="59"/>
      <c r="IM10" s="59"/>
      <c r="IN10" s="59"/>
      <c r="IO10" s="59"/>
      <c r="IP10" s="59"/>
      <c r="IQ10" s="59"/>
      <c r="IR10" s="59"/>
    </row>
    <row r="11" spans="1:252" x14ac:dyDescent="0.2">
      <c r="A11" s="37">
        <v>8</v>
      </c>
      <c r="B11" s="86" t="s">
        <v>67</v>
      </c>
      <c r="C11" s="93">
        <v>26013</v>
      </c>
      <c r="D11" s="93">
        <v>25862</v>
      </c>
      <c r="E11" s="93">
        <v>25603</v>
      </c>
      <c r="F11" s="93">
        <v>25893</v>
      </c>
      <c r="G11" s="93">
        <v>25734</v>
      </c>
      <c r="H11" s="43">
        <v>25280</v>
      </c>
      <c r="I11" s="43">
        <v>85</v>
      </c>
      <c r="J11" s="43">
        <v>34</v>
      </c>
      <c r="K11" s="43">
        <v>175</v>
      </c>
      <c r="L11" s="43">
        <v>859</v>
      </c>
      <c r="M11" s="44">
        <v>10863</v>
      </c>
      <c r="N11" s="44">
        <v>10898</v>
      </c>
      <c r="O11" s="45">
        <v>10890</v>
      </c>
      <c r="P11" s="45">
        <v>10782</v>
      </c>
      <c r="Q11" s="46">
        <v>10781</v>
      </c>
      <c r="R11" s="105">
        <v>28.032009484291642</v>
      </c>
      <c r="S11" s="105">
        <v>28.721876495931067</v>
      </c>
      <c r="T11" s="105">
        <v>28.754813863928113</v>
      </c>
      <c r="U11" s="105">
        <v>29.996326230712711</v>
      </c>
      <c r="V11" s="105">
        <v>30.521964461994077</v>
      </c>
      <c r="W11" s="105">
        <v>26.164789567279193</v>
      </c>
      <c r="X11" s="105">
        <v>26.029200574437532</v>
      </c>
      <c r="Y11" s="105">
        <v>27.752307598263954</v>
      </c>
      <c r="Z11" s="105">
        <v>28.545187362233651</v>
      </c>
      <c r="AA11" s="105">
        <v>28.251480750246792</v>
      </c>
      <c r="AB11" s="105">
        <v>54.196799051570835</v>
      </c>
      <c r="AC11" s="105">
        <v>54.751077070368595</v>
      </c>
      <c r="AD11" s="105">
        <v>56.507121462192067</v>
      </c>
      <c r="AE11" s="105">
        <v>58.541513592946366</v>
      </c>
      <c r="AF11" s="105">
        <v>58.773445212240865</v>
      </c>
      <c r="AG11" s="46">
        <v>4.9060968971148613</v>
      </c>
      <c r="AH11" s="46">
        <v>5.9425133689839571</v>
      </c>
      <c r="AI11" s="46">
        <v>7.5935120820920226</v>
      </c>
      <c r="AJ11" s="46">
        <v>6.8563092633114513</v>
      </c>
      <c r="AK11" s="45">
        <v>5.9946595460614152</v>
      </c>
      <c r="AL11" s="49">
        <v>394.5</v>
      </c>
      <c r="AM11" s="49">
        <v>440.5</v>
      </c>
      <c r="AN11" s="49">
        <v>551.5</v>
      </c>
      <c r="AO11" s="49">
        <v>440.5</v>
      </c>
      <c r="AP11" s="49">
        <v>810.91666666666663</v>
      </c>
      <c r="AQ11" s="49">
        <v>37280.813908484219</v>
      </c>
      <c r="AR11" s="49">
        <v>38948.415436261632</v>
      </c>
      <c r="AS11" s="49">
        <v>37231.573135607112</v>
      </c>
      <c r="AT11" s="49">
        <v>37999.176305285255</v>
      </c>
      <c r="AU11" s="49">
        <v>39204.165695189244</v>
      </c>
      <c r="AV11" s="101">
        <v>50443.174479844893</v>
      </c>
      <c r="AW11" s="101">
        <v>50829.446073672923</v>
      </c>
      <c r="AX11" s="102">
        <v>47131.53408502962</v>
      </c>
      <c r="AY11" s="102">
        <v>45310.473621455036</v>
      </c>
      <c r="AZ11" s="102">
        <v>50339</v>
      </c>
      <c r="BA11" s="99">
        <v>8.6803634926906366</v>
      </c>
      <c r="BB11" s="99">
        <v>9.3515764425936947</v>
      </c>
      <c r="BC11" s="99">
        <v>11.398444390987089</v>
      </c>
      <c r="BD11" s="99">
        <v>9.3258200845240484</v>
      </c>
      <c r="BE11" s="99">
        <v>8.0191162771860185</v>
      </c>
      <c r="BF11" s="99">
        <v>11.227626107394684</v>
      </c>
      <c r="BG11" s="99">
        <v>10.372439478584729</v>
      </c>
      <c r="BH11" s="48">
        <v>12.959001782531194</v>
      </c>
      <c r="BI11" s="48">
        <v>11.942959001782532</v>
      </c>
      <c r="BJ11" s="48">
        <v>11.46438953488372</v>
      </c>
      <c r="BK11" s="44">
        <v>3420</v>
      </c>
      <c r="BL11" s="44">
        <v>3567</v>
      </c>
      <c r="BM11" s="44">
        <v>3540</v>
      </c>
      <c r="BN11" s="42">
        <v>3537</v>
      </c>
      <c r="BO11" s="45">
        <v>30.380116959064328</v>
      </c>
      <c r="BP11" s="45">
        <v>33.024950939164562</v>
      </c>
      <c r="BQ11" s="45">
        <v>35.084745762711862</v>
      </c>
      <c r="BR11" s="46">
        <v>36.047497879558946</v>
      </c>
      <c r="BS11" s="105">
        <v>3.0116959064327484</v>
      </c>
      <c r="BT11" s="105">
        <v>2.1586767591813851</v>
      </c>
      <c r="BU11" s="105">
        <v>2.3163841807909606</v>
      </c>
      <c r="BV11" s="105">
        <v>2.5162567147299972</v>
      </c>
      <c r="BW11" s="45">
        <v>13.654970760233919</v>
      </c>
      <c r="BX11" s="45">
        <v>15.783571628819736</v>
      </c>
      <c r="BY11" s="45">
        <v>16.299435028248588</v>
      </c>
      <c r="BZ11" s="45">
        <v>16.935255866553575</v>
      </c>
      <c r="CA11" s="44">
        <v>86.187845303867405</v>
      </c>
      <c r="CB11" s="44">
        <v>81.76638176638177</v>
      </c>
      <c r="CC11" s="44">
        <v>79.256965944272451</v>
      </c>
      <c r="CD11" s="45">
        <v>85.49</v>
      </c>
      <c r="CE11" s="45">
        <v>3.867403314917127</v>
      </c>
      <c r="CF11" s="45">
        <v>4.5584045584045585</v>
      </c>
      <c r="CG11" s="45">
        <v>4.643962848297214</v>
      </c>
      <c r="CH11" s="45">
        <v>4.32</v>
      </c>
      <c r="CI11" s="48">
        <v>1601</v>
      </c>
      <c r="CJ11" s="51">
        <v>1412</v>
      </c>
      <c r="CK11" s="51">
        <v>1485</v>
      </c>
      <c r="CL11" s="57">
        <v>1442</v>
      </c>
      <c r="CM11" s="108">
        <v>11.778900979245297</v>
      </c>
      <c r="CN11" s="108">
        <v>10.469651357643883</v>
      </c>
      <c r="CO11" s="108">
        <v>11.17919841006956</v>
      </c>
      <c r="CP11" s="108">
        <v>11.169203361604895</v>
      </c>
      <c r="CQ11" s="60">
        <v>62</v>
      </c>
      <c r="CR11" s="60">
        <v>46</v>
      </c>
      <c r="CS11" s="60">
        <v>63</v>
      </c>
      <c r="CT11" s="60">
        <v>48</v>
      </c>
      <c r="CU11" s="108">
        <v>3.9794608472400514</v>
      </c>
      <c r="CV11" s="108">
        <v>3.3576642335766422</v>
      </c>
      <c r="CW11" s="108">
        <v>4.3659043659043659</v>
      </c>
      <c r="CX11" s="108">
        <v>3.4607065609228549</v>
      </c>
      <c r="CY11" s="61">
        <v>103</v>
      </c>
      <c r="CZ11" s="57">
        <v>91</v>
      </c>
      <c r="DA11" s="60">
        <v>128</v>
      </c>
      <c r="DB11" s="60">
        <v>112</v>
      </c>
      <c r="DC11" s="108">
        <v>6.9688768606224629</v>
      </c>
      <c r="DD11" s="108">
        <v>6.7961165048543686</v>
      </c>
      <c r="DE11" s="108">
        <v>9.0715804394046771</v>
      </c>
      <c r="DF11" s="108">
        <v>8.3147735708982928</v>
      </c>
      <c r="DG11" s="108">
        <v>85.573770491803273</v>
      </c>
      <c r="DH11" s="108">
        <v>84.723247232472332</v>
      </c>
      <c r="DI11" s="108">
        <v>89.100817438692104</v>
      </c>
      <c r="DJ11" s="108">
        <v>88.912280701754383</v>
      </c>
      <c r="DK11" s="108">
        <v>12.982900569981</v>
      </c>
      <c r="DL11" s="108">
        <v>12.258064516129032</v>
      </c>
      <c r="DM11" s="108">
        <v>14.884979702300406</v>
      </c>
      <c r="DN11" s="108">
        <v>15.357887421820708</v>
      </c>
      <c r="DO11" s="108">
        <v>19.737663960024985</v>
      </c>
      <c r="DP11" s="108">
        <v>23.316796598157335</v>
      </c>
      <c r="DQ11" s="108">
        <v>27.407407407407408</v>
      </c>
      <c r="DR11" s="108">
        <v>33.356449375866852</v>
      </c>
      <c r="DS11" s="108">
        <v>26.613579212070412</v>
      </c>
      <c r="DT11" s="108">
        <v>22.972256582435058</v>
      </c>
      <c r="DU11" s="108">
        <v>20.700362256339485</v>
      </c>
      <c r="DV11" s="108">
        <v>19.667832167832167</v>
      </c>
      <c r="DW11" s="62">
        <v>277</v>
      </c>
      <c r="DX11" s="62">
        <v>0</v>
      </c>
      <c r="DY11" s="57">
        <v>1</v>
      </c>
      <c r="DZ11" s="60">
        <v>2</v>
      </c>
      <c r="EA11" s="60">
        <v>21</v>
      </c>
      <c r="EB11" s="60">
        <v>13</v>
      </c>
      <c r="EC11" s="60">
        <v>7</v>
      </c>
      <c r="ED11" s="57">
        <v>6</v>
      </c>
      <c r="EE11" s="60">
        <v>4</v>
      </c>
      <c r="EF11" s="60">
        <v>1323</v>
      </c>
      <c r="EG11" s="60">
        <v>1382</v>
      </c>
      <c r="EH11" s="60">
        <v>1387</v>
      </c>
      <c r="EI11" s="60">
        <v>1428</v>
      </c>
      <c r="EJ11" s="115">
        <v>297</v>
      </c>
      <c r="EK11" s="115">
        <v>0</v>
      </c>
      <c r="EL11" s="115">
        <v>1</v>
      </c>
      <c r="EM11" s="115">
        <v>0</v>
      </c>
      <c r="EN11" s="115">
        <v>1</v>
      </c>
      <c r="EO11" s="108">
        <v>973.35952501820907</v>
      </c>
      <c r="EP11" s="108">
        <v>1024.7208340130203</v>
      </c>
      <c r="EQ11" s="108">
        <v>1044.1446595802342</v>
      </c>
      <c r="ER11" s="108">
        <v>1106.0764494016498</v>
      </c>
      <c r="ES11" s="108">
        <v>701.29515299499758</v>
      </c>
      <c r="ET11" s="108">
        <v>709.06566588926205</v>
      </c>
      <c r="EU11" s="108">
        <v>674.55513298831397</v>
      </c>
      <c r="EV11" s="108">
        <v>655.89056674282983</v>
      </c>
      <c r="EW11" s="108">
        <v>903.83844893681987</v>
      </c>
      <c r="EX11" s="108">
        <v>876.32609604902621</v>
      </c>
      <c r="EY11" s="108">
        <v>798.74829609773826</v>
      </c>
      <c r="EZ11" s="108">
        <v>810.49628574135636</v>
      </c>
      <c r="FA11" s="108">
        <v>571.05776285806451</v>
      </c>
      <c r="FB11" s="108">
        <v>581.49442432082128</v>
      </c>
      <c r="FC11" s="108">
        <v>575.28736731880167</v>
      </c>
      <c r="FD11" s="108">
        <v>527.60615805907719</v>
      </c>
      <c r="FE11" s="57">
        <v>327</v>
      </c>
      <c r="FF11" s="62">
        <v>331</v>
      </c>
      <c r="FG11" s="62">
        <v>345</v>
      </c>
      <c r="FH11" s="62">
        <v>326</v>
      </c>
      <c r="FI11" s="108">
        <v>179.5679778120795</v>
      </c>
      <c r="FJ11" s="108">
        <v>182.10002693832178</v>
      </c>
      <c r="FK11" s="108">
        <v>182.09762627151312</v>
      </c>
      <c r="FL11" s="108">
        <v>161.878200797082</v>
      </c>
      <c r="FM11" s="62">
        <v>449</v>
      </c>
      <c r="FN11" s="62">
        <v>408</v>
      </c>
      <c r="FO11" s="57">
        <v>342</v>
      </c>
      <c r="FP11" s="62">
        <v>302</v>
      </c>
      <c r="FQ11" s="108">
        <v>230.59824824514948</v>
      </c>
      <c r="FR11" s="108">
        <v>197.64892558114337</v>
      </c>
      <c r="FS11" s="108">
        <v>154.69715291748008</v>
      </c>
      <c r="FT11" s="108">
        <v>129.39675375540443</v>
      </c>
      <c r="FU11" s="60">
        <v>116</v>
      </c>
      <c r="FV11" s="60">
        <v>101</v>
      </c>
      <c r="FW11" s="60">
        <v>88</v>
      </c>
      <c r="FX11" s="60">
        <v>95</v>
      </c>
      <c r="FY11" s="108">
        <v>57.091697556570338</v>
      </c>
      <c r="FZ11" s="108">
        <v>48.491379165096959</v>
      </c>
      <c r="GA11" s="108">
        <v>38.238338759987059</v>
      </c>
      <c r="GB11" s="108">
        <v>37.488517467435415</v>
      </c>
      <c r="GC11" s="63">
        <v>41</v>
      </c>
      <c r="GD11" s="64">
        <v>34</v>
      </c>
      <c r="GE11" s="63">
        <v>56</v>
      </c>
      <c r="GF11" s="63">
        <v>65</v>
      </c>
      <c r="GG11" s="112">
        <v>27.40198467768484</v>
      </c>
      <c r="GH11" s="112">
        <v>21.380692051515719</v>
      </c>
      <c r="GI11" s="112">
        <v>30.726943795785154</v>
      </c>
      <c r="GJ11" s="112">
        <v>38.095015803011407</v>
      </c>
      <c r="GK11" s="63"/>
      <c r="GL11" s="63"/>
      <c r="GM11" s="63"/>
      <c r="GN11" s="64"/>
      <c r="GO11" s="63"/>
      <c r="GP11" s="63"/>
      <c r="GQ11" s="63"/>
      <c r="GR11" s="63"/>
      <c r="GS11" s="64"/>
      <c r="GT11" s="63"/>
      <c r="GU11" s="63"/>
      <c r="GV11" s="63"/>
      <c r="GW11" s="63"/>
      <c r="GX11" s="64"/>
      <c r="GY11" s="64"/>
      <c r="GZ11" s="64"/>
      <c r="HA11" s="64"/>
      <c r="HB11" s="64"/>
      <c r="HC11" s="64"/>
      <c r="HD11" s="65"/>
      <c r="HE11" s="65"/>
      <c r="HF11" s="65"/>
      <c r="HG11" s="65"/>
      <c r="HH11" s="65"/>
      <c r="HI11" s="66"/>
      <c r="HJ11" s="66"/>
      <c r="HK11" s="63"/>
      <c r="HL11" s="64"/>
      <c r="HM11" s="64"/>
      <c r="HN11" s="64"/>
      <c r="HO11" s="64"/>
      <c r="HP11" s="64"/>
      <c r="HQ11" s="64"/>
      <c r="HR11" s="64"/>
      <c r="HS11" s="64"/>
      <c r="HT11" s="64"/>
      <c r="HU11" s="39"/>
      <c r="HV11" s="59"/>
      <c r="HW11" s="59"/>
      <c r="HX11" s="59"/>
      <c r="HY11" s="59"/>
      <c r="HZ11" s="59"/>
      <c r="IA11" s="59"/>
      <c r="IB11" s="59"/>
      <c r="IC11" s="59"/>
      <c r="ID11" s="59"/>
      <c r="IE11" s="59"/>
      <c r="IF11" s="59"/>
      <c r="IG11" s="59"/>
      <c r="IH11" s="59"/>
      <c r="II11" s="59"/>
      <c r="IJ11" s="59"/>
      <c r="IK11" s="59"/>
      <c r="IL11" s="59"/>
      <c r="IM11" s="59"/>
      <c r="IN11" s="59"/>
      <c r="IO11" s="59"/>
      <c r="IP11" s="59"/>
      <c r="IQ11" s="59"/>
      <c r="IR11" s="59"/>
    </row>
    <row r="12" spans="1:252" x14ac:dyDescent="0.2">
      <c r="A12" s="37">
        <v>9</v>
      </c>
      <c r="B12" s="86" t="s">
        <v>68</v>
      </c>
      <c r="C12" s="93">
        <v>33893</v>
      </c>
      <c r="D12" s="93">
        <v>33933</v>
      </c>
      <c r="E12" s="93">
        <v>34327</v>
      </c>
      <c r="F12" s="93">
        <v>35386</v>
      </c>
      <c r="G12" s="93">
        <v>35455</v>
      </c>
      <c r="H12" s="43">
        <v>31872</v>
      </c>
      <c r="I12" s="43">
        <v>524</v>
      </c>
      <c r="J12" s="43">
        <v>2054</v>
      </c>
      <c r="K12" s="43">
        <v>201</v>
      </c>
      <c r="L12" s="43">
        <v>519</v>
      </c>
      <c r="M12" s="44">
        <v>13435</v>
      </c>
      <c r="N12" s="44">
        <v>13503</v>
      </c>
      <c r="O12" s="45">
        <v>13610</v>
      </c>
      <c r="P12" s="45">
        <v>13538</v>
      </c>
      <c r="Q12" s="46">
        <v>13586</v>
      </c>
      <c r="R12" s="105">
        <v>21.921171467403219</v>
      </c>
      <c r="S12" s="105">
        <v>22.406950079379079</v>
      </c>
      <c r="T12" s="105">
        <v>23.462862764387605</v>
      </c>
      <c r="U12" s="105">
        <v>22.95768566493955</v>
      </c>
      <c r="V12" s="105">
        <v>22.827763496143959</v>
      </c>
      <c r="W12" s="105">
        <v>26.673681441536235</v>
      </c>
      <c r="X12" s="105">
        <v>27.235844064208855</v>
      </c>
      <c r="Y12" s="105">
        <v>30.036220542860974</v>
      </c>
      <c r="Z12" s="105">
        <v>29.831606217616581</v>
      </c>
      <c r="AA12" s="105">
        <v>29.078834618680379</v>
      </c>
      <c r="AB12" s="105">
        <v>48.594852908939451</v>
      </c>
      <c r="AC12" s="105">
        <v>49.642794143587935</v>
      </c>
      <c r="AD12" s="105">
        <v>53.499083307248583</v>
      </c>
      <c r="AE12" s="105">
        <v>52.789291882556128</v>
      </c>
      <c r="AF12" s="105">
        <v>51.906598114824334</v>
      </c>
      <c r="AG12" s="46">
        <v>5.7502611117558313</v>
      </c>
      <c r="AH12" s="46">
        <v>6.5984917733089583</v>
      </c>
      <c r="AI12" s="46">
        <v>8.8014981273408246</v>
      </c>
      <c r="AJ12" s="46">
        <v>8.6034704011605196</v>
      </c>
      <c r="AK12" s="45">
        <v>7.8598484848484844</v>
      </c>
      <c r="AL12" s="49">
        <v>821</v>
      </c>
      <c r="AM12" s="49">
        <v>893.41666666666663</v>
      </c>
      <c r="AN12" s="49">
        <v>1089.3333333333333</v>
      </c>
      <c r="AO12" s="49">
        <v>893.41666666666663</v>
      </c>
      <c r="AP12" s="49">
        <v>1545.4166666666667</v>
      </c>
      <c r="AQ12" s="49">
        <v>31370.400396005363</v>
      </c>
      <c r="AR12" s="49">
        <v>31695.337352083985</v>
      </c>
      <c r="AS12" s="49">
        <v>31400.885041561334</v>
      </c>
      <c r="AT12" s="49">
        <v>31781.815981357206</v>
      </c>
      <c r="AU12" s="49">
        <v>31901.960231279085</v>
      </c>
      <c r="AV12" s="101">
        <v>53826.88227180214</v>
      </c>
      <c r="AW12" s="101">
        <v>51483.463035814646</v>
      </c>
      <c r="AX12" s="102">
        <v>54072.510140441969</v>
      </c>
      <c r="AY12" s="102">
        <v>50504.404836372305</v>
      </c>
      <c r="AZ12" s="102">
        <v>49357</v>
      </c>
      <c r="BA12" s="99">
        <v>9.8115196230392456</v>
      </c>
      <c r="BB12" s="99">
        <v>10.87170647623738</v>
      </c>
      <c r="BC12" s="99">
        <v>10.47677261613692</v>
      </c>
      <c r="BD12" s="99">
        <v>10.773153089054903</v>
      </c>
      <c r="BE12" s="99">
        <v>12.188841201716738</v>
      </c>
      <c r="BF12" s="99">
        <v>13.107851127411029</v>
      </c>
      <c r="BG12" s="99">
        <v>12.313282196205087</v>
      </c>
      <c r="BH12" s="48">
        <v>12.832413447064727</v>
      </c>
      <c r="BI12" s="48">
        <v>13.083312973369166</v>
      </c>
      <c r="BJ12" s="48">
        <v>13.404892661008487</v>
      </c>
      <c r="BK12" s="44">
        <v>6285</v>
      </c>
      <c r="BL12" s="44">
        <v>6250</v>
      </c>
      <c r="BM12" s="44">
        <v>6256</v>
      </c>
      <c r="BN12" s="42">
        <v>6249</v>
      </c>
      <c r="BO12" s="45">
        <v>30.501193317422434</v>
      </c>
      <c r="BP12" s="45">
        <v>32.479999999999997</v>
      </c>
      <c r="BQ12" s="45">
        <v>34.367007672634273</v>
      </c>
      <c r="BR12" s="46">
        <v>33.733397343574971</v>
      </c>
      <c r="BS12" s="105">
        <v>0.14319809069212411</v>
      </c>
      <c r="BT12" s="105">
        <v>9.6000000000000002E-2</v>
      </c>
      <c r="BU12" s="105">
        <v>1.5984654731457801E-2</v>
      </c>
      <c r="BV12" s="105">
        <v>8.0012802048327739E-2</v>
      </c>
      <c r="BW12" s="45">
        <v>15.274463007159904</v>
      </c>
      <c r="BX12" s="45">
        <v>14.976000000000001</v>
      </c>
      <c r="BY12" s="45">
        <v>15.297314578005116</v>
      </c>
      <c r="BZ12" s="45">
        <v>14.722355576892303</v>
      </c>
      <c r="CA12" s="44">
        <v>79.280821917808225</v>
      </c>
      <c r="CB12" s="44">
        <v>83.712121212121218</v>
      </c>
      <c r="CC12" s="44">
        <v>80.819366852886404</v>
      </c>
      <c r="CD12" s="45">
        <v>81.93</v>
      </c>
      <c r="CE12" s="45">
        <v>7.0205479452054798</v>
      </c>
      <c r="CF12" s="45">
        <v>4.7348484848484844</v>
      </c>
      <c r="CG12" s="45">
        <v>4.8417132216014895</v>
      </c>
      <c r="CH12" s="45">
        <v>5.22</v>
      </c>
      <c r="CI12" s="48">
        <v>1697</v>
      </c>
      <c r="CJ12" s="51">
        <v>1809</v>
      </c>
      <c r="CK12" s="51">
        <v>2029</v>
      </c>
      <c r="CL12" s="57">
        <v>2023</v>
      </c>
      <c r="CM12" s="108">
        <v>11.267212875297117</v>
      </c>
      <c r="CN12" s="108">
        <v>11.538535135445436</v>
      </c>
      <c r="CO12" s="108">
        <v>12.120524247022137</v>
      </c>
      <c r="CP12" s="108">
        <v>11.694047192388176</v>
      </c>
      <c r="CQ12" s="60">
        <v>66</v>
      </c>
      <c r="CR12" s="60">
        <v>80</v>
      </c>
      <c r="CS12" s="60">
        <v>68</v>
      </c>
      <c r="CT12" s="60">
        <v>86</v>
      </c>
      <c r="CU12" s="108">
        <v>4.0097205346294045</v>
      </c>
      <c r="CV12" s="108">
        <v>4.5480386583285961</v>
      </c>
      <c r="CW12" s="108">
        <v>3.4640855832908812</v>
      </c>
      <c r="CX12" s="108">
        <v>4.3810494141619971</v>
      </c>
      <c r="CY12" s="61">
        <v>105</v>
      </c>
      <c r="CZ12" s="57">
        <v>133</v>
      </c>
      <c r="DA12" s="60">
        <v>127</v>
      </c>
      <c r="DB12" s="60">
        <v>144</v>
      </c>
      <c r="DC12" s="108">
        <v>6.8314899154196489</v>
      </c>
      <c r="DD12" s="108">
        <v>7.9402985074626864</v>
      </c>
      <c r="DE12" s="108">
        <v>7.5415676959619953</v>
      </c>
      <c r="DF12" s="108">
        <v>8.2758620689655178</v>
      </c>
      <c r="DG12" s="108">
        <v>88.038277511961724</v>
      </c>
      <c r="DH12" s="108">
        <v>88.75278396436525</v>
      </c>
      <c r="DI12" s="108">
        <v>90.049504950495049</v>
      </c>
      <c r="DJ12" s="108">
        <v>88.451840645486641</v>
      </c>
      <c r="DK12" s="108">
        <v>23.625</v>
      </c>
      <c r="DL12" s="108">
        <v>22.45011086474501</v>
      </c>
      <c r="DM12" s="108">
        <v>20.236920039486673</v>
      </c>
      <c r="DN12" s="108">
        <v>21.221221221221221</v>
      </c>
      <c r="DO12" s="108">
        <v>29.127358490566039</v>
      </c>
      <c r="DP12" s="108">
        <v>30.016583747927033</v>
      </c>
      <c r="DQ12" s="108">
        <v>33.021192705766389</v>
      </c>
      <c r="DR12" s="108">
        <v>38.062283737024224</v>
      </c>
      <c r="DS12" s="108">
        <v>37.059415911379659</v>
      </c>
      <c r="DT12" s="108">
        <v>32.792544011045912</v>
      </c>
      <c r="DU12" s="108">
        <v>30.110116999311767</v>
      </c>
      <c r="DV12" s="108">
        <v>31.767167586075708</v>
      </c>
      <c r="DW12" s="62">
        <v>351</v>
      </c>
      <c r="DX12" s="62">
        <v>4</v>
      </c>
      <c r="DY12" s="57">
        <v>43</v>
      </c>
      <c r="DZ12" s="60">
        <v>0</v>
      </c>
      <c r="EA12" s="60">
        <v>4</v>
      </c>
      <c r="EB12" s="60">
        <v>15</v>
      </c>
      <c r="EC12" s="60">
        <v>9</v>
      </c>
      <c r="ED12" s="57">
        <v>11</v>
      </c>
      <c r="EE12" s="60">
        <v>11</v>
      </c>
      <c r="EF12" s="60">
        <v>1502</v>
      </c>
      <c r="EG12" s="60">
        <v>1553</v>
      </c>
      <c r="EH12" s="60">
        <v>1658</v>
      </c>
      <c r="EI12" s="60">
        <v>1755</v>
      </c>
      <c r="EJ12" s="115">
        <v>321</v>
      </c>
      <c r="EK12" s="115">
        <v>0</v>
      </c>
      <c r="EL12" s="115">
        <v>16</v>
      </c>
      <c r="EM12" s="115">
        <v>0</v>
      </c>
      <c r="EN12" s="115">
        <v>1</v>
      </c>
      <c r="EO12" s="108">
        <v>997.25125154368118</v>
      </c>
      <c r="EP12" s="108">
        <v>990.56633860402223</v>
      </c>
      <c r="EQ12" s="108">
        <v>990.43022186114865</v>
      </c>
      <c r="ER12" s="108">
        <v>1014.4860515393598</v>
      </c>
      <c r="ES12" s="108">
        <v>884.01517693598521</v>
      </c>
      <c r="ET12" s="108">
        <v>844.41354556332897</v>
      </c>
      <c r="EU12" s="108">
        <v>814.51902705763496</v>
      </c>
      <c r="EV12" s="108">
        <v>800.81459708600482</v>
      </c>
      <c r="EW12" s="108">
        <v>1093.3206253872418</v>
      </c>
      <c r="EX12" s="108">
        <v>1013.0525847362243</v>
      </c>
      <c r="EY12" s="108">
        <v>1014.7373708273072</v>
      </c>
      <c r="EZ12" s="108">
        <v>958.35281399427413</v>
      </c>
      <c r="FA12" s="108">
        <v>709.98493687323969</v>
      </c>
      <c r="FB12" s="108">
        <v>713.58760168927597</v>
      </c>
      <c r="FC12" s="108">
        <v>662.54849065525877</v>
      </c>
      <c r="FD12" s="108">
        <v>677.00010774497923</v>
      </c>
      <c r="FE12" s="57">
        <v>332</v>
      </c>
      <c r="FF12" s="62">
        <v>328</v>
      </c>
      <c r="FG12" s="62">
        <v>409</v>
      </c>
      <c r="FH12" s="62">
        <v>414</v>
      </c>
      <c r="FI12" s="108">
        <v>193.30157454269201</v>
      </c>
      <c r="FJ12" s="108">
        <v>180.93242673682653</v>
      </c>
      <c r="FK12" s="108">
        <v>207.76696829960767</v>
      </c>
      <c r="FL12" s="108">
        <v>194.7188305612197</v>
      </c>
      <c r="FM12" s="62">
        <v>478</v>
      </c>
      <c r="FN12" s="62">
        <v>420</v>
      </c>
      <c r="FO12" s="57">
        <v>399</v>
      </c>
      <c r="FP12" s="62">
        <v>374</v>
      </c>
      <c r="FQ12" s="108">
        <v>277.12519665021341</v>
      </c>
      <c r="FR12" s="108">
        <v>224.09805517722884</v>
      </c>
      <c r="FS12" s="108">
        <v>191.04784752207496</v>
      </c>
      <c r="FT12" s="108">
        <v>166.15548762734431</v>
      </c>
      <c r="FU12" s="60">
        <v>117</v>
      </c>
      <c r="FV12" s="60">
        <v>132</v>
      </c>
      <c r="FW12" s="60">
        <v>100</v>
      </c>
      <c r="FX12" s="60">
        <v>91</v>
      </c>
      <c r="FY12" s="108">
        <v>66.791062992294499</v>
      </c>
      <c r="FZ12" s="108">
        <v>69.471441201330464</v>
      </c>
      <c r="GA12" s="108">
        <v>46.697297344512506</v>
      </c>
      <c r="GB12" s="108">
        <v>38.637869821655052</v>
      </c>
      <c r="GC12" s="63">
        <v>65</v>
      </c>
      <c r="GD12" s="64">
        <v>77</v>
      </c>
      <c r="GE12" s="63">
        <v>77</v>
      </c>
      <c r="GF12" s="63">
        <v>90</v>
      </c>
      <c r="GG12" s="112">
        <v>41.414707217806495</v>
      </c>
      <c r="GH12" s="112">
        <v>46.229922482485023</v>
      </c>
      <c r="GI12" s="112">
        <v>41.286651468253105</v>
      </c>
      <c r="GJ12" s="112">
        <v>46.999945575823759</v>
      </c>
      <c r="GK12" s="63"/>
      <c r="GL12" s="63"/>
      <c r="GM12" s="63"/>
      <c r="GN12" s="64"/>
      <c r="GO12" s="63"/>
      <c r="GP12" s="63"/>
      <c r="GQ12" s="63"/>
      <c r="GR12" s="63"/>
      <c r="GS12" s="64"/>
      <c r="GT12" s="63"/>
      <c r="GU12" s="63"/>
      <c r="GV12" s="63"/>
      <c r="GW12" s="63"/>
      <c r="GX12" s="64"/>
      <c r="GY12" s="64"/>
      <c r="GZ12" s="64"/>
      <c r="HA12" s="64"/>
      <c r="HB12" s="64"/>
      <c r="HC12" s="64"/>
      <c r="HD12" s="65"/>
      <c r="HE12" s="65"/>
      <c r="HF12" s="65"/>
      <c r="HG12" s="65"/>
      <c r="HH12" s="65"/>
      <c r="HI12" s="66"/>
      <c r="HJ12" s="66"/>
      <c r="HK12" s="63"/>
      <c r="HL12" s="64"/>
      <c r="HM12" s="64"/>
      <c r="HN12" s="64"/>
      <c r="HO12" s="64"/>
      <c r="HP12" s="64"/>
      <c r="HQ12" s="64"/>
      <c r="HR12" s="64"/>
      <c r="HS12" s="64"/>
      <c r="HT12" s="64"/>
      <c r="HU12" s="39"/>
    </row>
    <row r="13" spans="1:252" x14ac:dyDescent="0.2">
      <c r="A13" s="37">
        <v>10</v>
      </c>
      <c r="B13" s="86" t="s">
        <v>146</v>
      </c>
      <c r="C13" s="93">
        <v>88459</v>
      </c>
      <c r="D13" s="93">
        <v>90043</v>
      </c>
      <c r="E13" s="93">
        <v>92107</v>
      </c>
      <c r="F13" s="93">
        <v>91042</v>
      </c>
      <c r="G13" s="93">
        <v>92638</v>
      </c>
      <c r="H13" s="43">
        <v>87036</v>
      </c>
      <c r="I13" s="43">
        <v>1324</v>
      </c>
      <c r="J13" s="43">
        <v>284</v>
      </c>
      <c r="K13" s="43">
        <v>2666</v>
      </c>
      <c r="L13" s="43">
        <v>3706</v>
      </c>
      <c r="M13" s="44">
        <v>31729</v>
      </c>
      <c r="N13" s="44">
        <v>32283</v>
      </c>
      <c r="O13" s="45">
        <v>32867</v>
      </c>
      <c r="P13" s="45">
        <v>32891</v>
      </c>
      <c r="Q13" s="46">
        <v>33202</v>
      </c>
      <c r="R13" s="105">
        <v>11.365363645375542</v>
      </c>
      <c r="S13" s="105">
        <v>11.707933217819377</v>
      </c>
      <c r="T13" s="105">
        <v>12.262665852796607</v>
      </c>
      <c r="U13" s="105">
        <v>12.692687747035572</v>
      </c>
      <c r="V13" s="105">
        <v>12.965023462822311</v>
      </c>
      <c r="W13" s="105">
        <v>34.785051052440274</v>
      </c>
      <c r="X13" s="105">
        <v>34.103606302527815</v>
      </c>
      <c r="Y13" s="105">
        <v>35.690879300928451</v>
      </c>
      <c r="Z13" s="105">
        <v>37.244729907773383</v>
      </c>
      <c r="AA13" s="105">
        <v>36.419782948736554</v>
      </c>
      <c r="AB13" s="105">
        <v>46.150414697815812</v>
      </c>
      <c r="AC13" s="105">
        <v>45.811539520347189</v>
      </c>
      <c r="AD13" s="105">
        <v>47.953545153725059</v>
      </c>
      <c r="AE13" s="105">
        <v>49.937417654808961</v>
      </c>
      <c r="AF13" s="105">
        <v>49.38480641155887</v>
      </c>
      <c r="AG13" s="46">
        <v>4.0003217956195574</v>
      </c>
      <c r="AH13" s="46">
        <v>4.8500029585215279</v>
      </c>
      <c r="AI13" s="46">
        <v>7.5303564433999215</v>
      </c>
      <c r="AJ13" s="46">
        <v>6.8591775247486009</v>
      </c>
      <c r="AK13" s="45">
        <v>5.7260874672095845</v>
      </c>
      <c r="AL13" s="49">
        <v>499.83333333333331</v>
      </c>
      <c r="AM13" s="49">
        <v>597.5</v>
      </c>
      <c r="AN13" s="49">
        <v>855.33333333333337</v>
      </c>
      <c r="AO13" s="49">
        <v>597.5</v>
      </c>
      <c r="AP13" s="49">
        <v>1380.75</v>
      </c>
      <c r="AQ13" s="49">
        <v>56977.089537409636</v>
      </c>
      <c r="AR13" s="49">
        <v>57459.260265097895</v>
      </c>
      <c r="AS13" s="49">
        <v>53835.079098749848</v>
      </c>
      <c r="AT13" s="49">
        <v>56101.104133150227</v>
      </c>
      <c r="AU13" s="49">
        <v>57829.897018502124</v>
      </c>
      <c r="AV13" s="101">
        <v>86830.780459337708</v>
      </c>
      <c r="AW13" s="101">
        <v>87848.268788637419</v>
      </c>
      <c r="AX13" s="102">
        <v>80265.782620247308</v>
      </c>
      <c r="AY13" s="102">
        <v>84521.30170690098</v>
      </c>
      <c r="AZ13" s="102">
        <v>85314</v>
      </c>
      <c r="BA13" s="99">
        <v>3.9247059899196546</v>
      </c>
      <c r="BB13" s="99">
        <v>4.5578483185781131</v>
      </c>
      <c r="BC13" s="99">
        <v>5.0302517871064794</v>
      </c>
      <c r="BD13" s="99">
        <v>4.8862632508833919</v>
      </c>
      <c r="BE13" s="99">
        <v>5.3648442605096927</v>
      </c>
      <c r="BF13" s="99">
        <v>4.1648399824638318</v>
      </c>
      <c r="BG13" s="99">
        <v>4.9497477456004448</v>
      </c>
      <c r="BH13" s="48">
        <v>5.5017655769449823</v>
      </c>
      <c r="BI13" s="48">
        <v>5.5819608710069639</v>
      </c>
      <c r="BJ13" s="48">
        <v>6.1741114136433879</v>
      </c>
      <c r="BK13" s="44">
        <v>15329</v>
      </c>
      <c r="BL13" s="44">
        <v>15522</v>
      </c>
      <c r="BM13" s="44">
        <v>15853</v>
      </c>
      <c r="BN13" s="42">
        <v>16032</v>
      </c>
      <c r="BO13" s="45">
        <v>14.273599060604084</v>
      </c>
      <c r="BP13" s="45">
        <v>15.680968947300606</v>
      </c>
      <c r="BQ13" s="45">
        <v>17.491957358228728</v>
      </c>
      <c r="BR13" s="46">
        <v>16.722804391217565</v>
      </c>
      <c r="BS13" s="105">
        <v>4.0250505577663249</v>
      </c>
      <c r="BT13" s="105">
        <v>3.6915345960572092</v>
      </c>
      <c r="BU13" s="105">
        <v>3.6586135116381757</v>
      </c>
      <c r="BV13" s="105">
        <v>3.3745009980039922</v>
      </c>
      <c r="BW13" s="45">
        <v>12.818840106986757</v>
      </c>
      <c r="BX13" s="45">
        <v>12.665893570416184</v>
      </c>
      <c r="BY13" s="45">
        <v>13.000693874976346</v>
      </c>
      <c r="BZ13" s="45">
        <v>13.086327345309382</v>
      </c>
      <c r="CA13" s="44">
        <v>76.615384615384613</v>
      </c>
      <c r="CB13" s="44">
        <v>80.352846832397759</v>
      </c>
      <c r="CC13" s="44">
        <v>78.677042801556425</v>
      </c>
      <c r="CD13" s="45">
        <v>81.5</v>
      </c>
      <c r="CE13" s="45">
        <v>3.1538461538461537</v>
      </c>
      <c r="CF13" s="45">
        <v>2.72654370489174</v>
      </c>
      <c r="CG13" s="45">
        <v>4.1245136186770424</v>
      </c>
      <c r="CH13" s="45">
        <v>4.28</v>
      </c>
      <c r="CI13" s="48">
        <v>4876</v>
      </c>
      <c r="CJ13" s="51">
        <v>5490</v>
      </c>
      <c r="CK13" s="51">
        <v>6175</v>
      </c>
      <c r="CL13" s="57">
        <v>5826</v>
      </c>
      <c r="CM13" s="108">
        <v>17.211861923873869</v>
      </c>
      <c r="CN13" s="108">
        <v>16.229878941066914</v>
      </c>
      <c r="CO13" s="108">
        <v>15.093703175910694</v>
      </c>
      <c r="CP13" s="108">
        <v>12.824435546535355</v>
      </c>
      <c r="CQ13" s="60">
        <v>159</v>
      </c>
      <c r="CR13" s="60">
        <v>187</v>
      </c>
      <c r="CS13" s="60">
        <v>208</v>
      </c>
      <c r="CT13" s="60">
        <v>206</v>
      </c>
      <c r="CU13" s="108">
        <v>3.3836986592892107</v>
      </c>
      <c r="CV13" s="108">
        <v>3.5558090891804524</v>
      </c>
      <c r="CW13" s="108">
        <v>3.5380166695016158</v>
      </c>
      <c r="CX13" s="108">
        <v>3.6983842010771992</v>
      </c>
      <c r="CY13" s="61">
        <v>296</v>
      </c>
      <c r="CZ13" s="57">
        <v>347</v>
      </c>
      <c r="DA13" s="60">
        <v>402</v>
      </c>
      <c r="DB13" s="60">
        <v>333</v>
      </c>
      <c r="DC13" s="108">
        <v>6.7379922604142957</v>
      </c>
      <c r="DD13" s="108">
        <v>7.1872410936205471</v>
      </c>
      <c r="DE13" s="108">
        <v>7.3815644509731912</v>
      </c>
      <c r="DF13" s="108">
        <v>6.6255471547950657</v>
      </c>
      <c r="DG13" s="108">
        <v>90.845070422535215</v>
      </c>
      <c r="DH13" s="108">
        <v>91.911623439000962</v>
      </c>
      <c r="DI13" s="108">
        <v>92.282102461743179</v>
      </c>
      <c r="DJ13" s="108">
        <v>92.448512585812352</v>
      </c>
      <c r="DK13" s="108">
        <v>7.8336980306345732</v>
      </c>
      <c r="DL13" s="108">
        <v>5.1128130821776026</v>
      </c>
      <c r="DM13" s="108">
        <v>4.2749371332774517</v>
      </c>
      <c r="DN13" s="108">
        <v>4.770992366412214</v>
      </c>
      <c r="DO13" s="108">
        <v>10.951599671862182</v>
      </c>
      <c r="DP13" s="108">
        <v>11.530054644808743</v>
      </c>
      <c r="DQ13" s="108">
        <v>13.137858415681192</v>
      </c>
      <c r="DR13" s="108">
        <v>15.636800549261929</v>
      </c>
      <c r="DS13" s="108">
        <v>22.092632051138274</v>
      </c>
      <c r="DT13" s="108">
        <v>17.672304973491542</v>
      </c>
      <c r="DU13" s="108">
        <v>13.056092843326885</v>
      </c>
      <c r="DV13" s="108">
        <v>9.2766704274790026</v>
      </c>
      <c r="DW13" s="62">
        <v>927</v>
      </c>
      <c r="DX13" s="62">
        <v>23</v>
      </c>
      <c r="DY13" s="57">
        <v>1</v>
      </c>
      <c r="DZ13" s="60">
        <v>44</v>
      </c>
      <c r="EA13" s="60">
        <v>47</v>
      </c>
      <c r="EB13" s="60">
        <v>29</v>
      </c>
      <c r="EC13" s="60">
        <v>27</v>
      </c>
      <c r="ED13" s="57">
        <v>9</v>
      </c>
      <c r="EE13" s="60">
        <v>28</v>
      </c>
      <c r="EF13" s="60">
        <v>1400</v>
      </c>
      <c r="EG13" s="60">
        <v>1514</v>
      </c>
      <c r="EH13" s="60">
        <v>1651</v>
      </c>
      <c r="EI13" s="60">
        <v>2046</v>
      </c>
      <c r="EJ13" s="115">
        <v>413</v>
      </c>
      <c r="EK13" s="115">
        <v>2</v>
      </c>
      <c r="EL13" s="115">
        <v>0</v>
      </c>
      <c r="EM13" s="115">
        <v>2</v>
      </c>
      <c r="EN13" s="115">
        <v>5</v>
      </c>
      <c r="EO13" s="108">
        <v>494.18799617357297</v>
      </c>
      <c r="EP13" s="108">
        <v>447.57808227277428</v>
      </c>
      <c r="EQ13" s="108">
        <v>403.55795859803328</v>
      </c>
      <c r="ER13" s="108">
        <v>450.37410106782249</v>
      </c>
      <c r="ES13" s="108">
        <v>675.89931958992975</v>
      </c>
      <c r="ET13" s="108">
        <v>642.19262796362727</v>
      </c>
      <c r="EU13" s="108">
        <v>595.67981019335298</v>
      </c>
      <c r="EV13" s="108">
        <v>605.0129349820005</v>
      </c>
      <c r="EW13" s="108">
        <v>870.01614590546694</v>
      </c>
      <c r="EX13" s="108">
        <v>789.11642449793067</v>
      </c>
      <c r="EY13" s="108">
        <v>733.42232776177889</v>
      </c>
      <c r="EZ13" s="108">
        <v>716.44439042228817</v>
      </c>
      <c r="FA13" s="108">
        <v>542.69083118176127</v>
      </c>
      <c r="FB13" s="108">
        <v>530.01073981608317</v>
      </c>
      <c r="FC13" s="108">
        <v>493.27171095017445</v>
      </c>
      <c r="FD13" s="108">
        <v>521.08608836763449</v>
      </c>
      <c r="FE13" s="57">
        <v>364</v>
      </c>
      <c r="FF13" s="62">
        <v>379</v>
      </c>
      <c r="FG13" s="62">
        <v>416</v>
      </c>
      <c r="FH13" s="62">
        <v>513</v>
      </c>
      <c r="FI13" s="108">
        <v>177.30422656508583</v>
      </c>
      <c r="FJ13" s="108">
        <v>163.02190958467509</v>
      </c>
      <c r="FK13" s="108">
        <v>152.73088574012468</v>
      </c>
      <c r="FL13" s="108">
        <v>149.98732249932561</v>
      </c>
      <c r="FM13" s="62">
        <v>404</v>
      </c>
      <c r="FN13" s="62">
        <v>345</v>
      </c>
      <c r="FO13" s="57">
        <v>329</v>
      </c>
      <c r="FP13" s="62">
        <v>408</v>
      </c>
      <c r="FQ13" s="108">
        <v>200.83038370591942</v>
      </c>
      <c r="FR13" s="108">
        <v>150.59540617885958</v>
      </c>
      <c r="FS13" s="108">
        <v>120.55007209768567</v>
      </c>
      <c r="FT13" s="108">
        <v>124.19041687272352</v>
      </c>
      <c r="FU13" s="60">
        <v>84</v>
      </c>
      <c r="FV13" s="60">
        <v>108</v>
      </c>
      <c r="FW13" s="60">
        <v>104</v>
      </c>
      <c r="FX13" s="60">
        <v>90</v>
      </c>
      <c r="FY13" s="108">
        <v>43.035993641762857</v>
      </c>
      <c r="FZ13" s="108">
        <v>46.855383220080348</v>
      </c>
      <c r="GA13" s="108">
        <v>38.911482693742698</v>
      </c>
      <c r="GB13" s="108">
        <v>28.007735162518323</v>
      </c>
      <c r="GC13" s="63">
        <v>83</v>
      </c>
      <c r="GD13" s="64">
        <v>93</v>
      </c>
      <c r="GE13" s="63">
        <v>98</v>
      </c>
      <c r="GF13" s="63">
        <v>139</v>
      </c>
      <c r="GG13" s="112">
        <v>31.991812447133469</v>
      </c>
      <c r="GH13" s="112">
        <v>31.226117650653059</v>
      </c>
      <c r="GI13" s="112">
        <v>28.997805762375759</v>
      </c>
      <c r="GJ13" s="112">
        <v>37.679995244220365</v>
      </c>
      <c r="GK13" s="63"/>
      <c r="GL13" s="63"/>
      <c r="GM13" s="63"/>
      <c r="GN13" s="64"/>
      <c r="GO13" s="63"/>
      <c r="GP13" s="63"/>
      <c r="GQ13" s="63"/>
      <c r="GR13" s="63"/>
      <c r="GS13" s="64"/>
      <c r="GT13" s="63"/>
      <c r="GU13" s="63"/>
      <c r="GV13" s="63"/>
      <c r="GW13" s="63"/>
      <c r="GX13" s="64"/>
      <c r="GY13" s="64"/>
      <c r="GZ13" s="64"/>
      <c r="HA13" s="64"/>
      <c r="HB13" s="64"/>
      <c r="HC13" s="64"/>
      <c r="HD13" s="65"/>
      <c r="HE13" s="65"/>
      <c r="HF13" s="65"/>
      <c r="HG13" s="65"/>
      <c r="HH13" s="65"/>
      <c r="HI13" s="66"/>
      <c r="HJ13" s="66"/>
      <c r="HK13" s="63"/>
      <c r="HL13" s="64"/>
      <c r="HM13" s="64"/>
      <c r="HN13" s="64"/>
      <c r="HO13" s="64"/>
      <c r="HP13" s="64"/>
      <c r="HQ13" s="64"/>
      <c r="HR13" s="64"/>
      <c r="HS13" s="64"/>
      <c r="HT13" s="64"/>
      <c r="HU13" s="39"/>
    </row>
    <row r="14" spans="1:252" x14ac:dyDescent="0.2">
      <c r="A14" s="37">
        <v>11</v>
      </c>
      <c r="B14" s="86" t="s">
        <v>69</v>
      </c>
      <c r="C14" s="93">
        <v>28723</v>
      </c>
      <c r="D14" s="93">
        <v>28732</v>
      </c>
      <c r="E14" s="93">
        <v>28534</v>
      </c>
      <c r="F14" s="93">
        <v>28567</v>
      </c>
      <c r="G14" s="93">
        <v>28390</v>
      </c>
      <c r="H14" s="43">
        <v>24446</v>
      </c>
      <c r="I14" s="43">
        <v>87</v>
      </c>
      <c r="J14" s="43">
        <v>3125</v>
      </c>
      <c r="K14" s="43">
        <v>100</v>
      </c>
      <c r="L14" s="43">
        <v>392</v>
      </c>
      <c r="M14" s="44">
        <v>11990</v>
      </c>
      <c r="N14" s="44">
        <v>12112</v>
      </c>
      <c r="O14" s="45">
        <v>12078</v>
      </c>
      <c r="P14" s="45">
        <v>11948</v>
      </c>
      <c r="Q14" s="46">
        <v>11926</v>
      </c>
      <c r="R14" s="105">
        <v>29.5116888791785</v>
      </c>
      <c r="S14" s="105">
        <v>30.557239706773963</v>
      </c>
      <c r="T14" s="105">
        <v>32.079085225032387</v>
      </c>
      <c r="U14" s="105">
        <v>34.597727533570527</v>
      </c>
      <c r="V14" s="105">
        <v>35.978405990596158</v>
      </c>
      <c r="W14" s="105">
        <v>27.376010487218704</v>
      </c>
      <c r="X14" s="105">
        <v>27.80686766245935</v>
      </c>
      <c r="Y14" s="105">
        <v>28.648679096490735</v>
      </c>
      <c r="Z14" s="105">
        <v>29.335475725926777</v>
      </c>
      <c r="AA14" s="105">
        <v>28.821036744645035</v>
      </c>
      <c r="AB14" s="105">
        <v>56.8876993663972</v>
      </c>
      <c r="AC14" s="105">
        <v>58.364107369233317</v>
      </c>
      <c r="AD14" s="105">
        <v>60.727764321523125</v>
      </c>
      <c r="AE14" s="105">
        <v>63.933203259497304</v>
      </c>
      <c r="AF14" s="105">
        <v>64.799442735241186</v>
      </c>
      <c r="AG14" s="46">
        <v>7.2243612180609027</v>
      </c>
      <c r="AH14" s="46">
        <v>8.5336707437087025</v>
      </c>
      <c r="AI14" s="46">
        <v>11.030499401281961</v>
      </c>
      <c r="AJ14" s="46">
        <v>10.875183348466857</v>
      </c>
      <c r="AK14" s="45">
        <v>10.005621135469365</v>
      </c>
      <c r="AL14" s="49">
        <v>1143.25</v>
      </c>
      <c r="AM14" s="49">
        <v>1299.5833333333333</v>
      </c>
      <c r="AN14" s="49">
        <v>1424.4166666666667</v>
      </c>
      <c r="AO14" s="49">
        <v>1299.5833333333333</v>
      </c>
      <c r="AP14" s="49">
        <v>1832.75</v>
      </c>
      <c r="AQ14" s="49">
        <v>35707.376422673886</v>
      </c>
      <c r="AR14" s="49">
        <v>36651.600617960801</v>
      </c>
      <c r="AS14" s="49">
        <v>36060.873578310137</v>
      </c>
      <c r="AT14" s="49">
        <v>36925.937062472869</v>
      </c>
      <c r="AU14" s="49">
        <v>37648.502994011978</v>
      </c>
      <c r="AV14" s="101">
        <v>41992.041520772444</v>
      </c>
      <c r="AW14" s="101">
        <v>43608.095846318909</v>
      </c>
      <c r="AX14" s="102">
        <v>43289.882080946409</v>
      </c>
      <c r="AY14" s="102">
        <v>41860.919305132629</v>
      </c>
      <c r="AZ14" s="102">
        <v>42297</v>
      </c>
      <c r="BA14" s="99">
        <v>13.367970230990663</v>
      </c>
      <c r="BB14" s="99">
        <v>14.455633135679451</v>
      </c>
      <c r="BC14" s="99">
        <v>14.008841732979665</v>
      </c>
      <c r="BD14" s="99">
        <v>16.449344499805648</v>
      </c>
      <c r="BE14" s="99">
        <v>18.2976300619173</v>
      </c>
      <c r="BF14" s="99">
        <v>22.171577405176624</v>
      </c>
      <c r="BG14" s="99">
        <v>22.894308943089431</v>
      </c>
      <c r="BH14" s="48">
        <v>23.957991467016736</v>
      </c>
      <c r="BI14" s="48">
        <v>26.998194649597899</v>
      </c>
      <c r="BJ14" s="48">
        <v>30.051282051282051</v>
      </c>
      <c r="BK14" s="44">
        <v>4132</v>
      </c>
      <c r="BL14" s="44">
        <v>4122</v>
      </c>
      <c r="BM14" s="44">
        <v>4170</v>
      </c>
      <c r="BN14" s="42">
        <v>4131</v>
      </c>
      <c r="BO14" s="45">
        <v>60.333978702807357</v>
      </c>
      <c r="BP14" s="45">
        <v>63.051916545366325</v>
      </c>
      <c r="BQ14" s="45">
        <v>62.733812949640289</v>
      </c>
      <c r="BR14" s="46">
        <v>64.124909222948432</v>
      </c>
      <c r="BS14" s="105">
        <v>0.16940948693126814</v>
      </c>
      <c r="BT14" s="105">
        <v>0.1698204754973314</v>
      </c>
      <c r="BU14" s="105">
        <v>0.14388489208633093</v>
      </c>
      <c r="BV14" s="105">
        <v>0.24207213749697409</v>
      </c>
      <c r="BW14" s="45">
        <v>21.781219748305904</v>
      </c>
      <c r="BX14" s="45">
        <v>22.076661814653082</v>
      </c>
      <c r="BY14" s="45">
        <v>22.086330935251798</v>
      </c>
      <c r="BZ14" s="45">
        <v>22.246429435971919</v>
      </c>
      <c r="CA14" s="44">
        <v>64.444444444444443</v>
      </c>
      <c r="CB14" s="44">
        <v>63.348416289592762</v>
      </c>
      <c r="CC14" s="44">
        <v>62.849872773536894</v>
      </c>
      <c r="CD14" s="45">
        <v>69.17</v>
      </c>
      <c r="CE14" s="45">
        <v>8.6666666666666661</v>
      </c>
      <c r="CF14" s="45">
        <v>9.0497737556561084</v>
      </c>
      <c r="CG14" s="45">
        <v>7.888040712468193</v>
      </c>
      <c r="CH14" s="45">
        <v>8.06</v>
      </c>
      <c r="CI14" s="48">
        <v>1399</v>
      </c>
      <c r="CJ14" s="51">
        <v>1458</v>
      </c>
      <c r="CK14" s="51">
        <v>1781</v>
      </c>
      <c r="CL14" s="57">
        <v>1718</v>
      </c>
      <c r="CM14" s="108">
        <v>11.620759544140611</v>
      </c>
      <c r="CN14" s="108">
        <v>10.878729770263313</v>
      </c>
      <c r="CO14" s="108">
        <v>12.503159136221955</v>
      </c>
      <c r="CP14" s="108">
        <v>12.018524477774823</v>
      </c>
      <c r="CQ14" s="60">
        <v>61</v>
      </c>
      <c r="CR14" s="60">
        <v>60</v>
      </c>
      <c r="CS14" s="60">
        <v>93</v>
      </c>
      <c r="CT14" s="60">
        <v>91</v>
      </c>
      <c r="CU14" s="108">
        <v>4.475421863536317</v>
      </c>
      <c r="CV14" s="108">
        <v>4.2223786066150595</v>
      </c>
      <c r="CW14" s="108">
        <v>5.4227405247813412</v>
      </c>
      <c r="CX14" s="108">
        <v>5.4984894259818731</v>
      </c>
      <c r="CY14" s="61">
        <v>103</v>
      </c>
      <c r="CZ14" s="57">
        <v>92</v>
      </c>
      <c r="DA14" s="60">
        <v>139</v>
      </c>
      <c r="DB14" s="60">
        <v>158</v>
      </c>
      <c r="DC14" s="108">
        <v>8.0218068535825537</v>
      </c>
      <c r="DD14" s="108">
        <v>7.6033057851239674</v>
      </c>
      <c r="DE14" s="108">
        <v>9.1870456047587581</v>
      </c>
      <c r="DF14" s="108">
        <v>10.748299319727892</v>
      </c>
      <c r="DG14" s="108">
        <v>72.020348837209298</v>
      </c>
      <c r="DH14" s="108">
        <v>76.491228070175438</v>
      </c>
      <c r="DI14" s="108">
        <v>76.29334849346219</v>
      </c>
      <c r="DJ14" s="108">
        <v>71.714790807307011</v>
      </c>
      <c r="DK14" s="108">
        <v>31.485587583148558</v>
      </c>
      <c r="DL14" s="108">
        <v>30.763790664780764</v>
      </c>
      <c r="DM14" s="108">
        <v>31.692133559705717</v>
      </c>
      <c r="DN14" s="108">
        <v>33.743409490333917</v>
      </c>
      <c r="DO14" s="108">
        <v>39.528234453180843</v>
      </c>
      <c r="DP14" s="108">
        <v>47.530864197530867</v>
      </c>
      <c r="DQ14" s="108">
        <v>49.325842696629216</v>
      </c>
      <c r="DR14" s="108">
        <v>55.794991263832266</v>
      </c>
      <c r="DS14" s="108">
        <v>53.979619939410632</v>
      </c>
      <c r="DT14" s="108">
        <v>50.183863292234477</v>
      </c>
      <c r="DU14" s="108">
        <v>51.61943319838057</v>
      </c>
      <c r="DV14" s="108">
        <v>47.47568318666049</v>
      </c>
      <c r="DW14" s="62">
        <v>235</v>
      </c>
      <c r="DX14" s="62">
        <v>3</v>
      </c>
      <c r="DY14" s="57">
        <v>109</v>
      </c>
      <c r="DZ14" s="60">
        <v>1</v>
      </c>
      <c r="EA14" s="60">
        <v>5</v>
      </c>
      <c r="EB14" s="60">
        <v>10</v>
      </c>
      <c r="EC14" s="60">
        <v>14</v>
      </c>
      <c r="ED14" s="57">
        <v>10</v>
      </c>
      <c r="EE14" s="60">
        <v>13</v>
      </c>
      <c r="EF14" s="60">
        <v>1459</v>
      </c>
      <c r="EG14" s="60">
        <v>1499</v>
      </c>
      <c r="EH14" s="60">
        <v>1419</v>
      </c>
      <c r="EI14" s="60">
        <v>1469</v>
      </c>
      <c r="EJ14" s="115">
        <v>264</v>
      </c>
      <c r="EK14" s="115">
        <v>0</v>
      </c>
      <c r="EL14" s="115">
        <v>45</v>
      </c>
      <c r="EM14" s="115">
        <v>0</v>
      </c>
      <c r="EN14" s="115">
        <v>0</v>
      </c>
      <c r="EO14" s="108">
        <v>1211.9148087849287</v>
      </c>
      <c r="EP14" s="108">
        <v>1118.464741126523</v>
      </c>
      <c r="EQ14" s="108">
        <v>996.18095532279347</v>
      </c>
      <c r="ER14" s="108">
        <v>1027.660794985519</v>
      </c>
      <c r="ES14" s="108">
        <v>917.96598231745975</v>
      </c>
      <c r="ET14" s="108">
        <v>868.23597851437887</v>
      </c>
      <c r="EU14" s="108">
        <v>761.75815924467508</v>
      </c>
      <c r="EV14" s="108">
        <v>750.54322827666408</v>
      </c>
      <c r="EW14" s="108">
        <v>1168.5670847103995</v>
      </c>
      <c r="EX14" s="108">
        <v>1083.5277461942806</v>
      </c>
      <c r="EY14" s="108">
        <v>947.43695829857631</v>
      </c>
      <c r="EZ14" s="108">
        <v>860.02719241637624</v>
      </c>
      <c r="FA14" s="108">
        <v>691.55051613117894</v>
      </c>
      <c r="FB14" s="108">
        <v>669.75545852697803</v>
      </c>
      <c r="FC14" s="108">
        <v>591.58068373193362</v>
      </c>
      <c r="FD14" s="108">
        <v>643.65405199307577</v>
      </c>
      <c r="FE14" s="57">
        <v>328</v>
      </c>
      <c r="FF14" s="62">
        <v>347</v>
      </c>
      <c r="FG14" s="62">
        <v>386</v>
      </c>
      <c r="FH14" s="62">
        <v>386</v>
      </c>
      <c r="FI14" s="108">
        <v>200.78665743220063</v>
      </c>
      <c r="FJ14" s="108">
        <v>191.78968313271389</v>
      </c>
      <c r="FK14" s="108">
        <v>198.28563485684955</v>
      </c>
      <c r="FL14" s="108">
        <v>184.03157833636067</v>
      </c>
      <c r="FM14" s="62">
        <v>423</v>
      </c>
      <c r="FN14" s="62">
        <v>358</v>
      </c>
      <c r="FO14" s="57">
        <v>298</v>
      </c>
      <c r="FP14" s="62">
        <v>275</v>
      </c>
      <c r="FQ14" s="108">
        <v>260.20883566870339</v>
      </c>
      <c r="FR14" s="108">
        <v>201.99001818751341</v>
      </c>
      <c r="FS14" s="108">
        <v>156.28384342115976</v>
      </c>
      <c r="FT14" s="108">
        <v>138.03475078437106</v>
      </c>
      <c r="FU14" s="60">
        <v>117</v>
      </c>
      <c r="FV14" s="60">
        <v>104</v>
      </c>
      <c r="FW14" s="60">
        <v>84</v>
      </c>
      <c r="FX14" s="60">
        <v>88</v>
      </c>
      <c r="FY14" s="108">
        <v>71.552154407456356</v>
      </c>
      <c r="FZ14" s="108">
        <v>58.940825889650156</v>
      </c>
      <c r="GA14" s="108">
        <v>43.746129111552619</v>
      </c>
      <c r="GB14" s="108">
        <v>43.8537161960963</v>
      </c>
      <c r="GC14" s="63">
        <v>74</v>
      </c>
      <c r="GD14" s="64">
        <v>68</v>
      </c>
      <c r="GE14" s="63">
        <v>92</v>
      </c>
      <c r="GF14" s="63">
        <v>99</v>
      </c>
      <c r="GG14" s="112">
        <v>58.351593842508244</v>
      </c>
      <c r="GH14" s="112">
        <v>52.053119574321741</v>
      </c>
      <c r="GI14" s="112">
        <v>60.001129688420718</v>
      </c>
      <c r="GJ14" s="112">
        <v>62.346011763089166</v>
      </c>
      <c r="GK14" s="63"/>
      <c r="GL14" s="63"/>
      <c r="GM14" s="63"/>
      <c r="GN14" s="64"/>
      <c r="GO14" s="63"/>
      <c r="GP14" s="63"/>
      <c r="GQ14" s="63"/>
      <c r="GR14" s="63"/>
      <c r="GS14" s="64"/>
      <c r="GT14" s="63"/>
      <c r="GU14" s="63"/>
      <c r="GV14" s="63"/>
      <c r="GW14" s="63"/>
      <c r="GX14" s="64"/>
      <c r="GY14" s="64"/>
      <c r="GZ14" s="64"/>
      <c r="HA14" s="64"/>
      <c r="HB14" s="64"/>
      <c r="HC14" s="64"/>
      <c r="HD14" s="65"/>
      <c r="HE14" s="65"/>
      <c r="HF14" s="65"/>
      <c r="HG14" s="65"/>
      <c r="HH14" s="65"/>
      <c r="HI14" s="66"/>
      <c r="HJ14" s="66"/>
      <c r="HK14" s="63"/>
      <c r="HL14" s="64"/>
      <c r="HM14" s="64"/>
      <c r="HN14" s="64"/>
      <c r="HO14" s="64"/>
      <c r="HP14" s="64"/>
      <c r="HQ14" s="64"/>
      <c r="HR14" s="64"/>
      <c r="HS14" s="64"/>
      <c r="HT14" s="64"/>
      <c r="HU14" s="39"/>
    </row>
    <row r="15" spans="1:252" ht="21" customHeight="1" x14ac:dyDescent="0.2">
      <c r="A15" s="37">
        <v>12</v>
      </c>
      <c r="B15" s="86" t="s">
        <v>70</v>
      </c>
      <c r="C15" s="93">
        <v>12465</v>
      </c>
      <c r="D15" s="93">
        <v>12414</v>
      </c>
      <c r="E15" s="93">
        <v>12321</v>
      </c>
      <c r="F15" s="93">
        <v>12441</v>
      </c>
      <c r="G15" s="93">
        <v>12319</v>
      </c>
      <c r="H15" s="43">
        <v>11813</v>
      </c>
      <c r="I15" s="43">
        <v>71</v>
      </c>
      <c r="J15" s="43">
        <v>128</v>
      </c>
      <c r="K15" s="43">
        <v>167</v>
      </c>
      <c r="L15" s="43">
        <v>654</v>
      </c>
      <c r="M15" s="44">
        <v>5383</v>
      </c>
      <c r="N15" s="44">
        <v>5365</v>
      </c>
      <c r="O15" s="45">
        <v>5344</v>
      </c>
      <c r="P15" s="45">
        <v>5241</v>
      </c>
      <c r="Q15" s="46">
        <v>5214</v>
      </c>
      <c r="R15" s="105">
        <v>30.526852914912617</v>
      </c>
      <c r="S15" s="105">
        <v>30.724823604874921</v>
      </c>
      <c r="T15" s="105">
        <v>30.793525463876826</v>
      </c>
      <c r="U15" s="105">
        <v>31.327502936953401</v>
      </c>
      <c r="V15" s="105">
        <v>31.30514947978401</v>
      </c>
      <c r="W15" s="105">
        <v>28.485776246970278</v>
      </c>
      <c r="X15" s="105">
        <v>28.531109685695959</v>
      </c>
      <c r="Y15" s="105">
        <v>31.346229767074615</v>
      </c>
      <c r="Z15" s="105">
        <v>31.066440412478787</v>
      </c>
      <c r="AA15" s="105">
        <v>30.936388779138682</v>
      </c>
      <c r="AB15" s="105">
        <v>59.012629161882892</v>
      </c>
      <c r="AC15" s="105">
        <v>59.25593329057088</v>
      </c>
      <c r="AD15" s="105">
        <v>62.139755230951444</v>
      </c>
      <c r="AE15" s="105">
        <v>62.393943349432192</v>
      </c>
      <c r="AF15" s="105">
        <v>62.241538258922695</v>
      </c>
      <c r="AG15" s="46">
        <v>4.3496681259709078</v>
      </c>
      <c r="AH15" s="46">
        <v>5.1639916259595253</v>
      </c>
      <c r="AI15" s="46">
        <v>8.0601092896174862</v>
      </c>
      <c r="AJ15" s="46">
        <v>7.1173889193636866</v>
      </c>
      <c r="AK15" s="45">
        <v>6.2970568104038334</v>
      </c>
      <c r="AL15" s="49">
        <v>218.25</v>
      </c>
      <c r="AM15" s="49">
        <v>234.66666666666666</v>
      </c>
      <c r="AN15" s="49">
        <v>303.41666666666669</v>
      </c>
      <c r="AO15" s="49">
        <v>234.66666666666666</v>
      </c>
      <c r="AP15" s="49">
        <v>413.58333333333331</v>
      </c>
      <c r="AQ15" s="49">
        <v>40489.399187283881</v>
      </c>
      <c r="AR15" s="49">
        <v>43816.840972837308</v>
      </c>
      <c r="AS15" s="49">
        <v>41893.794384453984</v>
      </c>
      <c r="AT15" s="49">
        <v>44030.922325915068</v>
      </c>
      <c r="AU15" s="49">
        <v>46031.090185891713</v>
      </c>
      <c r="AV15" s="101">
        <v>46379.253547279375</v>
      </c>
      <c r="AW15" s="101">
        <v>46463.41271138814</v>
      </c>
      <c r="AX15" s="102">
        <v>47584.479954506678</v>
      </c>
      <c r="AY15" s="102">
        <v>46128.504893238431</v>
      </c>
      <c r="AZ15" s="102">
        <v>46545</v>
      </c>
      <c r="BA15" s="99">
        <v>10.341726618705035</v>
      </c>
      <c r="BB15" s="99">
        <v>9.5050480177296226</v>
      </c>
      <c r="BC15" s="99">
        <v>9.9478606306380861</v>
      </c>
      <c r="BD15" s="99">
        <v>9.9885937754603233</v>
      </c>
      <c r="BE15" s="99">
        <v>10.867414248021108</v>
      </c>
      <c r="BF15" s="99">
        <v>13.775694194013704</v>
      </c>
      <c r="BG15" s="99">
        <v>12.491000719942404</v>
      </c>
      <c r="BH15" s="48">
        <v>13.40666895840495</v>
      </c>
      <c r="BI15" s="48">
        <v>15.192507804370447</v>
      </c>
      <c r="BJ15" s="48">
        <v>16.055045871559631</v>
      </c>
      <c r="BK15" s="44">
        <v>2221</v>
      </c>
      <c r="BL15" s="44">
        <v>2263</v>
      </c>
      <c r="BM15" s="44">
        <v>2122</v>
      </c>
      <c r="BN15" s="42">
        <v>2144</v>
      </c>
      <c r="BO15" s="45">
        <v>35.929761368752814</v>
      </c>
      <c r="BP15" s="45">
        <v>36.367653557224919</v>
      </c>
      <c r="BQ15" s="45">
        <v>40.433553251649386</v>
      </c>
      <c r="BR15" s="46">
        <v>38.759328358208954</v>
      </c>
      <c r="BS15" s="105">
        <v>2.7014858171994596</v>
      </c>
      <c r="BT15" s="105">
        <v>2.5187803800265134</v>
      </c>
      <c r="BU15" s="105">
        <v>3.3459000942507067</v>
      </c>
      <c r="BV15" s="105">
        <v>3.6847014925373136</v>
      </c>
      <c r="BW15" s="45">
        <v>17.604682575416479</v>
      </c>
      <c r="BX15" s="45">
        <v>17.764030048608042</v>
      </c>
      <c r="BY15" s="45">
        <v>19.085768143261074</v>
      </c>
      <c r="BZ15" s="45">
        <v>18.097014925373134</v>
      </c>
      <c r="CA15" s="44">
        <v>68.35443037974683</v>
      </c>
      <c r="CB15" s="44">
        <v>74.410774410774408</v>
      </c>
      <c r="CC15" s="44">
        <v>81.516587677725113</v>
      </c>
      <c r="CD15" s="45">
        <v>78.209999999999994</v>
      </c>
      <c r="CE15" s="45">
        <v>3.3755274261603376</v>
      </c>
      <c r="CF15" s="45">
        <v>1.0101010101010102</v>
      </c>
      <c r="CG15" s="45">
        <v>1.4218009478672986</v>
      </c>
      <c r="CH15" s="45">
        <v>2.14</v>
      </c>
      <c r="CI15" s="48">
        <v>764</v>
      </c>
      <c r="CJ15" s="51">
        <v>690</v>
      </c>
      <c r="CK15" s="51">
        <v>756</v>
      </c>
      <c r="CL15" s="57">
        <v>796</v>
      </c>
      <c r="CM15" s="108">
        <v>11.646341463414634</v>
      </c>
      <c r="CN15" s="108">
        <v>10.589318600368324</v>
      </c>
      <c r="CO15" s="108">
        <v>11.827284105131413</v>
      </c>
      <c r="CP15" s="108">
        <v>12.846998063266623</v>
      </c>
      <c r="CQ15" s="60">
        <v>24</v>
      </c>
      <c r="CR15" s="60">
        <v>18</v>
      </c>
      <c r="CS15" s="60">
        <v>32</v>
      </c>
      <c r="CT15" s="60">
        <v>33</v>
      </c>
      <c r="CU15" s="108">
        <v>3.2345013477088949</v>
      </c>
      <c r="CV15" s="108">
        <v>2.6548672566371683</v>
      </c>
      <c r="CW15" s="108">
        <v>4.3895747599451305</v>
      </c>
      <c r="CX15" s="108">
        <v>4.3080939947780683</v>
      </c>
      <c r="CY15" s="61">
        <v>49</v>
      </c>
      <c r="CZ15" s="57">
        <v>36</v>
      </c>
      <c r="DA15" s="60">
        <v>50</v>
      </c>
      <c r="DB15" s="60">
        <v>54</v>
      </c>
      <c r="DC15" s="108">
        <v>6.9503546099290778</v>
      </c>
      <c r="DD15" s="108">
        <v>5.4462934947049924</v>
      </c>
      <c r="DE15" s="108">
        <v>7.8369905956112849</v>
      </c>
      <c r="DF15" s="108">
        <v>8.695652173913043</v>
      </c>
      <c r="DG15" s="108">
        <v>85.752330226364847</v>
      </c>
      <c r="DH15" s="108">
        <v>82.21574344023324</v>
      </c>
      <c r="DI15" s="108">
        <v>86.183310533515737</v>
      </c>
      <c r="DJ15" s="108">
        <v>86.114819759679577</v>
      </c>
      <c r="DK15" s="108">
        <v>15.896739130434783</v>
      </c>
      <c r="DL15" s="108">
        <v>16.005873715124817</v>
      </c>
      <c r="DM15" s="108">
        <v>18.14516129032258</v>
      </c>
      <c r="DN15" s="108">
        <v>17.729591836734695</v>
      </c>
      <c r="DO15" s="108">
        <v>20.94240837696335</v>
      </c>
      <c r="DP15" s="108">
        <v>29.027576197387518</v>
      </c>
      <c r="DQ15" s="108">
        <v>36.688741721854306</v>
      </c>
      <c r="DR15" s="108">
        <v>41.206030150753769</v>
      </c>
      <c r="DS15" s="108">
        <v>26.3671875</v>
      </c>
      <c r="DT15" s="108">
        <v>31.529612270984234</v>
      </c>
      <c r="DU15" s="108">
        <v>34.421099687080911</v>
      </c>
      <c r="DV15" s="108">
        <v>44.344793223716991</v>
      </c>
      <c r="DW15" s="62">
        <v>131</v>
      </c>
      <c r="DX15" s="62">
        <v>1</v>
      </c>
      <c r="DY15" s="57">
        <v>2</v>
      </c>
      <c r="DZ15" s="60">
        <v>10</v>
      </c>
      <c r="EA15" s="60">
        <v>18</v>
      </c>
      <c r="EB15" s="60">
        <v>8</v>
      </c>
      <c r="EC15" s="60">
        <v>5</v>
      </c>
      <c r="ED15" s="57">
        <v>2</v>
      </c>
      <c r="EE15" s="60">
        <v>3</v>
      </c>
      <c r="EF15" s="60">
        <v>780</v>
      </c>
      <c r="EG15" s="60">
        <v>793</v>
      </c>
      <c r="EH15" s="60">
        <v>762</v>
      </c>
      <c r="EI15" s="60">
        <v>699</v>
      </c>
      <c r="EJ15" s="115">
        <v>142</v>
      </c>
      <c r="EK15" s="115">
        <v>0</v>
      </c>
      <c r="EL15" s="115">
        <v>1</v>
      </c>
      <c r="EM15" s="115">
        <v>0</v>
      </c>
      <c r="EN15" s="115">
        <v>3</v>
      </c>
      <c r="EO15" s="108">
        <v>1189.0243902439024</v>
      </c>
      <c r="EP15" s="108">
        <v>1217.0042971147943</v>
      </c>
      <c r="EQ15" s="108">
        <v>1192.1151439299124</v>
      </c>
      <c r="ER15" s="108">
        <v>1128.1471917366043</v>
      </c>
      <c r="ES15" s="108">
        <v>732.95131457882826</v>
      </c>
      <c r="ET15" s="108">
        <v>727.21866228332499</v>
      </c>
      <c r="EU15" s="108">
        <v>657.4832903951102</v>
      </c>
      <c r="EV15" s="108">
        <v>649.71546112534566</v>
      </c>
      <c r="EW15" s="108">
        <v>976.31510564389566</v>
      </c>
      <c r="EX15" s="108">
        <v>944.19277270946986</v>
      </c>
      <c r="EY15" s="108">
        <v>836.93806902350252</v>
      </c>
      <c r="EZ15" s="108">
        <v>760.31141742448165</v>
      </c>
      <c r="FA15" s="108">
        <v>535.51991949978958</v>
      </c>
      <c r="FB15" s="108">
        <v>557.71687267398329</v>
      </c>
      <c r="FC15" s="108">
        <v>534.94240997465693</v>
      </c>
      <c r="FD15" s="108">
        <v>573.95184420909982</v>
      </c>
      <c r="FE15" s="57">
        <v>157</v>
      </c>
      <c r="FF15" s="62">
        <v>184</v>
      </c>
      <c r="FG15" s="62">
        <v>165</v>
      </c>
      <c r="FH15" s="62">
        <v>142</v>
      </c>
      <c r="FI15" s="108">
        <v>154.03881316893236</v>
      </c>
      <c r="FJ15" s="108">
        <v>180.54001270878672</v>
      </c>
      <c r="FK15" s="108">
        <v>160.25085566998908</v>
      </c>
      <c r="FL15" s="108">
        <v>146.15995242704398</v>
      </c>
      <c r="FM15" s="62">
        <v>231</v>
      </c>
      <c r="FN15" s="62">
        <v>181</v>
      </c>
      <c r="FO15" s="57">
        <v>173</v>
      </c>
      <c r="FP15" s="62">
        <v>153</v>
      </c>
      <c r="FQ15" s="108">
        <v>205.78007616468852</v>
      </c>
      <c r="FR15" s="108">
        <v>155.36909748532423</v>
      </c>
      <c r="FS15" s="108">
        <v>141.94870124442571</v>
      </c>
      <c r="FT15" s="108">
        <v>131.22520114181336</v>
      </c>
      <c r="FU15" s="60">
        <v>77</v>
      </c>
      <c r="FV15" s="60">
        <v>71</v>
      </c>
      <c r="FW15" s="60">
        <v>53</v>
      </c>
      <c r="FX15" s="60">
        <v>47</v>
      </c>
      <c r="FY15" s="108">
        <v>69.102497948071417</v>
      </c>
      <c r="FZ15" s="108">
        <v>56.017586728925266</v>
      </c>
      <c r="GA15" s="108">
        <v>39.201285846933246</v>
      </c>
      <c r="GB15" s="108">
        <v>37.899232706438198</v>
      </c>
      <c r="GC15" s="63">
        <v>33</v>
      </c>
      <c r="GD15" s="64">
        <v>41</v>
      </c>
      <c r="GE15" s="63">
        <v>37</v>
      </c>
      <c r="GF15" s="63">
        <v>32</v>
      </c>
      <c r="GG15" s="112">
        <v>44.020483706965031</v>
      </c>
      <c r="GH15" s="112">
        <v>49.030863669134504</v>
      </c>
      <c r="GI15" s="112">
        <v>42.666769570963368</v>
      </c>
      <c r="GJ15" s="112">
        <v>40.280871295665357</v>
      </c>
      <c r="GK15" s="63"/>
      <c r="GL15" s="63"/>
      <c r="GM15" s="63"/>
      <c r="GN15" s="64"/>
      <c r="GO15" s="63"/>
      <c r="GP15" s="63"/>
      <c r="GQ15" s="63"/>
      <c r="GR15" s="63"/>
      <c r="GS15" s="64"/>
      <c r="GT15" s="63"/>
      <c r="GU15" s="63"/>
      <c r="GV15" s="63"/>
      <c r="GW15" s="63"/>
      <c r="GX15" s="64"/>
      <c r="GY15" s="64"/>
      <c r="GZ15" s="64"/>
      <c r="HA15" s="64"/>
      <c r="HB15" s="64"/>
      <c r="HC15" s="64"/>
      <c r="HD15" s="65"/>
      <c r="HE15" s="65"/>
      <c r="HF15" s="65"/>
      <c r="HG15" s="65"/>
      <c r="HH15" s="65"/>
      <c r="HI15" s="66"/>
      <c r="HJ15" s="66"/>
      <c r="HK15" s="63"/>
      <c r="HL15" s="64"/>
      <c r="HM15" s="64"/>
      <c r="HN15" s="64"/>
      <c r="HO15" s="64"/>
      <c r="HP15" s="64"/>
      <c r="HQ15" s="64"/>
      <c r="HR15" s="64"/>
      <c r="HS15" s="64"/>
      <c r="HT15" s="64"/>
      <c r="HU15" s="39"/>
    </row>
    <row r="16" spans="1:252" x14ac:dyDescent="0.2">
      <c r="A16" s="37">
        <v>13</v>
      </c>
      <c r="B16" s="86" t="s">
        <v>71</v>
      </c>
      <c r="C16" s="93">
        <v>50128</v>
      </c>
      <c r="D16" s="93">
        <v>50257</v>
      </c>
      <c r="E16" s="93">
        <v>50625</v>
      </c>
      <c r="F16" s="93">
        <v>53887</v>
      </c>
      <c r="G16" s="93">
        <v>53916</v>
      </c>
      <c r="H16" s="43">
        <v>51750</v>
      </c>
      <c r="I16" s="43">
        <v>661</v>
      </c>
      <c r="J16" s="43">
        <v>355</v>
      </c>
      <c r="K16" s="43">
        <v>503</v>
      </c>
      <c r="L16" s="43">
        <v>902</v>
      </c>
      <c r="M16" s="44">
        <v>17856</v>
      </c>
      <c r="N16" s="44">
        <v>18057</v>
      </c>
      <c r="O16" s="45">
        <v>18220</v>
      </c>
      <c r="P16" s="45">
        <v>19470</v>
      </c>
      <c r="Q16" s="46">
        <v>19537</v>
      </c>
      <c r="R16" s="105">
        <v>14.511919772454036</v>
      </c>
      <c r="S16" s="105">
        <v>15.067492549523754</v>
      </c>
      <c r="T16" s="105">
        <v>16.534571479268941</v>
      </c>
      <c r="U16" s="105">
        <v>17.188531807175874</v>
      </c>
      <c r="V16" s="105">
        <v>18.408714837286265</v>
      </c>
      <c r="W16" s="105">
        <v>32.478081107233969</v>
      </c>
      <c r="X16" s="105">
        <v>31.771168117805178</v>
      </c>
      <c r="Y16" s="105">
        <v>33.18152244632401</v>
      </c>
      <c r="Z16" s="105">
        <v>31.080783623156506</v>
      </c>
      <c r="AA16" s="105">
        <v>30.284059569773856</v>
      </c>
      <c r="AB16" s="105">
        <v>46.990000879688004</v>
      </c>
      <c r="AC16" s="105">
        <v>46.838660667328931</v>
      </c>
      <c r="AD16" s="105">
        <v>49.716093925592951</v>
      </c>
      <c r="AE16" s="105">
        <v>48.269315430332377</v>
      </c>
      <c r="AF16" s="105">
        <v>48.692774407060121</v>
      </c>
      <c r="AG16" s="46">
        <v>5.893091865050387</v>
      </c>
      <c r="AH16" s="46">
        <v>6.7594577897299848</v>
      </c>
      <c r="AI16" s="46">
        <v>10.295291300877894</v>
      </c>
      <c r="AJ16" s="46">
        <v>9.4362923143977913</v>
      </c>
      <c r="AK16" s="45">
        <v>8.1101759755164498</v>
      </c>
      <c r="AL16" s="49">
        <v>688.58333333333337</v>
      </c>
      <c r="AM16" s="49">
        <v>795.41666666666663</v>
      </c>
      <c r="AN16" s="49">
        <v>1010.5833333333334</v>
      </c>
      <c r="AO16" s="49">
        <v>795.41666666666663</v>
      </c>
      <c r="AP16" s="49">
        <v>1493.5833333333333</v>
      </c>
      <c r="AQ16" s="49">
        <v>34536.019865316783</v>
      </c>
      <c r="AR16" s="49">
        <v>34568.101283769691</v>
      </c>
      <c r="AS16" s="49">
        <v>33651.054684962503</v>
      </c>
      <c r="AT16" s="49">
        <v>34150.944287095241</v>
      </c>
      <c r="AU16" s="49">
        <v>35159.878329252911</v>
      </c>
      <c r="AV16" s="101">
        <v>71699.021471771266</v>
      </c>
      <c r="AW16" s="101">
        <v>69688.328156133459</v>
      </c>
      <c r="AX16" s="102">
        <v>64861.429114791383</v>
      </c>
      <c r="AY16" s="102">
        <v>65233.093989617344</v>
      </c>
      <c r="AZ16" s="102">
        <v>62776</v>
      </c>
      <c r="BA16" s="99">
        <v>5.9438181405989159</v>
      </c>
      <c r="BB16" s="99">
        <v>6.5787310979618674</v>
      </c>
      <c r="BC16" s="99">
        <v>7.7941956814563857</v>
      </c>
      <c r="BD16" s="99">
        <v>7.4454306502609429</v>
      </c>
      <c r="BE16" s="99">
        <v>6.7158207590306356</v>
      </c>
      <c r="BF16" s="99">
        <v>7.3616826703246456</v>
      </c>
      <c r="BG16" s="99">
        <v>8.2533292040879527</v>
      </c>
      <c r="BH16" s="48">
        <v>9.2177304432610807</v>
      </c>
      <c r="BI16" s="48">
        <v>9.4102151324454848</v>
      </c>
      <c r="BJ16" s="48">
        <v>8.8025257460723143</v>
      </c>
      <c r="BK16" s="44">
        <v>8345</v>
      </c>
      <c r="BL16" s="44">
        <v>8140</v>
      </c>
      <c r="BM16" s="44">
        <v>7928</v>
      </c>
      <c r="BN16" s="42">
        <v>7672</v>
      </c>
      <c r="BO16" s="45">
        <v>22.959856201318154</v>
      </c>
      <c r="BP16" s="45">
        <v>26.412776412776413</v>
      </c>
      <c r="BQ16" s="45">
        <v>26.210898082744702</v>
      </c>
      <c r="BR16" s="46">
        <v>26.811783107403546</v>
      </c>
      <c r="BS16" s="105">
        <v>1.1264230077890953</v>
      </c>
      <c r="BT16" s="105">
        <v>0.84766584766584763</v>
      </c>
      <c r="BU16" s="105">
        <v>0.81987891019172554</v>
      </c>
      <c r="BV16" s="105">
        <v>0.67778936392075073</v>
      </c>
      <c r="BW16" s="45">
        <v>10.605152786099461</v>
      </c>
      <c r="BX16" s="45">
        <v>10.601965601965603</v>
      </c>
      <c r="BY16" s="45">
        <v>10.746720484359233</v>
      </c>
      <c r="BZ16" s="45">
        <v>10.649113660062564</v>
      </c>
      <c r="CA16" s="44">
        <v>77.025232403718462</v>
      </c>
      <c r="CB16" s="44">
        <v>79.184247538677923</v>
      </c>
      <c r="CC16" s="44">
        <v>79.870129870129873</v>
      </c>
      <c r="CD16" s="45">
        <v>79.52</v>
      </c>
      <c r="CE16" s="45">
        <v>3.7184594953519254</v>
      </c>
      <c r="CF16" s="45">
        <v>3.7974683544303796</v>
      </c>
      <c r="CG16" s="45">
        <v>4.1558441558441555</v>
      </c>
      <c r="CH16" s="45">
        <v>4.04</v>
      </c>
      <c r="CI16" s="48">
        <v>2596</v>
      </c>
      <c r="CJ16" s="51">
        <v>3085</v>
      </c>
      <c r="CK16" s="51">
        <v>3578</v>
      </c>
      <c r="CL16" s="57">
        <v>3075</v>
      </c>
      <c r="CM16" s="108">
        <v>14.667826833760863</v>
      </c>
      <c r="CN16" s="108">
        <v>14.908999526391588</v>
      </c>
      <c r="CO16" s="108">
        <v>14.980865691389143</v>
      </c>
      <c r="CP16" s="108">
        <v>11.881165165582873</v>
      </c>
      <c r="CQ16" s="60">
        <v>79</v>
      </c>
      <c r="CR16" s="60">
        <v>127</v>
      </c>
      <c r="CS16" s="60">
        <v>153</v>
      </c>
      <c r="CT16" s="60">
        <v>127</v>
      </c>
      <c r="CU16" s="108">
        <v>3.1361651448987695</v>
      </c>
      <c r="CV16" s="108">
        <v>4.2732166890982501</v>
      </c>
      <c r="CW16" s="108">
        <v>4.4245228455754768</v>
      </c>
      <c r="CX16" s="108">
        <v>4.3463381245722106</v>
      </c>
      <c r="CY16" s="61">
        <v>144</v>
      </c>
      <c r="CZ16" s="57">
        <v>188</v>
      </c>
      <c r="DA16" s="60">
        <v>241</v>
      </c>
      <c r="DB16" s="60">
        <v>186</v>
      </c>
      <c r="DC16" s="108">
        <v>6.1302681992337167</v>
      </c>
      <c r="DD16" s="108">
        <v>7.2447013487475918</v>
      </c>
      <c r="DE16" s="108">
        <v>8.0548128342245988</v>
      </c>
      <c r="DF16" s="108">
        <v>7.3809523809523814</v>
      </c>
      <c r="DG16" s="108">
        <v>87.025316455696199</v>
      </c>
      <c r="DH16" s="108">
        <v>88.918647472380314</v>
      </c>
      <c r="DI16" s="108">
        <v>89.724238026124823</v>
      </c>
      <c r="DJ16" s="108">
        <v>90.062934746604839</v>
      </c>
      <c r="DK16" s="108">
        <v>17.099480623252099</v>
      </c>
      <c r="DL16" s="108">
        <v>14.883563955450557</v>
      </c>
      <c r="DM16" s="108">
        <v>13.50354609929078</v>
      </c>
      <c r="DN16" s="108">
        <v>15.014720314033367</v>
      </c>
      <c r="DO16" s="108">
        <v>20.932922127987663</v>
      </c>
      <c r="DP16" s="108">
        <v>20.551053484602917</v>
      </c>
      <c r="DQ16" s="108">
        <v>21.796306659205371</v>
      </c>
      <c r="DR16" s="108">
        <v>27.97657774886142</v>
      </c>
      <c r="DS16" s="108">
        <v>34.895150720838792</v>
      </c>
      <c r="DT16" s="108">
        <v>26.474746176583988</v>
      </c>
      <c r="DU16" s="108">
        <v>24.606060606060606</v>
      </c>
      <c r="DV16" s="108">
        <v>19.773019773019772</v>
      </c>
      <c r="DW16" s="62">
        <v>530</v>
      </c>
      <c r="DX16" s="62">
        <v>3</v>
      </c>
      <c r="DY16" s="57">
        <v>3</v>
      </c>
      <c r="DZ16" s="60">
        <v>11</v>
      </c>
      <c r="EA16" s="60">
        <v>7</v>
      </c>
      <c r="EB16" s="60">
        <v>17</v>
      </c>
      <c r="EC16" s="60">
        <v>13</v>
      </c>
      <c r="ED16" s="57">
        <v>10</v>
      </c>
      <c r="EE16" s="60">
        <v>20</v>
      </c>
      <c r="EF16" s="60">
        <v>1335</v>
      </c>
      <c r="EG16" s="60">
        <v>1442</v>
      </c>
      <c r="EH16" s="60">
        <v>1593</v>
      </c>
      <c r="EI16" s="60">
        <v>1711</v>
      </c>
      <c r="EJ16" s="115">
        <v>361</v>
      </c>
      <c r="EK16" s="115">
        <v>2</v>
      </c>
      <c r="EL16" s="115">
        <v>0</v>
      </c>
      <c r="EM16" s="115">
        <v>1</v>
      </c>
      <c r="EN16" s="115">
        <v>3</v>
      </c>
      <c r="EO16" s="108">
        <v>754.29695004124619</v>
      </c>
      <c r="EP16" s="108">
        <v>696.88095030977854</v>
      </c>
      <c r="EQ16" s="108">
        <v>666.97929140254064</v>
      </c>
      <c r="ER16" s="108">
        <v>661.09507636787953</v>
      </c>
      <c r="ES16" s="108">
        <v>787.02682027849403</v>
      </c>
      <c r="ET16" s="108">
        <v>795.27584533227582</v>
      </c>
      <c r="EU16" s="108">
        <v>808.72541679217647</v>
      </c>
      <c r="EV16" s="108">
        <v>715.8432228188434</v>
      </c>
      <c r="EW16" s="108">
        <v>956.92542782001533</v>
      </c>
      <c r="EX16" s="108">
        <v>976.1820780197952</v>
      </c>
      <c r="EY16" s="108">
        <v>911.94702829090068</v>
      </c>
      <c r="EZ16" s="108">
        <v>785.95148557938626</v>
      </c>
      <c r="FA16" s="108">
        <v>662.09708504611626</v>
      </c>
      <c r="FB16" s="108">
        <v>659.20166627615083</v>
      </c>
      <c r="FC16" s="108">
        <v>707.47680805522828</v>
      </c>
      <c r="FD16" s="108">
        <v>647.63601608100953</v>
      </c>
      <c r="FE16" s="57">
        <v>372</v>
      </c>
      <c r="FF16" s="62">
        <v>360</v>
      </c>
      <c r="FG16" s="62">
        <v>394</v>
      </c>
      <c r="FH16" s="62">
        <v>407</v>
      </c>
      <c r="FI16" s="108">
        <v>223.98205809718957</v>
      </c>
      <c r="FJ16" s="108">
        <v>202.68036799687519</v>
      </c>
      <c r="FK16" s="108">
        <v>202.85940366203369</v>
      </c>
      <c r="FL16" s="108">
        <v>167.37998157988261</v>
      </c>
      <c r="FM16" s="62">
        <v>295</v>
      </c>
      <c r="FN16" s="62">
        <v>320</v>
      </c>
      <c r="FO16" s="57">
        <v>321</v>
      </c>
      <c r="FP16" s="62">
        <v>306</v>
      </c>
      <c r="FQ16" s="108">
        <v>174.42852051298942</v>
      </c>
      <c r="FR16" s="108">
        <v>176.57329810814991</v>
      </c>
      <c r="FS16" s="108">
        <v>166.05750779889189</v>
      </c>
      <c r="FT16" s="108">
        <v>129.06735819383246</v>
      </c>
      <c r="FU16" s="60">
        <v>126</v>
      </c>
      <c r="FV16" s="60">
        <v>92</v>
      </c>
      <c r="FW16" s="60">
        <v>91</v>
      </c>
      <c r="FX16" s="60">
        <v>85</v>
      </c>
      <c r="FY16" s="108">
        <v>73.470875892982519</v>
      </c>
      <c r="FZ16" s="108">
        <v>50.956567182893217</v>
      </c>
      <c r="GA16" s="108">
        <v>47.160756698907463</v>
      </c>
      <c r="GB16" s="108">
        <v>36.387984434379916</v>
      </c>
      <c r="GC16" s="63">
        <v>59</v>
      </c>
      <c r="GD16" s="64">
        <v>79</v>
      </c>
      <c r="GE16" s="63">
        <v>103</v>
      </c>
      <c r="GF16" s="63">
        <v>119</v>
      </c>
      <c r="GG16" s="112">
        <v>34.278481598811041</v>
      </c>
      <c r="GH16" s="112">
        <v>41.073635937891233</v>
      </c>
      <c r="GI16" s="112">
        <v>45.243712616664013</v>
      </c>
      <c r="GJ16" s="112">
        <v>49.098387545004663</v>
      </c>
      <c r="GK16" s="63"/>
      <c r="GL16" s="63"/>
      <c r="GM16" s="63"/>
      <c r="GN16" s="64"/>
      <c r="GO16" s="63"/>
      <c r="GP16" s="63"/>
      <c r="GQ16" s="63"/>
      <c r="GR16" s="63"/>
      <c r="GS16" s="64"/>
      <c r="GT16" s="63"/>
      <c r="GU16" s="63"/>
      <c r="GV16" s="63"/>
      <c r="GW16" s="63"/>
      <c r="GX16" s="64"/>
      <c r="GY16" s="64"/>
      <c r="GZ16" s="64"/>
      <c r="HA16" s="64"/>
      <c r="HB16" s="64"/>
      <c r="HC16" s="64"/>
      <c r="HD16" s="65"/>
      <c r="HE16" s="65"/>
      <c r="HF16" s="65"/>
      <c r="HG16" s="65"/>
      <c r="HH16" s="65"/>
      <c r="HI16" s="66"/>
      <c r="HJ16" s="66"/>
      <c r="HK16" s="63"/>
      <c r="HL16" s="64"/>
      <c r="HM16" s="64"/>
      <c r="HN16" s="64"/>
      <c r="HO16" s="64"/>
      <c r="HP16" s="64"/>
      <c r="HQ16" s="64"/>
      <c r="HR16" s="64"/>
      <c r="HS16" s="64"/>
      <c r="HT16" s="64"/>
      <c r="HU16" s="39"/>
    </row>
    <row r="17" spans="1:229" x14ac:dyDescent="0.2">
      <c r="A17" s="37">
        <v>14</v>
      </c>
      <c r="B17" s="86" t="s">
        <v>72</v>
      </c>
      <c r="C17" s="93">
        <v>54835</v>
      </c>
      <c r="D17" s="93">
        <v>55767</v>
      </c>
      <c r="E17" s="93">
        <v>56763</v>
      </c>
      <c r="F17" s="93">
        <v>58999</v>
      </c>
      <c r="G17" s="93">
        <v>59803</v>
      </c>
      <c r="H17" s="43">
        <v>55908</v>
      </c>
      <c r="I17" s="43">
        <v>917</v>
      </c>
      <c r="J17" s="43">
        <v>853</v>
      </c>
      <c r="K17" s="43">
        <v>940</v>
      </c>
      <c r="L17" s="43">
        <v>2158</v>
      </c>
      <c r="M17" s="44">
        <v>21234</v>
      </c>
      <c r="N17" s="44">
        <v>21599</v>
      </c>
      <c r="O17" s="45">
        <v>22038</v>
      </c>
      <c r="P17" s="45">
        <v>22279</v>
      </c>
      <c r="Q17" s="46">
        <v>22516</v>
      </c>
      <c r="R17" s="105">
        <v>17.994635531713474</v>
      </c>
      <c r="S17" s="105">
        <v>18.118232215947359</v>
      </c>
      <c r="T17" s="105">
        <v>18.050319304454874</v>
      </c>
      <c r="U17" s="105">
        <v>17.516766896824809</v>
      </c>
      <c r="V17" s="105">
        <v>17.323121808898613</v>
      </c>
      <c r="W17" s="105">
        <v>26.201746081834436</v>
      </c>
      <c r="X17" s="105">
        <v>26.348375731827367</v>
      </c>
      <c r="Y17" s="105">
        <v>27.529429868431176</v>
      </c>
      <c r="Z17" s="105">
        <v>28.495062736654539</v>
      </c>
      <c r="AA17" s="105">
        <v>28.076829564794554</v>
      </c>
      <c r="AB17" s="105">
        <v>44.196381613547914</v>
      </c>
      <c r="AC17" s="105">
        <v>44.466607947774726</v>
      </c>
      <c r="AD17" s="105">
        <v>45.579749172886054</v>
      </c>
      <c r="AE17" s="105">
        <v>46.011829633479344</v>
      </c>
      <c r="AF17" s="105">
        <v>45.39995137369317</v>
      </c>
      <c r="AG17" s="46">
        <v>3.4966151488057222</v>
      </c>
      <c r="AH17" s="46">
        <v>3.6603447210724656</v>
      </c>
      <c r="AI17" s="46">
        <v>4.993145468392993</v>
      </c>
      <c r="AJ17" s="46">
        <v>4.751516600424349</v>
      </c>
      <c r="AK17" s="45">
        <v>4.9817491604613808</v>
      </c>
      <c r="AL17" s="49">
        <v>1494</v>
      </c>
      <c r="AM17" s="49">
        <v>1608.5</v>
      </c>
      <c r="AN17" s="49">
        <v>2023.3333333333333</v>
      </c>
      <c r="AO17" s="49">
        <v>1608.5</v>
      </c>
      <c r="AP17" s="49">
        <v>2694.9166666666665</v>
      </c>
      <c r="AQ17" s="49">
        <v>34717.610681577353</v>
      </c>
      <c r="AR17" s="49">
        <v>35715.950017771458</v>
      </c>
      <c r="AS17" s="49">
        <v>34514.734749493233</v>
      </c>
      <c r="AT17" s="49">
        <v>35185.768388357144</v>
      </c>
      <c r="AU17" s="49">
        <v>35448.171496413226</v>
      </c>
      <c r="AV17" s="101">
        <v>54792.416075855348</v>
      </c>
      <c r="AW17" s="101">
        <v>51180.48393194707</v>
      </c>
      <c r="AX17" s="102">
        <v>49267.299677911033</v>
      </c>
      <c r="AY17" s="102">
        <v>49922.602015078694</v>
      </c>
      <c r="AZ17" s="102">
        <v>52731</v>
      </c>
      <c r="BA17" s="99">
        <v>13.046896497503832</v>
      </c>
      <c r="BB17" s="99">
        <v>12.998497283551034</v>
      </c>
      <c r="BC17" s="99">
        <v>12.963383265244364</v>
      </c>
      <c r="BD17" s="99">
        <v>12.807109252483011</v>
      </c>
      <c r="BE17" s="99">
        <v>14.781942290898073</v>
      </c>
      <c r="BF17" s="99">
        <v>13.886354209871422</v>
      </c>
      <c r="BG17" s="99">
        <v>13.266307013241786</v>
      </c>
      <c r="BH17" s="48">
        <v>14.245104232469993</v>
      </c>
      <c r="BI17" s="48">
        <v>14.640417248218615</v>
      </c>
      <c r="BJ17" s="48">
        <v>16.630861545299652</v>
      </c>
      <c r="BK17" s="44">
        <v>8820</v>
      </c>
      <c r="BL17" s="44">
        <v>8911</v>
      </c>
      <c r="BM17" s="44">
        <v>8942</v>
      </c>
      <c r="BN17" s="42">
        <v>9079</v>
      </c>
      <c r="BO17" s="45">
        <v>28.140589569160998</v>
      </c>
      <c r="BP17" s="45">
        <v>29.749747503086073</v>
      </c>
      <c r="BQ17" s="45">
        <v>32.285842093491389</v>
      </c>
      <c r="BR17" s="46">
        <v>32.15111796453354</v>
      </c>
      <c r="BS17" s="105">
        <v>5.0226757369614514</v>
      </c>
      <c r="BT17" s="105">
        <v>5.0948266187857705</v>
      </c>
      <c r="BU17" s="105">
        <v>5.1442630284052786</v>
      </c>
      <c r="BV17" s="105">
        <v>4.8022910012115876</v>
      </c>
      <c r="BW17" s="45">
        <v>14.727891156462585</v>
      </c>
      <c r="BX17" s="45">
        <v>14.678487262933453</v>
      </c>
      <c r="BY17" s="45">
        <v>15.287407738760903</v>
      </c>
      <c r="BZ17" s="45">
        <v>15.012666593237141</v>
      </c>
      <c r="CA17" s="44">
        <v>73.204419889502759</v>
      </c>
      <c r="CB17" s="44">
        <v>78.016085790884716</v>
      </c>
      <c r="CC17" s="44">
        <v>75</v>
      </c>
      <c r="CD17" s="45">
        <v>74.39</v>
      </c>
      <c r="CE17" s="45">
        <v>6.3535911602209945</v>
      </c>
      <c r="CF17" s="45">
        <v>4.5576407506702417</v>
      </c>
      <c r="CG17" s="45">
        <v>5.4404145077720205</v>
      </c>
      <c r="CH17" s="45">
        <v>7.48</v>
      </c>
      <c r="CI17" s="48">
        <v>3333</v>
      </c>
      <c r="CJ17" s="51">
        <v>2855</v>
      </c>
      <c r="CK17" s="51">
        <v>3407</v>
      </c>
      <c r="CL17" s="57">
        <v>3900</v>
      </c>
      <c r="CM17" s="108">
        <v>12.922461354745408</v>
      </c>
      <c r="CN17" s="108">
        <v>11.064090341882329</v>
      </c>
      <c r="CO17" s="108">
        <v>12.849379028395354</v>
      </c>
      <c r="CP17" s="108">
        <v>13.628405791024122</v>
      </c>
      <c r="CQ17" s="60">
        <v>135</v>
      </c>
      <c r="CR17" s="60">
        <v>116</v>
      </c>
      <c r="CS17" s="60">
        <v>172</v>
      </c>
      <c r="CT17" s="60">
        <v>183</v>
      </c>
      <c r="CU17" s="108">
        <v>4.1411042944785272</v>
      </c>
      <c r="CV17" s="108">
        <v>4.2459736456808201</v>
      </c>
      <c r="CW17" s="108">
        <v>5.2042360060514374</v>
      </c>
      <c r="CX17" s="108">
        <v>4.8943567798876702</v>
      </c>
      <c r="CY17" s="61">
        <v>266</v>
      </c>
      <c r="CZ17" s="57">
        <v>226</v>
      </c>
      <c r="DA17" s="60">
        <v>292</v>
      </c>
      <c r="DB17" s="60">
        <v>213</v>
      </c>
      <c r="DC17" s="108">
        <v>8.3464072795732669</v>
      </c>
      <c r="DD17" s="108">
        <v>8.6160884483415927</v>
      </c>
      <c r="DE17" s="108">
        <v>9.5612311722331373</v>
      </c>
      <c r="DF17" s="108">
        <v>8.2750582750582744</v>
      </c>
      <c r="DG17" s="108">
        <v>74.065138721351019</v>
      </c>
      <c r="DH17" s="108">
        <v>83.760084180989125</v>
      </c>
      <c r="DI17" s="108">
        <v>86.458957459556615</v>
      </c>
      <c r="DJ17" s="108">
        <v>83.091436865021777</v>
      </c>
      <c r="DK17" s="108">
        <v>17.930204572803852</v>
      </c>
      <c r="DL17" s="108">
        <v>17.67800771659067</v>
      </c>
      <c r="DM17" s="108">
        <v>13.713949381989405</v>
      </c>
      <c r="DN17" s="108">
        <v>13.689700130378096</v>
      </c>
      <c r="DO17" s="108">
        <v>27.310924369747898</v>
      </c>
      <c r="DP17" s="108">
        <v>28.161120840630474</v>
      </c>
      <c r="DQ17" s="108">
        <v>25.851938895417156</v>
      </c>
      <c r="DR17" s="108">
        <v>27.963057978450486</v>
      </c>
      <c r="DS17" s="108">
        <v>24.511173184357542</v>
      </c>
      <c r="DT17" s="108">
        <v>18.146511316459087</v>
      </c>
      <c r="DU17" s="108">
        <v>14.6978397593656</v>
      </c>
      <c r="DV17" s="108">
        <v>14.8224043715847</v>
      </c>
      <c r="DW17" s="62">
        <v>661</v>
      </c>
      <c r="DX17" s="62">
        <v>16</v>
      </c>
      <c r="DY17" s="57">
        <v>36</v>
      </c>
      <c r="DZ17" s="60">
        <v>9</v>
      </c>
      <c r="EA17" s="60">
        <v>40</v>
      </c>
      <c r="EB17" s="60">
        <v>23</v>
      </c>
      <c r="EC17" s="60">
        <v>21</v>
      </c>
      <c r="ED17" s="57">
        <v>17</v>
      </c>
      <c r="EE17" s="60">
        <v>32</v>
      </c>
      <c r="EF17" s="60">
        <v>1889</v>
      </c>
      <c r="EG17" s="60">
        <v>1909</v>
      </c>
      <c r="EH17" s="60">
        <v>1956</v>
      </c>
      <c r="EI17" s="60">
        <v>2020</v>
      </c>
      <c r="EJ17" s="115">
        <v>444</v>
      </c>
      <c r="EK17" s="115">
        <v>1</v>
      </c>
      <c r="EL17" s="115">
        <v>8</v>
      </c>
      <c r="EM17" s="115">
        <v>1</v>
      </c>
      <c r="EN17" s="115">
        <v>5</v>
      </c>
      <c r="EO17" s="108">
        <v>732.38912388581093</v>
      </c>
      <c r="EP17" s="108">
        <v>739.80204772866432</v>
      </c>
      <c r="EQ17" s="108">
        <v>737.69842616792823</v>
      </c>
      <c r="ER17" s="108">
        <v>705.88153071458271</v>
      </c>
      <c r="ES17" s="108">
        <v>749.16482551304375</v>
      </c>
      <c r="ET17" s="108">
        <v>711.55332978545732</v>
      </c>
      <c r="EU17" s="108">
        <v>665.05314675288173</v>
      </c>
      <c r="EV17" s="108">
        <v>643.88271758457381</v>
      </c>
      <c r="EW17" s="108">
        <v>952.03965021139936</v>
      </c>
      <c r="EX17" s="108">
        <v>889.6072844431493</v>
      </c>
      <c r="EY17" s="108">
        <v>816.21869602999936</v>
      </c>
      <c r="EZ17" s="108">
        <v>745.33763895845902</v>
      </c>
      <c r="FA17" s="108">
        <v>599.38778171436252</v>
      </c>
      <c r="FB17" s="108">
        <v>586.20310318348481</v>
      </c>
      <c r="FC17" s="108">
        <v>545.06305721341619</v>
      </c>
      <c r="FD17" s="108">
        <v>562.03348064736133</v>
      </c>
      <c r="FE17" s="57">
        <v>405</v>
      </c>
      <c r="FF17" s="62">
        <v>457</v>
      </c>
      <c r="FG17" s="62">
        <v>465</v>
      </c>
      <c r="FH17" s="62">
        <v>420</v>
      </c>
      <c r="FI17" s="108">
        <v>167.77163396148487</v>
      </c>
      <c r="FJ17" s="108">
        <v>178.98705162445521</v>
      </c>
      <c r="FK17" s="108">
        <v>171.40328996697588</v>
      </c>
      <c r="FL17" s="108">
        <v>143.75046372742506</v>
      </c>
      <c r="FM17" s="62">
        <v>589</v>
      </c>
      <c r="FN17" s="62">
        <v>524</v>
      </c>
      <c r="FO17" s="57">
        <v>495</v>
      </c>
      <c r="FP17" s="62">
        <v>405</v>
      </c>
      <c r="FQ17" s="108">
        <v>232.30487294192727</v>
      </c>
      <c r="FR17" s="108">
        <v>192.07847180024839</v>
      </c>
      <c r="FS17" s="108">
        <v>159.67173997428992</v>
      </c>
      <c r="FT17" s="108">
        <v>123.9077996356507</v>
      </c>
      <c r="FU17" s="60">
        <v>155</v>
      </c>
      <c r="FV17" s="60">
        <v>162</v>
      </c>
      <c r="FW17" s="60">
        <v>117</v>
      </c>
      <c r="FX17" s="60">
        <v>114</v>
      </c>
      <c r="FY17" s="108">
        <v>59.240322903414992</v>
      </c>
      <c r="FZ17" s="108">
        <v>56.706515630087694</v>
      </c>
      <c r="GA17" s="108">
        <v>37.66930513850933</v>
      </c>
      <c r="GB17" s="108">
        <v>34.19850489827185</v>
      </c>
      <c r="GC17" s="63">
        <v>83</v>
      </c>
      <c r="GD17" s="64">
        <v>81</v>
      </c>
      <c r="GE17" s="63">
        <v>96</v>
      </c>
      <c r="GF17" s="63">
        <v>116</v>
      </c>
      <c r="GG17" s="112">
        <v>30.929055497392969</v>
      </c>
      <c r="GH17" s="112">
        <v>29.919299577256471</v>
      </c>
      <c r="GI17" s="112">
        <v>33.932437492124947</v>
      </c>
      <c r="GJ17" s="112">
        <v>39.380246495243455</v>
      </c>
      <c r="GK17" s="63"/>
      <c r="GL17" s="63"/>
      <c r="GM17" s="63"/>
      <c r="GN17" s="64"/>
      <c r="GO17" s="63"/>
      <c r="GP17" s="63"/>
      <c r="GQ17" s="63"/>
      <c r="GR17" s="63"/>
      <c r="GS17" s="64"/>
      <c r="GT17" s="63"/>
      <c r="GU17" s="63"/>
      <c r="GV17" s="63"/>
      <c r="GW17" s="63"/>
      <c r="GX17" s="64"/>
      <c r="GY17" s="64"/>
      <c r="GZ17" s="64"/>
      <c r="HA17" s="64"/>
      <c r="HB17" s="64"/>
      <c r="HC17" s="64"/>
      <c r="HD17" s="65"/>
      <c r="HE17" s="65"/>
      <c r="HF17" s="65"/>
      <c r="HG17" s="65"/>
      <c r="HH17" s="65"/>
      <c r="HI17" s="66"/>
      <c r="HJ17" s="66"/>
      <c r="HK17" s="63"/>
      <c r="HL17" s="64"/>
      <c r="HM17" s="64"/>
      <c r="HN17" s="64"/>
      <c r="HO17" s="64"/>
      <c r="HP17" s="64"/>
      <c r="HQ17" s="64"/>
      <c r="HR17" s="64"/>
      <c r="HS17" s="64"/>
      <c r="HT17" s="64"/>
      <c r="HU17" s="39"/>
    </row>
    <row r="18" spans="1:229" x14ac:dyDescent="0.2">
      <c r="A18" s="37">
        <v>15</v>
      </c>
      <c r="B18" s="86" t="s">
        <v>73</v>
      </c>
      <c r="C18" s="93">
        <v>8245</v>
      </c>
      <c r="D18" s="93">
        <v>8249</v>
      </c>
      <c r="E18" s="93">
        <v>8242</v>
      </c>
      <c r="F18" s="93">
        <v>8695</v>
      </c>
      <c r="G18" s="93">
        <v>8774</v>
      </c>
      <c r="H18" s="43">
        <v>7660</v>
      </c>
      <c r="I18" s="43">
        <v>40</v>
      </c>
      <c r="J18" s="43">
        <v>791</v>
      </c>
      <c r="K18" s="43">
        <v>25</v>
      </c>
      <c r="L18" s="43">
        <v>130</v>
      </c>
      <c r="M18" s="44">
        <v>3419</v>
      </c>
      <c r="N18" s="44">
        <v>3412</v>
      </c>
      <c r="O18" s="45">
        <v>3415</v>
      </c>
      <c r="P18" s="45">
        <v>3527</v>
      </c>
      <c r="Q18" s="46">
        <v>3561</v>
      </c>
      <c r="R18" s="105">
        <v>29.204392217299173</v>
      </c>
      <c r="S18" s="105">
        <v>30.22351797862002</v>
      </c>
      <c r="T18" s="105">
        <v>32.020891924467655</v>
      </c>
      <c r="U18" s="105">
        <v>30.735684489950703</v>
      </c>
      <c r="V18" s="105">
        <v>31.10443275732532</v>
      </c>
      <c r="W18" s="105">
        <v>29.628202658447314</v>
      </c>
      <c r="X18" s="105">
        <v>30.10689990281827</v>
      </c>
      <c r="Y18" s="105">
        <v>33.547609481719569</v>
      </c>
      <c r="Z18" s="105">
        <v>34.129692832764505</v>
      </c>
      <c r="AA18" s="105">
        <v>33.696468820435761</v>
      </c>
      <c r="AB18" s="105">
        <v>58.832594875746487</v>
      </c>
      <c r="AC18" s="105">
        <v>60.330417881438287</v>
      </c>
      <c r="AD18" s="105">
        <v>65.568501406187224</v>
      </c>
      <c r="AE18" s="105">
        <v>64.865377322715204</v>
      </c>
      <c r="AF18" s="105">
        <v>64.800901577761081</v>
      </c>
      <c r="AG18" s="46">
        <v>10.38659793814433</v>
      </c>
      <c r="AH18" s="46">
        <v>11.357477211135748</v>
      </c>
      <c r="AI18" s="46">
        <v>15.223529411764705</v>
      </c>
      <c r="AJ18" s="46">
        <v>13.655172413793103</v>
      </c>
      <c r="AK18" s="45">
        <v>12.653819363826329</v>
      </c>
      <c r="AL18" s="49">
        <v>359.25</v>
      </c>
      <c r="AM18" s="49">
        <v>363.66666666666669</v>
      </c>
      <c r="AN18" s="49">
        <v>437.08333333333331</v>
      </c>
      <c r="AO18" s="49">
        <v>363.66666666666669</v>
      </c>
      <c r="AP18" s="49">
        <v>530.75</v>
      </c>
      <c r="AQ18" s="49">
        <v>27191.08845337875</v>
      </c>
      <c r="AR18" s="49">
        <v>27811.652107375652</v>
      </c>
      <c r="AS18" s="49">
        <v>28547.436635796315</v>
      </c>
      <c r="AT18" s="49">
        <v>29246.913400402733</v>
      </c>
      <c r="AU18" s="49">
        <v>29582.972418509231</v>
      </c>
      <c r="AV18" s="101">
        <v>37431.250383424485</v>
      </c>
      <c r="AW18" s="101">
        <v>39804.140959485005</v>
      </c>
      <c r="AX18" s="102">
        <v>39835.121340374848</v>
      </c>
      <c r="AY18" s="102">
        <v>43235.995831346074</v>
      </c>
      <c r="AZ18" s="102">
        <v>36697</v>
      </c>
      <c r="BA18" s="99">
        <v>16.367240738446288</v>
      </c>
      <c r="BB18" s="99">
        <v>14.287482976352607</v>
      </c>
      <c r="BC18" s="99">
        <v>16.590204587724738</v>
      </c>
      <c r="BD18" s="99">
        <v>15.714618792259268</v>
      </c>
      <c r="BE18" s="99">
        <v>18.932038834951456</v>
      </c>
      <c r="BF18" s="99">
        <v>24.421052631578949</v>
      </c>
      <c r="BG18" s="99">
        <v>22.995220392989911</v>
      </c>
      <c r="BH18" s="48">
        <v>25.532994923857867</v>
      </c>
      <c r="BI18" s="48">
        <v>24.628252788104088</v>
      </c>
      <c r="BJ18" s="48">
        <v>30.169971671388101</v>
      </c>
      <c r="BK18" s="44">
        <v>1471</v>
      </c>
      <c r="BL18" s="44">
        <v>1481</v>
      </c>
      <c r="BM18" s="44">
        <v>1500</v>
      </c>
      <c r="BN18" s="42">
        <v>1471</v>
      </c>
      <c r="BO18" s="45">
        <v>48.810333106730113</v>
      </c>
      <c r="BP18" s="45">
        <v>48.00810263335584</v>
      </c>
      <c r="BQ18" s="45">
        <v>52.333333333333336</v>
      </c>
      <c r="BR18" s="46">
        <v>53.569000679809655</v>
      </c>
      <c r="BS18" s="105">
        <v>0.13596193065941536</v>
      </c>
      <c r="BT18" s="105">
        <v>0</v>
      </c>
      <c r="BU18" s="105">
        <v>0</v>
      </c>
      <c r="BV18" s="105">
        <v>0</v>
      </c>
      <c r="BW18" s="45">
        <v>17.743031951053705</v>
      </c>
      <c r="BX18" s="45">
        <v>17.555705604321403</v>
      </c>
      <c r="BY18" s="45">
        <v>17.933333333333334</v>
      </c>
      <c r="BZ18" s="45">
        <v>18.490822569680489</v>
      </c>
      <c r="CA18" s="44">
        <v>80.769230769230774</v>
      </c>
      <c r="CB18" s="44">
        <v>79.591836734693871</v>
      </c>
      <c r="CC18" s="44">
        <v>82.03125</v>
      </c>
      <c r="CD18" s="45">
        <v>76.36</v>
      </c>
      <c r="CE18" s="45">
        <v>4.615384615384615</v>
      </c>
      <c r="CF18" s="45">
        <v>8.1632653061224492</v>
      </c>
      <c r="CG18" s="45">
        <v>3.90625</v>
      </c>
      <c r="CH18" s="45">
        <v>4.55</v>
      </c>
      <c r="CI18" s="48">
        <v>482</v>
      </c>
      <c r="CJ18" s="51">
        <v>483</v>
      </c>
      <c r="CK18" s="51">
        <v>591</v>
      </c>
      <c r="CL18" s="57">
        <v>569</v>
      </c>
      <c r="CM18" s="108">
        <v>11.65997387391746</v>
      </c>
      <c r="CN18" s="108">
        <v>11.659625829812915</v>
      </c>
      <c r="CO18" s="108">
        <v>14.012376413685184</v>
      </c>
      <c r="CP18" s="108">
        <v>13.48181495083521</v>
      </c>
      <c r="CQ18" s="60">
        <v>24</v>
      </c>
      <c r="CR18" s="60">
        <v>22</v>
      </c>
      <c r="CS18" s="60">
        <v>25</v>
      </c>
      <c r="CT18" s="60">
        <v>19</v>
      </c>
      <c r="CU18" s="108">
        <v>5.0632911392405067</v>
      </c>
      <c r="CV18" s="108">
        <v>4.700854700854701</v>
      </c>
      <c r="CW18" s="108">
        <v>4.3327556325823222</v>
      </c>
      <c r="CX18" s="108">
        <v>3.5250463821892395</v>
      </c>
      <c r="CY18" s="61">
        <v>27</v>
      </c>
      <c r="CZ18" s="57">
        <v>33</v>
      </c>
      <c r="DA18" s="60">
        <v>45</v>
      </c>
      <c r="DB18" s="60">
        <v>32</v>
      </c>
      <c r="DC18" s="108">
        <v>6.2355658198614314</v>
      </c>
      <c r="DD18" s="108">
        <v>8.6614173228346463</v>
      </c>
      <c r="DE18" s="108">
        <v>8.9108910891089117</v>
      </c>
      <c r="DF18" s="108">
        <v>7.1428571428571432</v>
      </c>
      <c r="DG18" s="108">
        <v>73.717948717948715</v>
      </c>
      <c r="DH18" s="108">
        <v>74.26778242677824</v>
      </c>
      <c r="DI18" s="108">
        <v>75.34482758620689</v>
      </c>
      <c r="DJ18" s="108">
        <v>70.270270270270274</v>
      </c>
      <c r="DK18" s="108">
        <v>20.638297872340427</v>
      </c>
      <c r="DL18" s="108">
        <v>16.880341880341881</v>
      </c>
      <c r="DM18" s="108">
        <v>23.037542662116042</v>
      </c>
      <c r="DN18" s="108">
        <v>22.872340425531913</v>
      </c>
      <c r="DO18" s="108">
        <v>30.497925311203318</v>
      </c>
      <c r="DP18" s="108">
        <v>38.38174273858921</v>
      </c>
      <c r="DQ18" s="108">
        <v>38.409475465313029</v>
      </c>
      <c r="DR18" s="108">
        <v>39.718804920913882</v>
      </c>
      <c r="DS18" s="108">
        <v>50.79825834542816</v>
      </c>
      <c r="DT18" s="108">
        <v>40.378548895899051</v>
      </c>
      <c r="DU18" s="108">
        <v>40.317250495703902</v>
      </c>
      <c r="DV18" s="108">
        <v>40.662650602409641</v>
      </c>
      <c r="DW18" s="62">
        <v>98</v>
      </c>
      <c r="DX18" s="62">
        <v>6</v>
      </c>
      <c r="DY18" s="57">
        <v>13</v>
      </c>
      <c r="DZ18" s="60">
        <v>0</v>
      </c>
      <c r="EA18" s="60">
        <v>0</v>
      </c>
      <c r="EB18" s="60">
        <v>7</v>
      </c>
      <c r="EC18" s="60">
        <v>3</v>
      </c>
      <c r="ED18" s="57">
        <v>5</v>
      </c>
      <c r="EE18" s="60">
        <v>3</v>
      </c>
      <c r="EF18" s="60">
        <v>532</v>
      </c>
      <c r="EG18" s="60">
        <v>546</v>
      </c>
      <c r="EH18" s="60">
        <v>492</v>
      </c>
      <c r="EI18" s="60">
        <v>442</v>
      </c>
      <c r="EJ18" s="115">
        <v>81</v>
      </c>
      <c r="EK18" s="115">
        <v>0</v>
      </c>
      <c r="EL18" s="115">
        <v>7</v>
      </c>
      <c r="EM18" s="115">
        <v>0</v>
      </c>
      <c r="EN18" s="115">
        <v>0</v>
      </c>
      <c r="EO18" s="108">
        <v>1286.9514732207654</v>
      </c>
      <c r="EP18" s="108">
        <v>1318.0446590223296</v>
      </c>
      <c r="EQ18" s="108">
        <v>1166.5125542357209</v>
      </c>
      <c r="ER18" s="108">
        <v>1047.2692808908896</v>
      </c>
      <c r="ES18" s="108">
        <v>854.8951535857891</v>
      </c>
      <c r="ET18" s="108">
        <v>905.98358473847895</v>
      </c>
      <c r="EU18" s="108">
        <v>802.33993295327423</v>
      </c>
      <c r="EV18" s="108">
        <v>697.83728134316857</v>
      </c>
      <c r="EW18" s="108">
        <v>1066.1667750251754</v>
      </c>
      <c r="EX18" s="108">
        <v>1044.5860592793856</v>
      </c>
      <c r="EY18" s="108">
        <v>1025.8406610808227</v>
      </c>
      <c r="EZ18" s="108">
        <v>786.15981538097139</v>
      </c>
      <c r="FA18" s="108">
        <v>653.27856204776219</v>
      </c>
      <c r="FB18" s="108">
        <v>780.37946386967758</v>
      </c>
      <c r="FC18" s="108">
        <v>611.10648410840349</v>
      </c>
      <c r="FD18" s="108">
        <v>615.26707204890556</v>
      </c>
      <c r="FE18" s="57">
        <v>113</v>
      </c>
      <c r="FF18" s="62">
        <v>112</v>
      </c>
      <c r="FG18" s="62">
        <v>107</v>
      </c>
      <c r="FH18" s="62">
        <v>107</v>
      </c>
      <c r="FI18" s="108">
        <v>193.14850912634154</v>
      </c>
      <c r="FJ18" s="108">
        <v>194.22426350392939</v>
      </c>
      <c r="FK18" s="108">
        <v>188.15032612332462</v>
      </c>
      <c r="FL18" s="108">
        <v>176.81286112870725</v>
      </c>
      <c r="FM18" s="62">
        <v>155</v>
      </c>
      <c r="FN18" s="62">
        <v>163</v>
      </c>
      <c r="FO18" s="57">
        <v>137</v>
      </c>
      <c r="FP18" s="62">
        <v>111</v>
      </c>
      <c r="FQ18" s="108">
        <v>243.86606920904404</v>
      </c>
      <c r="FR18" s="108">
        <v>251.20616685753998</v>
      </c>
      <c r="FS18" s="108">
        <v>214.56376659663016</v>
      </c>
      <c r="FT18" s="108">
        <v>169.2900622742745</v>
      </c>
      <c r="FU18" s="60">
        <v>57</v>
      </c>
      <c r="FV18" s="60">
        <v>43</v>
      </c>
      <c r="FW18" s="60">
        <v>24</v>
      </c>
      <c r="FX18" s="60">
        <v>29</v>
      </c>
      <c r="FY18" s="108">
        <v>76.737374120842787</v>
      </c>
      <c r="FZ18" s="108">
        <v>65.14360201403457</v>
      </c>
      <c r="GA18" s="108">
        <v>36.041033362782272</v>
      </c>
      <c r="GB18" s="108">
        <v>45.127463842790327</v>
      </c>
      <c r="GC18" s="63">
        <v>27</v>
      </c>
      <c r="GD18" s="64">
        <v>37</v>
      </c>
      <c r="GE18" s="63">
        <v>25</v>
      </c>
      <c r="GF18" s="63">
        <v>17</v>
      </c>
      <c r="GG18" s="112">
        <v>59.964984448857791</v>
      </c>
      <c r="GH18" s="112">
        <v>83.883552439212096</v>
      </c>
      <c r="GI18" s="112">
        <v>52.45236930047804</v>
      </c>
      <c r="GJ18" s="112" t="s">
        <v>39</v>
      </c>
      <c r="GK18" s="63"/>
      <c r="GL18" s="63"/>
      <c r="GM18" s="63"/>
      <c r="GN18" s="64"/>
      <c r="GO18" s="63"/>
      <c r="GP18" s="63"/>
      <c r="GQ18" s="63"/>
      <c r="GR18" s="63"/>
      <c r="GS18" s="64"/>
      <c r="GT18" s="63"/>
      <c r="GU18" s="63"/>
      <c r="GV18" s="63"/>
      <c r="GW18" s="63"/>
      <c r="GX18" s="64"/>
      <c r="GY18" s="64"/>
      <c r="GZ18" s="64"/>
      <c r="HA18" s="64"/>
      <c r="HB18" s="64"/>
      <c r="HC18" s="64"/>
      <c r="HD18" s="65"/>
      <c r="HE18" s="65"/>
      <c r="HF18" s="65"/>
      <c r="HG18" s="65"/>
      <c r="HH18" s="65"/>
      <c r="HI18" s="66"/>
      <c r="HJ18" s="66"/>
      <c r="HK18" s="63"/>
      <c r="HL18" s="64"/>
      <c r="HM18" s="64"/>
      <c r="HN18" s="64"/>
      <c r="HO18" s="64"/>
      <c r="HP18" s="64"/>
      <c r="HQ18" s="64"/>
      <c r="HR18" s="64"/>
      <c r="HS18" s="64"/>
      <c r="HT18" s="64"/>
      <c r="HU18" s="39"/>
    </row>
    <row r="19" spans="1:229" x14ac:dyDescent="0.2">
      <c r="A19" s="37">
        <v>16</v>
      </c>
      <c r="B19" s="86" t="s">
        <v>74</v>
      </c>
      <c r="C19" s="93">
        <v>5398</v>
      </c>
      <c r="D19" s="93">
        <v>5437</v>
      </c>
      <c r="E19" s="93">
        <v>5472</v>
      </c>
      <c r="F19" s="93">
        <v>5176</v>
      </c>
      <c r="G19" s="93">
        <v>5218</v>
      </c>
      <c r="H19" s="43">
        <v>4598</v>
      </c>
      <c r="I19" s="43">
        <v>28</v>
      </c>
      <c r="J19" s="43">
        <v>444</v>
      </c>
      <c r="K19" s="43">
        <v>34</v>
      </c>
      <c r="L19" s="43">
        <v>62</v>
      </c>
      <c r="M19" s="44">
        <v>2528</v>
      </c>
      <c r="N19" s="44">
        <v>2578</v>
      </c>
      <c r="O19" s="45">
        <v>2583</v>
      </c>
      <c r="P19" s="45">
        <v>2494</v>
      </c>
      <c r="Q19" s="46">
        <v>2521</v>
      </c>
      <c r="R19" s="105">
        <v>25.160771704180064</v>
      </c>
      <c r="S19" s="105">
        <v>25.320855614973262</v>
      </c>
      <c r="T19" s="105">
        <v>29.476281875514122</v>
      </c>
      <c r="U19" s="105">
        <v>30.605707629586487</v>
      </c>
      <c r="V19" s="105">
        <v>33.018589554440837</v>
      </c>
      <c r="W19" s="105">
        <v>19.480171489817792</v>
      </c>
      <c r="X19" s="105">
        <v>20.053475935828878</v>
      </c>
      <c r="Y19" s="105">
        <v>20.564847820126133</v>
      </c>
      <c r="Z19" s="105">
        <v>20.122306348281889</v>
      </c>
      <c r="AA19" s="105">
        <v>20.950132782531721</v>
      </c>
      <c r="AB19" s="105">
        <v>44.640943193997856</v>
      </c>
      <c r="AC19" s="105">
        <v>45.37433155080214</v>
      </c>
      <c r="AD19" s="105">
        <v>50.041129695640251</v>
      </c>
      <c r="AE19" s="105">
        <v>50.728013977868372</v>
      </c>
      <c r="AF19" s="105">
        <v>53.968722336972561</v>
      </c>
      <c r="AG19" s="46">
        <v>4.877271278291361</v>
      </c>
      <c r="AH19" s="46">
        <v>5.5218640280880944</v>
      </c>
      <c r="AI19" s="46">
        <v>7.2960000000000003</v>
      </c>
      <c r="AJ19" s="46">
        <v>6.8230277185501063</v>
      </c>
      <c r="AK19" s="45">
        <v>6.4670658682634734</v>
      </c>
      <c r="AL19" s="49">
        <v>72.5</v>
      </c>
      <c r="AM19" s="49">
        <v>83.583333333333329</v>
      </c>
      <c r="AN19" s="49">
        <v>116.83333333333333</v>
      </c>
      <c r="AO19" s="49">
        <v>83.583333333333329</v>
      </c>
      <c r="AP19" s="49">
        <v>158.08333333333334</v>
      </c>
      <c r="AQ19" s="49">
        <v>39204.399304854058</v>
      </c>
      <c r="AR19" s="49">
        <v>39766.318025914166</v>
      </c>
      <c r="AS19" s="49">
        <v>39553.487331452881</v>
      </c>
      <c r="AT19" s="49">
        <v>40660.748652992479</v>
      </c>
      <c r="AU19" s="49">
        <v>41004.024530471448</v>
      </c>
      <c r="AV19" s="101">
        <v>47906.749722680397</v>
      </c>
      <c r="AW19" s="101">
        <v>48482.925151995099</v>
      </c>
      <c r="AX19" s="102">
        <v>47105.321939805253</v>
      </c>
      <c r="AY19" s="102">
        <v>45073.213605679273</v>
      </c>
      <c r="AZ19" s="102">
        <v>44278</v>
      </c>
      <c r="BA19" s="99">
        <v>8.3630226889180577</v>
      </c>
      <c r="BB19" s="99">
        <v>9.0638377070537874</v>
      </c>
      <c r="BC19" s="99">
        <v>10.118386977432483</v>
      </c>
      <c r="BD19" s="99">
        <v>9.6484375</v>
      </c>
      <c r="BE19" s="99">
        <v>10.878823073945025</v>
      </c>
      <c r="BF19" s="99">
        <v>12.085561497326204</v>
      </c>
      <c r="BG19" s="99">
        <v>12.937433722163309</v>
      </c>
      <c r="BH19" s="48">
        <v>15.231788079470199</v>
      </c>
      <c r="BI19" s="48">
        <v>15.759637188208616</v>
      </c>
      <c r="BJ19" s="48">
        <v>16.551724137931036</v>
      </c>
      <c r="BK19" s="44">
        <v>642</v>
      </c>
      <c r="BL19" s="44">
        <v>632</v>
      </c>
      <c r="BM19" s="44">
        <v>611</v>
      </c>
      <c r="BN19" s="42">
        <v>593</v>
      </c>
      <c r="BO19" s="45">
        <v>37.383177570093459</v>
      </c>
      <c r="BP19" s="45">
        <v>35.601265822784811</v>
      </c>
      <c r="BQ19" s="45">
        <v>39.279869067103107</v>
      </c>
      <c r="BR19" s="46">
        <v>38.617200674536257</v>
      </c>
      <c r="BS19" s="105">
        <v>0.46728971962616822</v>
      </c>
      <c r="BT19" s="105">
        <v>0</v>
      </c>
      <c r="BU19" s="105">
        <v>0</v>
      </c>
      <c r="BV19" s="105">
        <v>0</v>
      </c>
      <c r="BW19" s="45">
        <v>15.88785046728972</v>
      </c>
      <c r="BX19" s="45">
        <v>15.031645569620252</v>
      </c>
      <c r="BY19" s="45">
        <v>16.366612111292962</v>
      </c>
      <c r="BZ19" s="45">
        <v>17.706576728499158</v>
      </c>
      <c r="CA19" s="44">
        <v>83.333333333333329</v>
      </c>
      <c r="CB19" s="44">
        <v>90.769230769230774</v>
      </c>
      <c r="CC19" s="44">
        <v>77.192982456140356</v>
      </c>
      <c r="CD19" s="44"/>
      <c r="CE19" s="45">
        <v>3.7037037037037037</v>
      </c>
      <c r="CF19" s="45">
        <v>1.5384615384615385</v>
      </c>
      <c r="CG19" s="45">
        <v>8.7719298245614041</v>
      </c>
      <c r="CH19" s="45"/>
      <c r="CI19" s="48">
        <v>266</v>
      </c>
      <c r="CJ19" s="51">
        <v>214</v>
      </c>
      <c r="CK19" s="51">
        <v>214</v>
      </c>
      <c r="CL19" s="57">
        <v>247</v>
      </c>
      <c r="CM19" s="108">
        <v>12.089260555378813</v>
      </c>
      <c r="CN19" s="108">
        <v>8.6885911490052781</v>
      </c>
      <c r="CO19" s="108">
        <v>8.0788251727132021</v>
      </c>
      <c r="CP19" s="108">
        <v>9.2505898655481076</v>
      </c>
      <c r="CQ19" s="60">
        <v>10</v>
      </c>
      <c r="CR19" s="60">
        <v>9</v>
      </c>
      <c r="CS19" s="60">
        <v>7</v>
      </c>
      <c r="CT19" s="60">
        <v>6</v>
      </c>
      <c r="CU19" s="108">
        <v>3.8461538461538463</v>
      </c>
      <c r="CV19" s="108">
        <v>4.3478260869565215</v>
      </c>
      <c r="CW19" s="108">
        <v>3.3980582524271843</v>
      </c>
      <c r="CX19" s="108">
        <v>2.5751072961373391</v>
      </c>
      <c r="CY19" s="61">
        <v>17</v>
      </c>
      <c r="CZ19" s="57">
        <v>16</v>
      </c>
      <c r="DA19" s="60">
        <v>18</v>
      </c>
      <c r="DB19" s="60">
        <v>13</v>
      </c>
      <c r="DC19" s="108">
        <v>7.4889867841409687</v>
      </c>
      <c r="DD19" s="108">
        <v>7.9207920792079207</v>
      </c>
      <c r="DE19" s="108">
        <v>8.8235294117647065</v>
      </c>
      <c r="DF19" s="108">
        <v>6.0185185185185182</v>
      </c>
      <c r="DG19" s="108">
        <v>79.6875</v>
      </c>
      <c r="DH19" s="108">
        <v>75.586854460093903</v>
      </c>
      <c r="DI19" s="108">
        <v>81.220657276995311</v>
      </c>
      <c r="DJ19" s="108">
        <v>81.057268722466958</v>
      </c>
      <c r="DK19" s="108">
        <v>19.838056680161944</v>
      </c>
      <c r="DL19" s="108">
        <v>20.560747663551403</v>
      </c>
      <c r="DM19" s="108">
        <v>18.691588785046729</v>
      </c>
      <c r="DN19" s="108">
        <v>18.828451882845187</v>
      </c>
      <c r="DO19" s="108">
        <v>33.082706766917291</v>
      </c>
      <c r="DP19" s="108">
        <v>32.242990654205606</v>
      </c>
      <c r="DQ19" s="108">
        <v>28.971962616822431</v>
      </c>
      <c r="DR19" s="108">
        <v>31.983805668016196</v>
      </c>
      <c r="DS19" s="108">
        <v>34.267912772585667</v>
      </c>
      <c r="DT19" s="108" t="s">
        <v>39</v>
      </c>
      <c r="DU19" s="108" t="s">
        <v>39</v>
      </c>
      <c r="DV19" s="108" t="s">
        <v>39</v>
      </c>
      <c r="DW19" s="62">
        <v>55</v>
      </c>
      <c r="DX19" s="62">
        <v>3</v>
      </c>
      <c r="DY19" s="57">
        <v>4</v>
      </c>
      <c r="DZ19" s="60">
        <v>0</v>
      </c>
      <c r="EA19" s="60">
        <v>4</v>
      </c>
      <c r="EB19" s="60">
        <v>1</v>
      </c>
      <c r="EC19" s="60">
        <v>2</v>
      </c>
      <c r="ED19" s="57">
        <v>2</v>
      </c>
      <c r="EE19" s="60">
        <v>2</v>
      </c>
      <c r="EF19" s="60">
        <v>181</v>
      </c>
      <c r="EG19" s="60">
        <v>220</v>
      </c>
      <c r="EH19" s="60">
        <v>214</v>
      </c>
      <c r="EI19" s="60">
        <v>239</v>
      </c>
      <c r="EJ19" s="115">
        <v>35</v>
      </c>
      <c r="EK19" s="115">
        <v>0</v>
      </c>
      <c r="EL19" s="115">
        <v>4</v>
      </c>
      <c r="EM19" s="115">
        <v>1</v>
      </c>
      <c r="EN19" s="115">
        <v>0</v>
      </c>
      <c r="EO19" s="108">
        <v>822.61509794118979</v>
      </c>
      <c r="EP19" s="108">
        <v>893.21965083231828</v>
      </c>
      <c r="EQ19" s="108">
        <v>807.88251727132013</v>
      </c>
      <c r="ER19" s="108">
        <v>895.09756188906783</v>
      </c>
      <c r="ES19" s="108">
        <v>722.71082132314905</v>
      </c>
      <c r="ET19" s="108">
        <v>709.0959602709238</v>
      </c>
      <c r="EU19" s="108">
        <v>559.85653090589346</v>
      </c>
      <c r="EV19" s="108">
        <v>611.59960851275252</v>
      </c>
      <c r="EW19" s="108">
        <v>755.32662104218855</v>
      </c>
      <c r="EX19" s="108">
        <v>841.37951099732993</v>
      </c>
      <c r="EY19" s="108">
        <v>720.37943313670712</v>
      </c>
      <c r="EZ19" s="108">
        <v>734.18016480838833</v>
      </c>
      <c r="FA19" s="108">
        <v>698.51951712628704</v>
      </c>
      <c r="FB19" s="108">
        <v>569.39325172663689</v>
      </c>
      <c r="FC19" s="108">
        <v>411.6736881643177</v>
      </c>
      <c r="FD19" s="108">
        <v>501.95722339400493</v>
      </c>
      <c r="FE19" s="57">
        <v>40</v>
      </c>
      <c r="FF19" s="62">
        <v>50</v>
      </c>
      <c r="FG19" s="62">
        <v>50</v>
      </c>
      <c r="FH19" s="62">
        <v>70</v>
      </c>
      <c r="FI19" s="108">
        <v>158.97862796936937</v>
      </c>
      <c r="FJ19" s="108">
        <v>154.8277848748105</v>
      </c>
      <c r="FK19" s="108">
        <v>132.12322713094292</v>
      </c>
      <c r="FL19" s="108">
        <v>173.46105917321273</v>
      </c>
      <c r="FM19" s="62">
        <v>47</v>
      </c>
      <c r="FN19" s="62">
        <v>46</v>
      </c>
      <c r="FO19" s="57">
        <v>48</v>
      </c>
      <c r="FP19" s="62">
        <v>58</v>
      </c>
      <c r="FQ19" s="108">
        <v>179.96519238574132</v>
      </c>
      <c r="FR19" s="108">
        <v>145.25646035030584</v>
      </c>
      <c r="FS19" s="108">
        <v>127.49427940055493</v>
      </c>
      <c r="FT19" s="108">
        <v>144.98431278242614</v>
      </c>
      <c r="FU19" s="60">
        <v>12</v>
      </c>
      <c r="FV19" s="60">
        <v>16</v>
      </c>
      <c r="FW19" s="60">
        <v>11</v>
      </c>
      <c r="FX19" s="60">
        <v>16</v>
      </c>
      <c r="FY19" s="108" t="s">
        <v>39</v>
      </c>
      <c r="FZ19" s="108" t="s">
        <v>39</v>
      </c>
      <c r="GA19" s="108" t="s">
        <v>39</v>
      </c>
      <c r="GB19" s="108" t="s">
        <v>39</v>
      </c>
      <c r="GC19" s="63">
        <v>10</v>
      </c>
      <c r="GD19" s="64">
        <v>13</v>
      </c>
      <c r="GE19" s="63">
        <v>12</v>
      </c>
      <c r="GF19" s="63">
        <v>14</v>
      </c>
      <c r="GG19" s="112" t="s">
        <v>39</v>
      </c>
      <c r="GH19" s="112" t="s">
        <v>39</v>
      </c>
      <c r="GI19" s="112" t="s">
        <v>39</v>
      </c>
      <c r="GJ19" s="112" t="s">
        <v>39</v>
      </c>
      <c r="GK19" s="63"/>
      <c r="GL19" s="63"/>
      <c r="GM19" s="63"/>
      <c r="GN19" s="64"/>
      <c r="GO19" s="63"/>
      <c r="GP19" s="63"/>
      <c r="GQ19" s="63"/>
      <c r="GR19" s="63"/>
      <c r="GS19" s="64"/>
      <c r="GT19" s="63"/>
      <c r="GU19" s="63"/>
      <c r="GV19" s="63"/>
      <c r="GW19" s="63"/>
      <c r="GX19" s="64"/>
      <c r="GY19" s="64"/>
      <c r="GZ19" s="64"/>
      <c r="HA19" s="64"/>
      <c r="HB19" s="64"/>
      <c r="HC19" s="64"/>
      <c r="HD19" s="65"/>
      <c r="HE19" s="65"/>
      <c r="HF19" s="65"/>
      <c r="HG19" s="65"/>
      <c r="HH19" s="65"/>
      <c r="HI19" s="66"/>
      <c r="HJ19" s="66"/>
      <c r="HK19" s="63"/>
      <c r="HL19" s="64"/>
      <c r="HM19" s="64"/>
      <c r="HN19" s="64"/>
      <c r="HO19" s="64"/>
      <c r="HP19" s="64"/>
      <c r="HQ19" s="64"/>
      <c r="HR19" s="64"/>
      <c r="HS19" s="64"/>
      <c r="HT19" s="64"/>
      <c r="HU19" s="39"/>
    </row>
    <row r="20" spans="1:229" ht="21" customHeight="1" x14ac:dyDescent="0.2">
      <c r="A20" s="37">
        <v>17</v>
      </c>
      <c r="B20" s="86" t="s">
        <v>75</v>
      </c>
      <c r="C20" s="93">
        <v>11349</v>
      </c>
      <c r="D20" s="93">
        <v>11283</v>
      </c>
      <c r="E20" s="93">
        <v>11116</v>
      </c>
      <c r="F20" s="93">
        <v>11687</v>
      </c>
      <c r="G20" s="93">
        <v>11686</v>
      </c>
      <c r="H20" s="43">
        <v>11054</v>
      </c>
      <c r="I20" s="43">
        <v>102</v>
      </c>
      <c r="J20" s="43">
        <v>30</v>
      </c>
      <c r="K20" s="43">
        <v>351</v>
      </c>
      <c r="L20" s="43">
        <v>768</v>
      </c>
      <c r="M20" s="44">
        <v>4869</v>
      </c>
      <c r="N20" s="44">
        <v>4784</v>
      </c>
      <c r="O20" s="45">
        <v>4757</v>
      </c>
      <c r="P20" s="45">
        <v>4857</v>
      </c>
      <c r="Q20" s="46">
        <v>4860</v>
      </c>
      <c r="R20" s="105">
        <v>33.973240255962772</v>
      </c>
      <c r="S20" s="105">
        <v>33.216834134265326</v>
      </c>
      <c r="T20" s="105">
        <v>31.994645247657296</v>
      </c>
      <c r="U20" s="105">
        <v>35.810128408599049</v>
      </c>
      <c r="V20" s="105">
        <v>36.060124295418412</v>
      </c>
      <c r="W20" s="105">
        <v>31.07911576497964</v>
      </c>
      <c r="X20" s="105">
        <v>31.090723751274211</v>
      </c>
      <c r="Y20" s="105">
        <v>33.3482076453964</v>
      </c>
      <c r="Z20" s="105">
        <v>32.809118453325638</v>
      </c>
      <c r="AA20" s="105">
        <v>32.837115190056366</v>
      </c>
      <c r="AB20" s="105">
        <v>65.052356020942412</v>
      </c>
      <c r="AC20" s="105">
        <v>64.307557885539538</v>
      </c>
      <c r="AD20" s="105">
        <v>65.342852893053703</v>
      </c>
      <c r="AE20" s="105">
        <v>68.61924686192468</v>
      </c>
      <c r="AF20" s="105">
        <v>68.897239485474785</v>
      </c>
      <c r="AG20" s="46">
        <v>4.0835858988674429</v>
      </c>
      <c r="AH20" s="46">
        <v>5.2106430155210646</v>
      </c>
      <c r="AI20" s="46">
        <v>6.545510549822886</v>
      </c>
      <c r="AJ20" s="46">
        <v>5.7250799186283059</v>
      </c>
      <c r="AK20" s="45">
        <v>5.3121037057911797</v>
      </c>
      <c r="AL20" s="49">
        <v>268.41666666666669</v>
      </c>
      <c r="AM20" s="49">
        <v>277.41666666666669</v>
      </c>
      <c r="AN20" s="49">
        <v>322.58333333333331</v>
      </c>
      <c r="AO20" s="49">
        <v>277.41666666666669</v>
      </c>
      <c r="AP20" s="49">
        <v>481.25</v>
      </c>
      <c r="AQ20" s="49">
        <v>36401.396047898139</v>
      </c>
      <c r="AR20" s="49">
        <v>39639.3695030819</v>
      </c>
      <c r="AS20" s="49">
        <v>38741.15403418996</v>
      </c>
      <c r="AT20" s="49">
        <v>40797.85188704505</v>
      </c>
      <c r="AU20" s="49">
        <v>43026.955331165496</v>
      </c>
      <c r="AV20" s="101">
        <v>43911.175565008532</v>
      </c>
      <c r="AW20" s="101">
        <v>42172.601747304965</v>
      </c>
      <c r="AX20" s="102">
        <v>42681.760311741091</v>
      </c>
      <c r="AY20" s="102">
        <v>45614.785380819609</v>
      </c>
      <c r="AZ20" s="102">
        <v>44504</v>
      </c>
      <c r="BA20" s="99">
        <v>10.656775827754659</v>
      </c>
      <c r="BB20" s="99">
        <v>11.94722474977252</v>
      </c>
      <c r="BC20" s="99">
        <v>10.170118343195266</v>
      </c>
      <c r="BD20" s="99">
        <v>11.044386422976501</v>
      </c>
      <c r="BE20" s="99">
        <v>11.72834131475838</v>
      </c>
      <c r="BF20" s="99">
        <v>16.003062787136294</v>
      </c>
      <c r="BG20" s="99">
        <v>15.763168012302961</v>
      </c>
      <c r="BH20" s="48">
        <v>14.987080103359173</v>
      </c>
      <c r="BI20" s="48">
        <v>15.533980582524272</v>
      </c>
      <c r="BJ20" s="48">
        <v>16.648451730418945</v>
      </c>
      <c r="BK20" s="44">
        <v>2424</v>
      </c>
      <c r="BL20" s="44">
        <v>2385</v>
      </c>
      <c r="BM20" s="44">
        <v>2362</v>
      </c>
      <c r="BN20" s="42">
        <v>2334</v>
      </c>
      <c r="BO20" s="45">
        <v>42.863036303630366</v>
      </c>
      <c r="BP20" s="45">
        <v>45.283018867924525</v>
      </c>
      <c r="BQ20" s="45">
        <v>46.020321761219307</v>
      </c>
      <c r="BR20" s="46">
        <v>47.47215081405313</v>
      </c>
      <c r="BS20" s="105">
        <v>9.2409240924092408</v>
      </c>
      <c r="BT20" s="105">
        <v>10.272536687631026</v>
      </c>
      <c r="BU20" s="105">
        <v>9.864521591871295</v>
      </c>
      <c r="BV20" s="105">
        <v>9.7686375321336758</v>
      </c>
      <c r="BW20" s="45">
        <v>17.120462046204622</v>
      </c>
      <c r="BX20" s="45">
        <v>17.442348008385743</v>
      </c>
      <c r="BY20" s="45">
        <v>18.120237087214225</v>
      </c>
      <c r="BZ20" s="45">
        <v>17.694944301628105</v>
      </c>
      <c r="CA20" s="44">
        <v>81.4070351758794</v>
      </c>
      <c r="CB20" s="44">
        <v>80.392156862745097</v>
      </c>
      <c r="CC20" s="44">
        <v>82.741116751269033</v>
      </c>
      <c r="CD20" s="44">
        <v>86.23</v>
      </c>
      <c r="CE20" s="45">
        <v>1.5075376884422111</v>
      </c>
      <c r="CF20" s="45">
        <v>4.4117647058823533</v>
      </c>
      <c r="CG20" s="45">
        <v>5.0761421319796955</v>
      </c>
      <c r="CH20" s="45">
        <v>5.39</v>
      </c>
      <c r="CI20" s="48">
        <v>706</v>
      </c>
      <c r="CJ20" s="51">
        <v>697</v>
      </c>
      <c r="CK20" s="51">
        <v>699</v>
      </c>
      <c r="CL20" s="57">
        <v>698</v>
      </c>
      <c r="CM20" s="108">
        <v>11.345192755789101</v>
      </c>
      <c r="CN20" s="108">
        <v>11.529999503730293</v>
      </c>
      <c r="CO20" s="108">
        <v>11.744740910007392</v>
      </c>
      <c r="CP20" s="108">
        <v>12.219674025314683</v>
      </c>
      <c r="CQ20" s="60">
        <v>23</v>
      </c>
      <c r="CR20" s="60">
        <v>33</v>
      </c>
      <c r="CS20" s="60">
        <v>34</v>
      </c>
      <c r="CT20" s="60">
        <v>27</v>
      </c>
      <c r="CU20" s="108">
        <v>3.3430232558139537</v>
      </c>
      <c r="CV20" s="108">
        <v>4.8816568047337281</v>
      </c>
      <c r="CW20" s="108">
        <v>5.0221565731166917</v>
      </c>
      <c r="CX20" s="108">
        <v>4.0298507462686564</v>
      </c>
      <c r="CY20" s="61">
        <v>53</v>
      </c>
      <c r="CZ20" s="57">
        <v>51</v>
      </c>
      <c r="DA20" s="60">
        <v>58</v>
      </c>
      <c r="DB20" s="60">
        <v>61</v>
      </c>
      <c r="DC20" s="108">
        <v>8.204334365325078</v>
      </c>
      <c r="DD20" s="108">
        <v>7.7272727272727275</v>
      </c>
      <c r="DE20" s="108">
        <v>8.9230769230769234</v>
      </c>
      <c r="DF20" s="108">
        <v>9.53125</v>
      </c>
      <c r="DG20" s="108">
        <v>77.503628447024667</v>
      </c>
      <c r="DH20" s="108">
        <v>85.481481481481481</v>
      </c>
      <c r="DI20" s="108">
        <v>88.937409024745264</v>
      </c>
      <c r="DJ20" s="108">
        <v>86.795252225519292</v>
      </c>
      <c r="DK20" s="108">
        <v>13.188405797101449</v>
      </c>
      <c r="DL20" s="108">
        <v>12.954876273653566</v>
      </c>
      <c r="DM20" s="108">
        <v>13.793103448275861</v>
      </c>
      <c r="DN20" s="108">
        <v>15.494978479196556</v>
      </c>
      <c r="DO20" s="108">
        <v>21.52974504249292</v>
      </c>
      <c r="DP20" s="108">
        <v>26.11190817790531</v>
      </c>
      <c r="DQ20" s="108">
        <v>28.183118741058657</v>
      </c>
      <c r="DR20" s="108">
        <v>37.106017191977074</v>
      </c>
      <c r="DS20" s="108">
        <v>38.370440549502604</v>
      </c>
      <c r="DT20" s="108">
        <v>29.318899413622013</v>
      </c>
      <c r="DU20" s="108">
        <v>25.334608030592733</v>
      </c>
      <c r="DV20" s="108">
        <v>34.640855832908812</v>
      </c>
      <c r="DW20" s="62">
        <v>124</v>
      </c>
      <c r="DX20" s="62">
        <v>1</v>
      </c>
      <c r="DY20" s="57">
        <v>1</v>
      </c>
      <c r="DZ20" s="60">
        <v>10</v>
      </c>
      <c r="EA20" s="60">
        <v>31</v>
      </c>
      <c r="EB20" s="60">
        <v>8</v>
      </c>
      <c r="EC20" s="60">
        <v>4</v>
      </c>
      <c r="ED20" s="57">
        <v>2</v>
      </c>
      <c r="EE20" s="60">
        <v>2</v>
      </c>
      <c r="EF20" s="60">
        <v>809</v>
      </c>
      <c r="EG20" s="60">
        <v>793</v>
      </c>
      <c r="EH20" s="60">
        <v>769</v>
      </c>
      <c r="EI20" s="60">
        <v>769</v>
      </c>
      <c r="EJ20" s="115">
        <v>141</v>
      </c>
      <c r="EK20" s="115">
        <v>0</v>
      </c>
      <c r="EL20" s="115">
        <v>1</v>
      </c>
      <c r="EM20" s="115">
        <v>0</v>
      </c>
      <c r="EN20" s="115">
        <v>0</v>
      </c>
      <c r="EO20" s="108">
        <v>1300.0369602596861</v>
      </c>
      <c r="EP20" s="108">
        <v>1311.8062563067608</v>
      </c>
      <c r="EQ20" s="108">
        <v>1292.0895221453054</v>
      </c>
      <c r="ER20" s="108">
        <v>1346.2649463419757</v>
      </c>
      <c r="ES20" s="108">
        <v>728.33337061900102</v>
      </c>
      <c r="ET20" s="108">
        <v>715.03479111732577</v>
      </c>
      <c r="EU20" s="108">
        <v>666.89784624374659</v>
      </c>
      <c r="EV20" s="108">
        <v>710.62012142608728</v>
      </c>
      <c r="EW20" s="108">
        <v>922.16077552122192</v>
      </c>
      <c r="EX20" s="108">
        <v>905.33404904449685</v>
      </c>
      <c r="EY20" s="108">
        <v>778.39704803207178</v>
      </c>
      <c r="EZ20" s="108">
        <v>869.39274970910003</v>
      </c>
      <c r="FA20" s="108">
        <v>583.22029395407912</v>
      </c>
      <c r="FB20" s="108">
        <v>567.58513496903811</v>
      </c>
      <c r="FC20" s="108">
        <v>574.53071764952415</v>
      </c>
      <c r="FD20" s="108">
        <v>585.41006681806539</v>
      </c>
      <c r="FE20" s="57">
        <v>167</v>
      </c>
      <c r="FF20" s="62">
        <v>171</v>
      </c>
      <c r="FG20" s="62">
        <v>159</v>
      </c>
      <c r="FH20" s="62">
        <v>168</v>
      </c>
      <c r="FI20" s="108">
        <v>169.30709445914863</v>
      </c>
      <c r="FJ20" s="108">
        <v>171.87187724455231</v>
      </c>
      <c r="FK20" s="108">
        <v>165.52230820342876</v>
      </c>
      <c r="FL20" s="108">
        <v>177.61190381182095</v>
      </c>
      <c r="FM20" s="62">
        <v>298</v>
      </c>
      <c r="FN20" s="62">
        <v>256</v>
      </c>
      <c r="FO20" s="57">
        <v>226</v>
      </c>
      <c r="FP20" s="62">
        <v>218</v>
      </c>
      <c r="FQ20" s="108">
        <v>243.84724236170575</v>
      </c>
      <c r="FR20" s="108">
        <v>209.62297066989368</v>
      </c>
      <c r="FS20" s="108">
        <v>174.13478847072508</v>
      </c>
      <c r="FT20" s="108">
        <v>178.50285983473532</v>
      </c>
      <c r="FU20" s="60">
        <v>76</v>
      </c>
      <c r="FV20" s="60">
        <v>71</v>
      </c>
      <c r="FW20" s="60">
        <v>49</v>
      </c>
      <c r="FX20" s="60">
        <v>46</v>
      </c>
      <c r="FY20" s="108">
        <v>58.948443045829663</v>
      </c>
      <c r="FZ20" s="108">
        <v>54.717949855374556</v>
      </c>
      <c r="GA20" s="108">
        <v>39.263901348045572</v>
      </c>
      <c r="GB20" s="108">
        <v>36.332196333125239</v>
      </c>
      <c r="GC20" s="63">
        <v>22</v>
      </c>
      <c r="GD20" s="64">
        <v>42</v>
      </c>
      <c r="GE20" s="63">
        <v>32</v>
      </c>
      <c r="GF20" s="63">
        <v>22</v>
      </c>
      <c r="GG20" s="112">
        <v>32.976858261318618</v>
      </c>
      <c r="GH20" s="112">
        <v>55.471008948927171</v>
      </c>
      <c r="GI20" s="112">
        <v>41.269364399733611</v>
      </c>
      <c r="GJ20" s="112">
        <v>25.235137218330081</v>
      </c>
      <c r="GK20" s="63"/>
      <c r="GL20" s="63"/>
      <c r="GM20" s="63"/>
      <c r="GN20" s="64"/>
      <c r="GO20" s="63"/>
      <c r="GP20" s="63"/>
      <c r="GQ20" s="63"/>
      <c r="GR20" s="63"/>
      <c r="GS20" s="64"/>
      <c r="GT20" s="63"/>
      <c r="GU20" s="63"/>
      <c r="GV20" s="63"/>
      <c r="GW20" s="63"/>
      <c r="GX20" s="64"/>
      <c r="GY20" s="64"/>
      <c r="GZ20" s="64"/>
      <c r="HA20" s="64"/>
      <c r="HB20" s="64"/>
      <c r="HC20" s="64"/>
      <c r="HD20" s="65"/>
      <c r="HE20" s="65"/>
      <c r="HF20" s="65"/>
      <c r="HG20" s="65"/>
      <c r="HH20" s="65"/>
      <c r="HI20" s="66"/>
      <c r="HJ20" s="66"/>
      <c r="HK20" s="63"/>
      <c r="HL20" s="64"/>
      <c r="HM20" s="64"/>
      <c r="HN20" s="64"/>
      <c r="HO20" s="64"/>
      <c r="HP20" s="64"/>
      <c r="HQ20" s="64"/>
      <c r="HR20" s="64"/>
      <c r="HS20" s="64"/>
      <c r="HT20" s="64"/>
      <c r="HU20" s="39"/>
    </row>
    <row r="21" spans="1:229" x14ac:dyDescent="0.2">
      <c r="A21" s="37">
        <v>18</v>
      </c>
      <c r="B21" s="86" t="s">
        <v>76</v>
      </c>
      <c r="C21" s="93">
        <v>61648</v>
      </c>
      <c r="D21" s="93">
        <v>62172</v>
      </c>
      <c r="E21" s="93">
        <v>62723</v>
      </c>
      <c r="F21" s="93">
        <v>62500</v>
      </c>
      <c r="G21" s="93">
        <v>62763</v>
      </c>
      <c r="H21" s="43">
        <v>60661</v>
      </c>
      <c r="I21" s="43">
        <v>356</v>
      </c>
      <c r="J21" s="43">
        <v>556</v>
      </c>
      <c r="K21" s="43">
        <v>295</v>
      </c>
      <c r="L21" s="43">
        <v>710</v>
      </c>
      <c r="M21" s="44">
        <v>25563</v>
      </c>
      <c r="N21" s="44">
        <v>26053</v>
      </c>
      <c r="O21" s="45">
        <v>26423</v>
      </c>
      <c r="P21" s="45">
        <v>26033</v>
      </c>
      <c r="Q21" s="46">
        <v>26193</v>
      </c>
      <c r="R21" s="105">
        <v>27.458204177041516</v>
      </c>
      <c r="S21" s="105">
        <v>28.345079348983422</v>
      </c>
      <c r="T21" s="105">
        <v>29.874005305039788</v>
      </c>
      <c r="U21" s="105">
        <v>29.663451672481017</v>
      </c>
      <c r="V21" s="105">
        <v>30.490115743111748</v>
      </c>
      <c r="W21" s="105">
        <v>29.175771126581637</v>
      </c>
      <c r="X21" s="105">
        <v>29.267859859047814</v>
      </c>
      <c r="Y21" s="105">
        <v>30.100999795960007</v>
      </c>
      <c r="Z21" s="105">
        <v>30.658731787399958</v>
      </c>
      <c r="AA21" s="105">
        <v>30.22636484687084</v>
      </c>
      <c r="AB21" s="105">
        <v>56.633975303623153</v>
      </c>
      <c r="AC21" s="105">
        <v>57.612939208031236</v>
      </c>
      <c r="AD21" s="105">
        <v>59.975005100999795</v>
      </c>
      <c r="AE21" s="105">
        <v>60.322183459880975</v>
      </c>
      <c r="AF21" s="105">
        <v>60.716480589982588</v>
      </c>
      <c r="AG21" s="46">
        <v>5.6610107421875</v>
      </c>
      <c r="AH21" s="46">
        <v>6.8776628119293974</v>
      </c>
      <c r="AI21" s="46">
        <v>10.024748784924114</v>
      </c>
      <c r="AJ21" s="46">
        <v>8.9836985728787244</v>
      </c>
      <c r="AK21" s="45">
        <v>8.4109072405639207</v>
      </c>
      <c r="AL21" s="49">
        <v>1422.6666666666667</v>
      </c>
      <c r="AM21" s="49">
        <v>1634</v>
      </c>
      <c r="AN21" s="49">
        <v>2144.4166666666665</v>
      </c>
      <c r="AO21" s="49">
        <v>1634</v>
      </c>
      <c r="AP21" s="49">
        <v>3029.1666666666665</v>
      </c>
      <c r="AQ21" s="49">
        <v>33229.340706279901</v>
      </c>
      <c r="AR21" s="49">
        <v>33151.589429757798</v>
      </c>
      <c r="AS21" s="49">
        <v>32462.572543003924</v>
      </c>
      <c r="AT21" s="49">
        <v>33246.332646213101</v>
      </c>
      <c r="AU21" s="49">
        <v>33639.851504867518</v>
      </c>
      <c r="AV21" s="101">
        <v>45580.789637410649</v>
      </c>
      <c r="AW21" s="101">
        <v>48295.913912021664</v>
      </c>
      <c r="AX21" s="102">
        <v>43693.549117401657</v>
      </c>
      <c r="AY21" s="102">
        <v>46490.584308617967</v>
      </c>
      <c r="AZ21" s="102">
        <v>45514</v>
      </c>
      <c r="BA21" s="99">
        <v>9.2799130162600285</v>
      </c>
      <c r="BB21" s="99">
        <v>11.409395973154362</v>
      </c>
      <c r="BC21" s="99">
        <v>14.295198769330419</v>
      </c>
      <c r="BD21" s="99">
        <v>12.327991850330676</v>
      </c>
      <c r="BE21" s="99">
        <v>13.380508720461652</v>
      </c>
      <c r="BF21" s="99">
        <v>12.794734558078982</v>
      </c>
      <c r="BG21" s="99">
        <v>14.773964153544735</v>
      </c>
      <c r="BH21" s="48">
        <v>18.400286944045909</v>
      </c>
      <c r="BI21" s="48">
        <v>17.718291905672402</v>
      </c>
      <c r="BJ21" s="48">
        <v>19.26829268292683</v>
      </c>
      <c r="BK21" s="44">
        <v>9753</v>
      </c>
      <c r="BL21" s="44">
        <v>9730</v>
      </c>
      <c r="BM21" s="44">
        <v>9652</v>
      </c>
      <c r="BN21" s="42">
        <v>9696</v>
      </c>
      <c r="BO21" s="45">
        <v>39.403260535219935</v>
      </c>
      <c r="BP21" s="45">
        <v>42.415210688591984</v>
      </c>
      <c r="BQ21" s="45">
        <v>43.193120596767507</v>
      </c>
      <c r="BR21" s="46">
        <v>42.388613861386141</v>
      </c>
      <c r="BS21" s="105">
        <v>3.0759766225776683E-2</v>
      </c>
      <c r="BT21" s="105">
        <v>2.0554984583761562E-2</v>
      </c>
      <c r="BU21" s="105">
        <v>3.1081641110650642E-2</v>
      </c>
      <c r="BV21" s="105">
        <v>1.0313531353135313E-2</v>
      </c>
      <c r="BW21" s="45">
        <v>17.399774428381011</v>
      </c>
      <c r="BX21" s="45">
        <v>17.153134635149023</v>
      </c>
      <c r="BY21" s="45">
        <v>17.146705346042271</v>
      </c>
      <c r="BZ21" s="45">
        <v>16.996699669966997</v>
      </c>
      <c r="CA21" s="44">
        <v>81.235154394299286</v>
      </c>
      <c r="CB21" s="44">
        <v>70.838548185231545</v>
      </c>
      <c r="CC21" s="44">
        <v>82.938978829389782</v>
      </c>
      <c r="CD21" s="44">
        <v>79.97</v>
      </c>
      <c r="CE21" s="45">
        <v>5.3444180522565317</v>
      </c>
      <c r="CF21" s="45">
        <v>4.3804755944931166</v>
      </c>
      <c r="CG21" s="45">
        <v>2.8642590286425902</v>
      </c>
      <c r="CH21" s="45">
        <v>4.34</v>
      </c>
      <c r="CI21" s="48">
        <v>3049</v>
      </c>
      <c r="CJ21" s="51">
        <v>3265</v>
      </c>
      <c r="CK21" s="51">
        <v>3784</v>
      </c>
      <c r="CL21" s="57">
        <v>3875</v>
      </c>
      <c r="CM21" s="108">
        <v>12.523617842766779</v>
      </c>
      <c r="CN21" s="108">
        <v>12.250947431616074</v>
      </c>
      <c r="CO21" s="108">
        <v>12.797186242348406</v>
      </c>
      <c r="CP21" s="108">
        <v>12.427599212330744</v>
      </c>
      <c r="CQ21" s="60">
        <v>129</v>
      </c>
      <c r="CR21" s="60">
        <v>139</v>
      </c>
      <c r="CS21" s="60">
        <v>190</v>
      </c>
      <c r="CT21" s="60">
        <v>184</v>
      </c>
      <c r="CU21" s="108">
        <v>4.2857142857142856</v>
      </c>
      <c r="CV21" s="108">
        <v>4.3834752444023968</v>
      </c>
      <c r="CW21" s="108">
        <v>5.1658510059815113</v>
      </c>
      <c r="CX21" s="108">
        <v>4.8871181938911024</v>
      </c>
      <c r="CY21" s="61">
        <v>198</v>
      </c>
      <c r="CZ21" s="57">
        <v>242</v>
      </c>
      <c r="DA21" s="60">
        <v>300</v>
      </c>
      <c r="DB21" s="60">
        <v>295</v>
      </c>
      <c r="DC21" s="108">
        <v>6.8797776233495487</v>
      </c>
      <c r="DD21" s="108">
        <v>7.7192982456140351</v>
      </c>
      <c r="DE21" s="108">
        <v>8.2987551867219924</v>
      </c>
      <c r="DF21" s="108">
        <v>8.0954994511525804</v>
      </c>
      <c r="DG21" s="108">
        <v>81.694352159468437</v>
      </c>
      <c r="DH21" s="108">
        <v>87.642879209144269</v>
      </c>
      <c r="DI21" s="108">
        <v>86.261381896089986</v>
      </c>
      <c r="DJ21" s="108">
        <v>84.902216427640155</v>
      </c>
      <c r="DK21" s="108">
        <v>28.965981812057933</v>
      </c>
      <c r="DL21" s="108">
        <v>24.443069306930692</v>
      </c>
      <c r="DM21" s="108">
        <v>22.364901016586408</v>
      </c>
      <c r="DN21" s="108">
        <v>21.630745260971175</v>
      </c>
      <c r="DO21" s="108">
        <v>28.960314857330271</v>
      </c>
      <c r="DP21" s="108">
        <v>30.330882352941178</v>
      </c>
      <c r="DQ21" s="108">
        <v>33.826638477801268</v>
      </c>
      <c r="DR21" s="108">
        <v>37.316129032258061</v>
      </c>
      <c r="DS21" s="108">
        <v>46.187683284457478</v>
      </c>
      <c r="DT21" s="108">
        <v>37.29295803272025</v>
      </c>
      <c r="DU21" s="108">
        <v>35.680848850514927</v>
      </c>
      <c r="DV21" s="108">
        <v>32.799065916569369</v>
      </c>
      <c r="DW21" s="62">
        <v>725</v>
      </c>
      <c r="DX21" s="62">
        <v>4</v>
      </c>
      <c r="DY21" s="57">
        <v>16</v>
      </c>
      <c r="DZ21" s="60">
        <v>5</v>
      </c>
      <c r="EA21" s="60">
        <v>12</v>
      </c>
      <c r="EB21" s="60">
        <v>31</v>
      </c>
      <c r="EC21" s="60">
        <v>15</v>
      </c>
      <c r="ED21" s="57">
        <v>20</v>
      </c>
      <c r="EE21" s="60">
        <v>14</v>
      </c>
      <c r="EF21" s="60">
        <v>2376</v>
      </c>
      <c r="EG21" s="60">
        <v>2530</v>
      </c>
      <c r="EH21" s="60">
        <v>2657</v>
      </c>
      <c r="EI21" s="60">
        <v>2902</v>
      </c>
      <c r="EJ21" s="115">
        <v>607</v>
      </c>
      <c r="EK21" s="115">
        <v>0</v>
      </c>
      <c r="EL21" s="115">
        <v>4</v>
      </c>
      <c r="EM21" s="115">
        <v>0</v>
      </c>
      <c r="EN21" s="115">
        <v>0</v>
      </c>
      <c r="EO21" s="108">
        <v>975.93033763246524</v>
      </c>
      <c r="EP21" s="108">
        <v>949.30771828449213</v>
      </c>
      <c r="EQ21" s="108">
        <v>898.57621157293113</v>
      </c>
      <c r="ER21" s="108">
        <v>930.70691391442119</v>
      </c>
      <c r="ES21" s="108">
        <v>781.98761463142489</v>
      </c>
      <c r="ET21" s="108">
        <v>748.2713662140585</v>
      </c>
      <c r="EU21" s="108">
        <v>677.70001238008365</v>
      </c>
      <c r="EV21" s="108">
        <v>656.82535081021263</v>
      </c>
      <c r="EW21" s="108">
        <v>960.5144969856392</v>
      </c>
      <c r="EX21" s="108">
        <v>903.65028150912224</v>
      </c>
      <c r="EY21" s="108">
        <v>802.09427440356262</v>
      </c>
      <c r="EZ21" s="108">
        <v>779.20834064650171</v>
      </c>
      <c r="FA21" s="108">
        <v>640.4944596669834</v>
      </c>
      <c r="FB21" s="108">
        <v>626.00001947193368</v>
      </c>
      <c r="FC21" s="108">
        <v>576.33212642578837</v>
      </c>
      <c r="FD21" s="108">
        <v>549.99418398206296</v>
      </c>
      <c r="FE21" s="57">
        <v>578</v>
      </c>
      <c r="FF21" s="62">
        <v>618</v>
      </c>
      <c r="FG21" s="62">
        <v>671</v>
      </c>
      <c r="FH21" s="62">
        <v>791</v>
      </c>
      <c r="FI21" s="108">
        <v>191.0721225342343</v>
      </c>
      <c r="FJ21" s="108">
        <v>181.83909649853521</v>
      </c>
      <c r="FK21" s="108">
        <v>173.01590694659666</v>
      </c>
      <c r="FL21" s="108">
        <v>182.22836406767544</v>
      </c>
      <c r="FM21" s="62">
        <v>742</v>
      </c>
      <c r="FN21" s="62">
        <v>721</v>
      </c>
      <c r="FO21" s="57">
        <v>588</v>
      </c>
      <c r="FP21" s="62">
        <v>580</v>
      </c>
      <c r="FQ21" s="108">
        <v>240.7403039070899</v>
      </c>
      <c r="FR21" s="108">
        <v>208.55870890024323</v>
      </c>
      <c r="FS21" s="108">
        <v>145.09289646536908</v>
      </c>
      <c r="FT21" s="108">
        <v>127.49555793022211</v>
      </c>
      <c r="FU21" s="60">
        <v>201</v>
      </c>
      <c r="FV21" s="60">
        <v>185</v>
      </c>
      <c r="FW21" s="60">
        <v>190</v>
      </c>
      <c r="FX21" s="60">
        <v>158</v>
      </c>
      <c r="FY21" s="108">
        <v>63.60724421016112</v>
      </c>
      <c r="FZ21" s="108">
        <v>52.729035564432252</v>
      </c>
      <c r="GA21" s="108">
        <v>45.237679439273663</v>
      </c>
      <c r="GB21" s="108">
        <v>34.583692771813389</v>
      </c>
      <c r="GC21" s="63">
        <v>91</v>
      </c>
      <c r="GD21" s="64">
        <v>136</v>
      </c>
      <c r="GE21" s="63">
        <v>171</v>
      </c>
      <c r="GF21" s="63">
        <v>136</v>
      </c>
      <c r="GG21" s="112">
        <v>34.231367089712315</v>
      </c>
      <c r="GH21" s="112">
        <v>47.258540299999844</v>
      </c>
      <c r="GI21" s="112">
        <v>48.326375070591077</v>
      </c>
      <c r="GJ21" s="112">
        <v>34.192049453234915</v>
      </c>
      <c r="GK21" s="63"/>
      <c r="GL21" s="63"/>
      <c r="GM21" s="63"/>
      <c r="GN21" s="64"/>
      <c r="GO21" s="63"/>
      <c r="GP21" s="63"/>
      <c r="GQ21" s="63"/>
      <c r="GR21" s="63"/>
      <c r="GS21" s="64"/>
      <c r="GT21" s="63"/>
      <c r="GU21" s="63"/>
      <c r="GV21" s="63"/>
      <c r="GW21" s="63"/>
      <c r="GX21" s="64"/>
      <c r="GY21" s="64"/>
      <c r="GZ21" s="64"/>
      <c r="HA21" s="64"/>
      <c r="HB21" s="64"/>
      <c r="HC21" s="64"/>
      <c r="HD21" s="65"/>
      <c r="HE21" s="65"/>
      <c r="HF21" s="65"/>
      <c r="HG21" s="65"/>
      <c r="HH21" s="65"/>
      <c r="HI21" s="66"/>
      <c r="HJ21" s="66"/>
      <c r="HK21" s="63"/>
      <c r="HL21" s="64"/>
      <c r="HM21" s="64"/>
      <c r="HN21" s="64"/>
      <c r="HO21" s="64"/>
      <c r="HP21" s="64"/>
      <c r="HQ21" s="64"/>
      <c r="HR21" s="64"/>
      <c r="HS21" s="64"/>
      <c r="HT21" s="64"/>
      <c r="HU21" s="39"/>
    </row>
    <row r="22" spans="1:229" x14ac:dyDescent="0.2">
      <c r="A22" s="37">
        <v>19</v>
      </c>
      <c r="B22" s="86" t="s">
        <v>77</v>
      </c>
      <c r="C22" s="93">
        <v>390478</v>
      </c>
      <c r="D22" s="93">
        <v>392755</v>
      </c>
      <c r="E22" s="93">
        <v>396500</v>
      </c>
      <c r="F22" s="93">
        <v>398552</v>
      </c>
      <c r="G22" s="93">
        <v>402006</v>
      </c>
      <c r="H22" s="43">
        <v>351525</v>
      </c>
      <c r="I22" s="43">
        <v>19747</v>
      </c>
      <c r="J22" s="43">
        <v>2119</v>
      </c>
      <c r="K22" s="43">
        <v>18732</v>
      </c>
      <c r="L22" s="43">
        <v>24603</v>
      </c>
      <c r="M22" s="44">
        <v>150295</v>
      </c>
      <c r="N22" s="44">
        <v>151450</v>
      </c>
      <c r="O22" s="45">
        <v>152997</v>
      </c>
      <c r="P22" s="45">
        <v>152060</v>
      </c>
      <c r="Q22" s="46">
        <v>153098</v>
      </c>
      <c r="R22" s="105">
        <v>11.951075961007909</v>
      </c>
      <c r="S22" s="105">
        <v>12.334924103456089</v>
      </c>
      <c r="T22" s="105">
        <v>12.859236740676401</v>
      </c>
      <c r="U22" s="105">
        <v>14.631511254019292</v>
      </c>
      <c r="V22" s="105">
        <v>15.295550160042581</v>
      </c>
      <c r="W22" s="105">
        <v>31.686224020599596</v>
      </c>
      <c r="X22" s="105">
        <v>31.18335757247992</v>
      </c>
      <c r="Y22" s="105">
        <v>30.636411342127644</v>
      </c>
      <c r="Z22" s="105">
        <v>31.82765273311897</v>
      </c>
      <c r="AA22" s="105">
        <v>31.260435578304204</v>
      </c>
      <c r="AB22" s="105">
        <v>43.637299981607505</v>
      </c>
      <c r="AC22" s="105">
        <v>43.518281675936009</v>
      </c>
      <c r="AD22" s="105">
        <v>43.495648082804045</v>
      </c>
      <c r="AE22" s="105">
        <v>46.459163987138261</v>
      </c>
      <c r="AF22" s="105">
        <v>46.555985738346784</v>
      </c>
      <c r="AG22" s="46">
        <v>4.111101451795184</v>
      </c>
      <c r="AH22" s="46">
        <v>4.8557399562102423</v>
      </c>
      <c r="AI22" s="46">
        <v>7.4878166476109325</v>
      </c>
      <c r="AJ22" s="46">
        <v>7.0375793915552514</v>
      </c>
      <c r="AK22" s="45">
        <v>6.1483047732707217</v>
      </c>
      <c r="AL22" s="49">
        <v>4824.166666666667</v>
      </c>
      <c r="AM22" s="49">
        <v>5285.416666666667</v>
      </c>
      <c r="AN22" s="49">
        <v>6792.5</v>
      </c>
      <c r="AO22" s="49">
        <v>5285.416666666667</v>
      </c>
      <c r="AP22" s="49">
        <v>10084.75</v>
      </c>
      <c r="AQ22" s="49">
        <v>49440.792619187683</v>
      </c>
      <c r="AR22" s="49">
        <v>48478.298415393074</v>
      </c>
      <c r="AS22" s="49">
        <v>45799.870218556716</v>
      </c>
      <c r="AT22" s="49">
        <v>45856.566511122612</v>
      </c>
      <c r="AU22" s="49">
        <v>46299.025387680784</v>
      </c>
      <c r="AV22" s="101">
        <v>80759.851057672829</v>
      </c>
      <c r="AW22" s="101">
        <v>75209.861135237326</v>
      </c>
      <c r="AX22" s="102">
        <v>73191.64886709518</v>
      </c>
      <c r="AY22" s="102">
        <v>71887.721649484534</v>
      </c>
      <c r="AZ22" s="102">
        <v>70064</v>
      </c>
      <c r="BA22" s="99">
        <v>5.3539942599003849</v>
      </c>
      <c r="BB22" s="99">
        <v>4.6157545495009238</v>
      </c>
      <c r="BC22" s="99">
        <v>6.1099378078864568</v>
      </c>
      <c r="BD22" s="99">
        <v>6.974855205537505</v>
      </c>
      <c r="BE22" s="99">
        <v>7.005925933347025</v>
      </c>
      <c r="BF22" s="99">
        <v>6.0565832635902765</v>
      </c>
      <c r="BG22" s="99">
        <v>5.4724577919551853</v>
      </c>
      <c r="BH22" s="48">
        <v>7.7474920672461023</v>
      </c>
      <c r="BI22" s="48">
        <v>9.0353339228728515</v>
      </c>
      <c r="BJ22" s="48">
        <v>9.1641509983401441</v>
      </c>
      <c r="BK22" s="44">
        <v>74203</v>
      </c>
      <c r="BL22" s="44">
        <v>74125</v>
      </c>
      <c r="BM22" s="44">
        <v>73792</v>
      </c>
      <c r="BN22" s="42">
        <v>73193</v>
      </c>
      <c r="BO22" s="45">
        <v>20.23368327426115</v>
      </c>
      <c r="BP22" s="45">
        <v>22.727824620573355</v>
      </c>
      <c r="BQ22" s="45">
        <v>24.738454032957502</v>
      </c>
      <c r="BR22" s="46">
        <v>24.505075621985711</v>
      </c>
      <c r="BS22" s="105">
        <v>6.1412611349945418</v>
      </c>
      <c r="BT22" s="105">
        <v>6.5416526138279929</v>
      </c>
      <c r="BU22" s="105">
        <v>6.534583694709454</v>
      </c>
      <c r="BV22" s="105">
        <v>6.2191739647234021</v>
      </c>
      <c r="BW22" s="45">
        <v>14.762206379795964</v>
      </c>
      <c r="BX22" s="45">
        <v>14.68195615514334</v>
      </c>
      <c r="BY22" s="45">
        <v>14.80241760624458</v>
      </c>
      <c r="BZ22" s="45">
        <v>14.847048214993237</v>
      </c>
      <c r="CA22" s="44">
        <v>80.189759528872898</v>
      </c>
      <c r="CB22" s="44">
        <v>81.846456048453106</v>
      </c>
      <c r="CC22" s="44">
        <v>82.911178655859501</v>
      </c>
      <c r="CD22" s="44">
        <v>83.45</v>
      </c>
      <c r="CE22" s="45">
        <v>3.9914935383608703</v>
      </c>
      <c r="CF22" s="45">
        <v>3.5193976100834834</v>
      </c>
      <c r="CG22" s="45">
        <v>3.3096926713947989</v>
      </c>
      <c r="CH22" s="45">
        <v>3.44</v>
      </c>
      <c r="CI22" s="48">
        <v>25773</v>
      </c>
      <c r="CJ22" s="51">
        <v>26269</v>
      </c>
      <c r="CK22" s="51">
        <v>27357</v>
      </c>
      <c r="CL22" s="57">
        <v>26891</v>
      </c>
      <c r="CM22" s="108">
        <v>16.598795777428137</v>
      </c>
      <c r="CN22" s="108">
        <v>15.045530642904476</v>
      </c>
      <c r="CO22" s="108">
        <v>14.45216790442773</v>
      </c>
      <c r="CP22" s="108">
        <v>13.579317383152274</v>
      </c>
      <c r="CQ22" s="60">
        <v>995</v>
      </c>
      <c r="CR22" s="60">
        <v>983</v>
      </c>
      <c r="CS22" s="60">
        <v>1111</v>
      </c>
      <c r="CT22" s="60">
        <v>1136</v>
      </c>
      <c r="CU22" s="108">
        <v>3.977295439101411</v>
      </c>
      <c r="CV22" s="108">
        <v>3.8862971455681188</v>
      </c>
      <c r="CW22" s="108">
        <v>4.2153589315525872</v>
      </c>
      <c r="CX22" s="108">
        <v>4.406174850671011</v>
      </c>
      <c r="CY22" s="61">
        <v>1489</v>
      </c>
      <c r="CZ22" s="57">
        <v>1557</v>
      </c>
      <c r="DA22" s="60">
        <v>1780</v>
      </c>
      <c r="DB22" s="60">
        <v>1735</v>
      </c>
      <c r="DC22" s="108">
        <v>6.4747575770752706</v>
      </c>
      <c r="DD22" s="108">
        <v>6.9138543516873892</v>
      </c>
      <c r="DE22" s="108">
        <v>7.4849669904545646</v>
      </c>
      <c r="DF22" s="108">
        <v>7.4113626655275526</v>
      </c>
      <c r="DG22" s="108">
        <v>86.591150731986588</v>
      </c>
      <c r="DH22" s="108">
        <v>87.318576177734528</v>
      </c>
      <c r="DI22" s="108">
        <v>89.558914250462678</v>
      </c>
      <c r="DJ22" s="108">
        <v>86.581691772885279</v>
      </c>
      <c r="DK22" s="108">
        <v>8.9378673383711167</v>
      </c>
      <c r="DL22" s="108">
        <v>7.3224399983700748</v>
      </c>
      <c r="DM22" s="108">
        <v>5.4967888175292785</v>
      </c>
      <c r="DN22" s="108">
        <v>6.5930719451846214</v>
      </c>
      <c r="DO22" s="108">
        <v>15.985721491483336</v>
      </c>
      <c r="DP22" s="108">
        <v>18.304710407067514</v>
      </c>
      <c r="DQ22" s="108">
        <v>22.46188717873725</v>
      </c>
      <c r="DR22" s="108">
        <v>27.243649347268196</v>
      </c>
      <c r="DS22" s="108">
        <v>24.78949537773067</v>
      </c>
      <c r="DT22" s="108">
        <v>21.295673615781215</v>
      </c>
      <c r="DU22" s="108">
        <v>19.181356438601732</v>
      </c>
      <c r="DV22" s="108">
        <v>16.841283660052234</v>
      </c>
      <c r="DW22" s="62">
        <v>3964</v>
      </c>
      <c r="DX22" s="62">
        <v>472</v>
      </c>
      <c r="DY22" s="57">
        <v>24</v>
      </c>
      <c r="DZ22" s="60">
        <v>333</v>
      </c>
      <c r="EA22" s="60">
        <v>404</v>
      </c>
      <c r="EB22" s="60">
        <v>122</v>
      </c>
      <c r="EC22" s="60">
        <v>122</v>
      </c>
      <c r="ED22" s="57">
        <v>129</v>
      </c>
      <c r="EE22" s="60">
        <v>94</v>
      </c>
      <c r="EF22" s="60">
        <v>6742</v>
      </c>
      <c r="EG22" s="60">
        <v>7872</v>
      </c>
      <c r="EH22" s="60">
        <v>9142</v>
      </c>
      <c r="EI22" s="60">
        <v>10169</v>
      </c>
      <c r="EJ22" s="115">
        <v>2138</v>
      </c>
      <c r="EK22" s="115">
        <v>53</v>
      </c>
      <c r="EL22" s="115">
        <v>8</v>
      </c>
      <c r="EM22" s="115">
        <v>38</v>
      </c>
      <c r="EN22" s="115">
        <v>31</v>
      </c>
      <c r="EO22" s="108">
        <v>434.21053478997595</v>
      </c>
      <c r="EP22" s="108">
        <v>450.86762808231771</v>
      </c>
      <c r="EQ22" s="108">
        <v>482.95397515180139</v>
      </c>
      <c r="ER22" s="108">
        <v>513.5103881197258</v>
      </c>
      <c r="ES22" s="108">
        <v>810.68037677538007</v>
      </c>
      <c r="ET22" s="108">
        <v>750.89796651336246</v>
      </c>
      <c r="EU22" s="108">
        <v>706.61479826258346</v>
      </c>
      <c r="EV22" s="108">
        <v>651.82070796969015</v>
      </c>
      <c r="EW22" s="108">
        <v>1009.4146233017193</v>
      </c>
      <c r="EX22" s="108">
        <v>897.48225216876995</v>
      </c>
      <c r="EY22" s="108">
        <v>802.82718486867054</v>
      </c>
      <c r="EZ22" s="108">
        <v>751.39926232272308</v>
      </c>
      <c r="FA22" s="108">
        <v>681.71568272013724</v>
      </c>
      <c r="FB22" s="108">
        <v>650.88121675092543</v>
      </c>
      <c r="FC22" s="108">
        <v>633.59959894783856</v>
      </c>
      <c r="FD22" s="108">
        <v>574.01782929017941</v>
      </c>
      <c r="FE22" s="57">
        <v>1748</v>
      </c>
      <c r="FF22" s="62">
        <v>2155</v>
      </c>
      <c r="FG22" s="62">
        <v>2476</v>
      </c>
      <c r="FH22" s="62">
        <v>2731</v>
      </c>
      <c r="FI22" s="108">
        <v>197.47105598298106</v>
      </c>
      <c r="FJ22" s="108">
        <v>194.00890489094141</v>
      </c>
      <c r="FK22" s="108">
        <v>181.02115138967164</v>
      </c>
      <c r="FL22" s="108">
        <v>166.33311519426735</v>
      </c>
      <c r="FM22" s="62">
        <v>1735</v>
      </c>
      <c r="FN22" s="62">
        <v>1664</v>
      </c>
      <c r="FO22" s="57">
        <v>1724</v>
      </c>
      <c r="FP22" s="62">
        <v>1611</v>
      </c>
      <c r="FQ22" s="108">
        <v>223.47157987075241</v>
      </c>
      <c r="FR22" s="108">
        <v>167.2762875305668</v>
      </c>
      <c r="FS22" s="108">
        <v>139.86262439801246</v>
      </c>
      <c r="FT22" s="108">
        <v>108.13868629508923</v>
      </c>
      <c r="FU22" s="60">
        <v>507</v>
      </c>
      <c r="FV22" s="60">
        <v>575</v>
      </c>
      <c r="FW22" s="60">
        <v>594</v>
      </c>
      <c r="FX22" s="60">
        <v>532</v>
      </c>
      <c r="FY22" s="108">
        <v>70.348804259111148</v>
      </c>
      <c r="FZ22" s="108">
        <v>60.787170526104518</v>
      </c>
      <c r="GA22" s="108">
        <v>49.801112758856576</v>
      </c>
      <c r="GB22" s="108">
        <v>36.068562502964255</v>
      </c>
      <c r="GC22" s="63">
        <v>292</v>
      </c>
      <c r="GD22" s="64">
        <v>390</v>
      </c>
      <c r="GE22" s="63">
        <v>443</v>
      </c>
      <c r="GF22" s="63">
        <v>605</v>
      </c>
      <c r="GG22" s="112">
        <v>24.918409155599253</v>
      </c>
      <c r="GH22" s="112">
        <v>30.122226261096273</v>
      </c>
      <c r="GI22" s="112">
        <v>29.748842556596991</v>
      </c>
      <c r="GJ22" s="112">
        <v>35.764879283601246</v>
      </c>
      <c r="GK22" s="63"/>
      <c r="GL22" s="63"/>
      <c r="GM22" s="63"/>
      <c r="GN22" s="64"/>
      <c r="GO22" s="63"/>
      <c r="GP22" s="63"/>
      <c r="GQ22" s="63"/>
      <c r="GR22" s="63"/>
      <c r="GS22" s="64"/>
      <c r="GT22" s="63"/>
      <c r="GU22" s="63"/>
      <c r="GV22" s="63"/>
      <c r="GW22" s="63"/>
      <c r="GX22" s="64"/>
      <c r="GY22" s="64"/>
      <c r="GZ22" s="64"/>
      <c r="HA22" s="64"/>
      <c r="HB22" s="64"/>
      <c r="HC22" s="64"/>
      <c r="HD22" s="65"/>
      <c r="HE22" s="65"/>
      <c r="HF22" s="65"/>
      <c r="HG22" s="65"/>
      <c r="HH22" s="65"/>
      <c r="HI22" s="66"/>
      <c r="HJ22" s="66"/>
      <c r="HK22" s="63"/>
      <c r="HL22" s="64"/>
      <c r="HM22" s="64"/>
      <c r="HN22" s="64"/>
      <c r="HO22" s="64"/>
      <c r="HP22" s="64"/>
      <c r="HQ22" s="64"/>
      <c r="HR22" s="64"/>
      <c r="HS22" s="64"/>
      <c r="HT22" s="64"/>
      <c r="HU22" s="39"/>
    </row>
    <row r="23" spans="1:229" x14ac:dyDescent="0.2">
      <c r="A23" s="37">
        <v>20</v>
      </c>
      <c r="B23" s="86" t="s">
        <v>78</v>
      </c>
      <c r="C23" s="93">
        <v>19552</v>
      </c>
      <c r="D23" s="93">
        <v>19751</v>
      </c>
      <c r="E23" s="93">
        <v>19772</v>
      </c>
      <c r="F23" s="93">
        <v>20087</v>
      </c>
      <c r="G23" s="93">
        <v>20243</v>
      </c>
      <c r="H23" s="43">
        <v>19727</v>
      </c>
      <c r="I23" s="43">
        <v>96</v>
      </c>
      <c r="J23" s="43">
        <v>73</v>
      </c>
      <c r="K23" s="43">
        <v>110</v>
      </c>
      <c r="L23" s="43">
        <v>961</v>
      </c>
      <c r="M23" s="44">
        <v>7403</v>
      </c>
      <c r="N23" s="44">
        <v>7415</v>
      </c>
      <c r="O23" s="45">
        <v>7424</v>
      </c>
      <c r="P23" s="45">
        <v>7460</v>
      </c>
      <c r="Q23" s="46">
        <v>7528</v>
      </c>
      <c r="R23" s="105">
        <v>17.988965731603077</v>
      </c>
      <c r="S23" s="105">
        <v>18.340242591739599</v>
      </c>
      <c r="T23" s="105">
        <v>18.95250078641082</v>
      </c>
      <c r="U23" s="105">
        <v>19.202248068066506</v>
      </c>
      <c r="V23" s="105">
        <v>19.950433705080545</v>
      </c>
      <c r="W23" s="105">
        <v>33.942031237858423</v>
      </c>
      <c r="X23" s="105">
        <v>33.287271610624906</v>
      </c>
      <c r="Y23" s="105">
        <v>36.536646744259201</v>
      </c>
      <c r="Z23" s="105">
        <v>37.592693778783861</v>
      </c>
      <c r="AA23" s="105">
        <v>36.826208178438662</v>
      </c>
      <c r="AB23" s="105">
        <v>51.930996969461496</v>
      </c>
      <c r="AC23" s="105">
        <v>51.627514202364502</v>
      </c>
      <c r="AD23" s="105">
        <v>55.489147530670024</v>
      </c>
      <c r="AE23" s="105">
        <v>56.794941846850364</v>
      </c>
      <c r="AF23" s="105">
        <v>56.776641883519204</v>
      </c>
      <c r="AG23" s="46">
        <v>4.3742075710921933</v>
      </c>
      <c r="AH23" s="46">
        <v>5.1515698303861424</v>
      </c>
      <c r="AI23" s="46">
        <v>7.6778355133488621</v>
      </c>
      <c r="AJ23" s="46">
        <v>6.9357436907105781</v>
      </c>
      <c r="AK23" s="45">
        <v>6.0659651604916442</v>
      </c>
      <c r="AL23" s="49">
        <v>272.75</v>
      </c>
      <c r="AM23" s="49">
        <v>295.41666666666669</v>
      </c>
      <c r="AN23" s="49">
        <v>391.75</v>
      </c>
      <c r="AO23" s="49">
        <v>295.41666666666669</v>
      </c>
      <c r="AP23" s="49">
        <v>602.58333333333337</v>
      </c>
      <c r="AQ23" s="49">
        <v>38330.910492316136</v>
      </c>
      <c r="AR23" s="49">
        <v>40059.720036874613</v>
      </c>
      <c r="AS23" s="49">
        <v>38429.075975503511</v>
      </c>
      <c r="AT23" s="49">
        <v>38100.096587375643</v>
      </c>
      <c r="AU23" s="49">
        <v>38067.035518450823</v>
      </c>
      <c r="AV23" s="101">
        <v>66426.555979975106</v>
      </c>
      <c r="AW23" s="101">
        <v>63080.249425228634</v>
      </c>
      <c r="AX23" s="102">
        <v>68631.784083864317</v>
      </c>
      <c r="AY23" s="102">
        <v>62304.480142715634</v>
      </c>
      <c r="AZ23" s="102">
        <v>65423</v>
      </c>
      <c r="BA23" s="99">
        <v>6.5904505716207131</v>
      </c>
      <c r="BB23" s="99">
        <v>6.6844098679496362</v>
      </c>
      <c r="BC23" s="99">
        <v>7.0719476000409376</v>
      </c>
      <c r="BD23" s="99">
        <v>6.8609775641025639</v>
      </c>
      <c r="BE23" s="99">
        <v>7.3880336770786625</v>
      </c>
      <c r="BF23" s="99">
        <v>7.3347304248428271</v>
      </c>
      <c r="BG23" s="99">
        <v>7.7899596076168498</v>
      </c>
      <c r="BH23" s="48">
        <v>8.9916272297051325</v>
      </c>
      <c r="BI23" s="48">
        <v>9.0199479618386817</v>
      </c>
      <c r="BJ23" s="48">
        <v>10.116320056397603</v>
      </c>
      <c r="BK23" s="44">
        <v>4029</v>
      </c>
      <c r="BL23" s="44">
        <v>4011</v>
      </c>
      <c r="BM23" s="44">
        <v>4091</v>
      </c>
      <c r="BN23" s="42">
        <v>4116</v>
      </c>
      <c r="BO23" s="45">
        <v>22.065028543062795</v>
      </c>
      <c r="BP23" s="45">
        <v>25.031164298180006</v>
      </c>
      <c r="BQ23" s="45">
        <v>26.032754827670495</v>
      </c>
      <c r="BR23" s="46">
        <v>27.06511175898931</v>
      </c>
      <c r="BS23" s="105">
        <v>3.052866716306776</v>
      </c>
      <c r="BT23" s="105">
        <v>3.1662926950885066</v>
      </c>
      <c r="BU23" s="105">
        <v>4.0576876069420678</v>
      </c>
      <c r="BV23" s="105">
        <v>3.6686103012633624</v>
      </c>
      <c r="BW23" s="45">
        <v>9.5805410771903698</v>
      </c>
      <c r="BX23" s="45">
        <v>9.723261032161556</v>
      </c>
      <c r="BY23" s="45">
        <v>10.144219017355169</v>
      </c>
      <c r="BZ23" s="45">
        <v>11.175898931000972</v>
      </c>
      <c r="CA23" s="44">
        <v>91.034482758620683</v>
      </c>
      <c r="CB23" s="44">
        <v>90.109890109890117</v>
      </c>
      <c r="CC23" s="44">
        <v>91.503267973856211</v>
      </c>
      <c r="CD23" s="44">
        <v>91.73</v>
      </c>
      <c r="CE23" s="45">
        <v>1.0344827586206897</v>
      </c>
      <c r="CF23" s="45">
        <v>1.8315018315018314</v>
      </c>
      <c r="CG23" s="45">
        <v>1.3071895424836601</v>
      </c>
      <c r="CH23" s="45">
        <v>0.72</v>
      </c>
      <c r="CI23" s="48">
        <v>1156</v>
      </c>
      <c r="CJ23" s="51">
        <v>1246</v>
      </c>
      <c r="CK23" s="51">
        <v>1448</v>
      </c>
      <c r="CL23" s="57">
        <v>1374</v>
      </c>
      <c r="CM23" s="108">
        <v>13.953095390409057</v>
      </c>
      <c r="CN23" s="108">
        <v>14.236095242447785</v>
      </c>
      <c r="CO23" s="108">
        <v>15.051662127606495</v>
      </c>
      <c r="CP23" s="108">
        <v>13.82224234193451</v>
      </c>
      <c r="CQ23" s="60">
        <v>44</v>
      </c>
      <c r="CR23" s="60">
        <v>52</v>
      </c>
      <c r="CS23" s="60">
        <v>57</v>
      </c>
      <c r="CT23" s="60">
        <v>58</v>
      </c>
      <c r="CU23" s="108">
        <v>3.9215686274509802</v>
      </c>
      <c r="CV23" s="108">
        <v>4.3297252289758532</v>
      </c>
      <c r="CW23" s="108">
        <v>4.0948275862068968</v>
      </c>
      <c r="CX23" s="108">
        <v>4.3906131718395152</v>
      </c>
      <c r="CY23" s="61">
        <v>69</v>
      </c>
      <c r="CZ23" s="57">
        <v>92</v>
      </c>
      <c r="DA23" s="60">
        <v>112</v>
      </c>
      <c r="DB23" s="60">
        <v>94</v>
      </c>
      <c r="DC23" s="108">
        <v>6.6990291262135919</v>
      </c>
      <c r="DD23" s="108">
        <v>8.7286527514231498</v>
      </c>
      <c r="DE23" s="108">
        <v>8.3644510828976841</v>
      </c>
      <c r="DF23" s="108">
        <v>7.3783359497645211</v>
      </c>
      <c r="DG23" s="108">
        <v>85.958595859585955</v>
      </c>
      <c r="DH23" s="108">
        <v>88.062283737024217</v>
      </c>
      <c r="DI23" s="108">
        <v>91.149825783972119</v>
      </c>
      <c r="DJ23" s="108">
        <v>92.772861356932154</v>
      </c>
      <c r="DK23" s="108">
        <v>15.485564304461942</v>
      </c>
      <c r="DL23" s="108">
        <v>12.884927066450567</v>
      </c>
      <c r="DM23" s="108">
        <v>9.97229916897507</v>
      </c>
      <c r="DN23" s="108">
        <v>10.422740524781341</v>
      </c>
      <c r="DO23" s="108">
        <v>19.117647058823529</v>
      </c>
      <c r="DP23" s="108">
        <v>20.883534136546185</v>
      </c>
      <c r="DQ23" s="108">
        <v>23.687845303867402</v>
      </c>
      <c r="DR23" s="108">
        <v>28.020378457059678</v>
      </c>
      <c r="DS23" s="108">
        <v>28.431372549019606</v>
      </c>
      <c r="DT23" s="108">
        <v>28.192371475953564</v>
      </c>
      <c r="DU23" s="108">
        <v>26.558265582655828</v>
      </c>
      <c r="DV23" s="108">
        <v>20.557589411433398</v>
      </c>
      <c r="DW23" s="62">
        <v>255</v>
      </c>
      <c r="DX23" s="62">
        <v>1</v>
      </c>
      <c r="DY23" s="57">
        <v>0</v>
      </c>
      <c r="DZ23" s="60">
        <v>6</v>
      </c>
      <c r="EA23" s="60">
        <v>13</v>
      </c>
      <c r="EB23" s="60">
        <v>7</v>
      </c>
      <c r="EC23" s="60">
        <v>4</v>
      </c>
      <c r="ED23" s="57">
        <v>8</v>
      </c>
      <c r="EE23" s="60">
        <v>6</v>
      </c>
      <c r="EF23" s="60">
        <v>634</v>
      </c>
      <c r="EG23" s="60">
        <v>647</v>
      </c>
      <c r="EH23" s="60">
        <v>602</v>
      </c>
      <c r="EI23" s="60">
        <v>650</v>
      </c>
      <c r="EJ23" s="115">
        <v>122</v>
      </c>
      <c r="EK23" s="115">
        <v>0</v>
      </c>
      <c r="EL23" s="115">
        <v>0</v>
      </c>
      <c r="EM23" s="115">
        <v>0</v>
      </c>
      <c r="EN23" s="115">
        <v>1</v>
      </c>
      <c r="EO23" s="108">
        <v>765.24761916257285</v>
      </c>
      <c r="EP23" s="108">
        <v>739.22581234861298</v>
      </c>
      <c r="EQ23" s="108">
        <v>625.76661607866777</v>
      </c>
      <c r="ER23" s="108">
        <v>653.89064936371415</v>
      </c>
      <c r="ES23" s="108">
        <v>722.58613838140752</v>
      </c>
      <c r="ET23" s="108">
        <v>706.75473295826532</v>
      </c>
      <c r="EU23" s="108">
        <v>613.0310059162158</v>
      </c>
      <c r="EV23" s="108">
        <v>608.48629219692577</v>
      </c>
      <c r="EW23" s="108">
        <v>936.33455822598739</v>
      </c>
      <c r="EX23" s="108">
        <v>878.55463069765028</v>
      </c>
      <c r="EY23" s="108">
        <v>692.80853708040786</v>
      </c>
      <c r="EZ23" s="108">
        <v>718.91133650756035</v>
      </c>
      <c r="FA23" s="108">
        <v>555.49515156024927</v>
      </c>
      <c r="FB23" s="108">
        <v>579.25400184968203</v>
      </c>
      <c r="FC23" s="108">
        <v>535.97056456304858</v>
      </c>
      <c r="FD23" s="108">
        <v>512.46932587585536</v>
      </c>
      <c r="FE23" s="57">
        <v>142</v>
      </c>
      <c r="FF23" s="62">
        <v>131</v>
      </c>
      <c r="FG23" s="62">
        <v>128</v>
      </c>
      <c r="FH23" s="62">
        <v>173</v>
      </c>
      <c r="FI23" s="108">
        <v>171.49838058560852</v>
      </c>
      <c r="FJ23" s="108">
        <v>151.98381320312487</v>
      </c>
      <c r="FK23" s="108">
        <v>137.18338492350665</v>
      </c>
      <c r="FL23" s="108">
        <v>167.09404943025345</v>
      </c>
      <c r="FM23" s="62">
        <v>192</v>
      </c>
      <c r="FN23" s="62">
        <v>182</v>
      </c>
      <c r="FO23" s="57">
        <v>167</v>
      </c>
      <c r="FP23" s="62">
        <v>146</v>
      </c>
      <c r="FQ23" s="108">
        <v>216.00156615654203</v>
      </c>
      <c r="FR23" s="108">
        <v>194.92150810252974</v>
      </c>
      <c r="FS23" s="108">
        <v>167.57168098078225</v>
      </c>
      <c r="FT23" s="108">
        <v>134.60987831342294</v>
      </c>
      <c r="FU23" s="60">
        <v>44</v>
      </c>
      <c r="FV23" s="60">
        <v>47</v>
      </c>
      <c r="FW23" s="60">
        <v>33</v>
      </c>
      <c r="FX23" s="60">
        <v>33</v>
      </c>
      <c r="FY23" s="108">
        <v>46.535208519341339</v>
      </c>
      <c r="FZ23" s="108">
        <v>50.014230209618766</v>
      </c>
      <c r="GA23" s="108">
        <v>31.655726941742188</v>
      </c>
      <c r="GB23" s="108">
        <v>29.049855237485751</v>
      </c>
      <c r="GC23" s="63">
        <v>39</v>
      </c>
      <c r="GD23" s="64">
        <v>52</v>
      </c>
      <c r="GE23" s="63">
        <v>41</v>
      </c>
      <c r="GF23" s="63">
        <v>27</v>
      </c>
      <c r="GG23" s="112">
        <v>46.656332234907595</v>
      </c>
      <c r="GH23" s="112">
        <v>57.913047604932004</v>
      </c>
      <c r="GI23" s="112">
        <v>42.24001783527639</v>
      </c>
      <c r="GJ23" s="112">
        <v>25.784199171338521</v>
      </c>
      <c r="GK23" s="63"/>
      <c r="GL23" s="63"/>
      <c r="GM23" s="63"/>
      <c r="GN23" s="64"/>
      <c r="GO23" s="63"/>
      <c r="GP23" s="63"/>
      <c r="GQ23" s="63"/>
      <c r="GR23" s="63"/>
      <c r="GS23" s="64"/>
      <c r="GT23" s="63"/>
      <c r="GU23" s="63"/>
      <c r="GV23" s="63"/>
      <c r="GW23" s="63"/>
      <c r="GX23" s="64"/>
      <c r="GY23" s="64"/>
      <c r="GZ23" s="64"/>
      <c r="HA23" s="64"/>
      <c r="HB23" s="64"/>
      <c r="HC23" s="64"/>
      <c r="HD23" s="65"/>
      <c r="HE23" s="65"/>
      <c r="HF23" s="65"/>
      <c r="HG23" s="65"/>
      <c r="HH23" s="65"/>
      <c r="HI23" s="66"/>
      <c r="HJ23" s="66"/>
      <c r="HK23" s="63"/>
      <c r="HL23" s="64"/>
      <c r="HM23" s="64"/>
      <c r="HN23" s="64"/>
      <c r="HO23" s="64"/>
      <c r="HP23" s="64"/>
      <c r="HQ23" s="64"/>
      <c r="HR23" s="64"/>
      <c r="HS23" s="64"/>
      <c r="HT23" s="64"/>
      <c r="HU23" s="39"/>
    </row>
    <row r="24" spans="1:229" x14ac:dyDescent="0.2">
      <c r="A24" s="37">
        <v>21</v>
      </c>
      <c r="B24" s="86" t="s">
        <v>79</v>
      </c>
      <c r="C24" s="93">
        <v>36075</v>
      </c>
      <c r="D24" s="93">
        <v>36258</v>
      </c>
      <c r="E24" s="93">
        <v>36390</v>
      </c>
      <c r="F24" s="93">
        <v>36009</v>
      </c>
      <c r="G24" s="93">
        <v>36172</v>
      </c>
      <c r="H24" s="43">
        <v>35345</v>
      </c>
      <c r="I24" s="43">
        <v>172</v>
      </c>
      <c r="J24" s="43">
        <v>125</v>
      </c>
      <c r="K24" s="43">
        <v>190</v>
      </c>
      <c r="L24" s="43">
        <v>374</v>
      </c>
      <c r="M24" s="44">
        <v>15274</v>
      </c>
      <c r="N24" s="44">
        <v>15540</v>
      </c>
      <c r="O24" s="45">
        <v>15702</v>
      </c>
      <c r="P24" s="45">
        <v>15289</v>
      </c>
      <c r="Q24" s="46">
        <v>15498</v>
      </c>
      <c r="R24" s="105">
        <v>29.034625679993091</v>
      </c>
      <c r="S24" s="105">
        <v>30.041898838063151</v>
      </c>
      <c r="T24" s="105">
        <v>31.237171928905191</v>
      </c>
      <c r="U24" s="105">
        <v>31.503186416506974</v>
      </c>
      <c r="V24" s="105">
        <v>32.167148255167817</v>
      </c>
      <c r="W24" s="105">
        <v>26.716173042051636</v>
      </c>
      <c r="X24" s="105">
        <v>26.573366161288931</v>
      </c>
      <c r="Y24" s="105">
        <v>27.678064544303243</v>
      </c>
      <c r="Z24" s="105">
        <v>28.971879317260129</v>
      </c>
      <c r="AA24" s="105">
        <v>28.633029562124918</v>
      </c>
      <c r="AB24" s="105">
        <v>55.750798722044728</v>
      </c>
      <c r="AC24" s="105">
        <v>56.615264999352078</v>
      </c>
      <c r="AD24" s="105">
        <v>58.915236473208438</v>
      </c>
      <c r="AE24" s="105">
        <v>60.475065733767103</v>
      </c>
      <c r="AF24" s="105">
        <v>60.800177817292735</v>
      </c>
      <c r="AG24" s="46">
        <v>4.4802152895445033</v>
      </c>
      <c r="AH24" s="46">
        <v>4.9207591469379768</v>
      </c>
      <c r="AI24" s="46">
        <v>6.9122874435584594</v>
      </c>
      <c r="AJ24" s="46">
        <v>6.5559482883842541</v>
      </c>
      <c r="AK24" s="45">
        <v>6.0107141101882338</v>
      </c>
      <c r="AL24" s="49">
        <v>702.25</v>
      </c>
      <c r="AM24" s="49">
        <v>739.83333333333337</v>
      </c>
      <c r="AN24" s="49">
        <v>937.58333333333337</v>
      </c>
      <c r="AO24" s="49">
        <v>739.83333333333337</v>
      </c>
      <c r="AP24" s="49">
        <v>1424.9166666666667</v>
      </c>
      <c r="AQ24" s="49">
        <v>37193.166850650305</v>
      </c>
      <c r="AR24" s="49">
        <v>38637.870766125423</v>
      </c>
      <c r="AS24" s="49">
        <v>36556.337183848722</v>
      </c>
      <c r="AT24" s="49">
        <v>37287.061536557587</v>
      </c>
      <c r="AU24" s="49">
        <v>37702.864093774187</v>
      </c>
      <c r="AV24" s="101">
        <v>48054.291966895275</v>
      </c>
      <c r="AW24" s="101">
        <v>50369.753640218674</v>
      </c>
      <c r="AX24" s="102">
        <v>45958.278464786956</v>
      </c>
      <c r="AY24" s="102">
        <v>49962.833061231977</v>
      </c>
      <c r="AZ24" s="102">
        <v>49161</v>
      </c>
      <c r="BA24" s="99">
        <v>10.609646157313501</v>
      </c>
      <c r="BB24" s="99">
        <v>8.7092977638289533</v>
      </c>
      <c r="BC24" s="99">
        <v>11.167909718148552</v>
      </c>
      <c r="BD24" s="99">
        <v>9.6341120180129476</v>
      </c>
      <c r="BE24" s="99">
        <v>10.834803550925537</v>
      </c>
      <c r="BF24" s="99">
        <v>13.551338985331718</v>
      </c>
      <c r="BG24" s="99">
        <v>10.696348581512149</v>
      </c>
      <c r="BH24" s="48">
        <v>12.682215743440233</v>
      </c>
      <c r="BI24" s="48">
        <v>12.778564987762463</v>
      </c>
      <c r="BJ24" s="48">
        <v>13.738269030239833</v>
      </c>
      <c r="BK24" s="44">
        <v>5301</v>
      </c>
      <c r="BL24" s="44">
        <v>5290</v>
      </c>
      <c r="BM24" s="44">
        <v>5282</v>
      </c>
      <c r="BN24" s="42">
        <v>5333</v>
      </c>
      <c r="BO24" s="45">
        <v>28.73042822109036</v>
      </c>
      <c r="BP24" s="45">
        <v>33.232514177693758</v>
      </c>
      <c r="BQ24" s="45">
        <v>34.948882998864065</v>
      </c>
      <c r="BR24" s="46">
        <v>35.083442715169696</v>
      </c>
      <c r="BS24" s="105">
        <v>5.6593095642331635E-2</v>
      </c>
      <c r="BT24" s="105">
        <v>0.1323251417769376</v>
      </c>
      <c r="BU24" s="105">
        <v>0.2082544490723211</v>
      </c>
      <c r="BV24" s="105">
        <v>0.15000937558597413</v>
      </c>
      <c r="BW24" s="45">
        <v>17.468402188266364</v>
      </c>
      <c r="BX24" s="45">
        <v>16.956521739130434</v>
      </c>
      <c r="BY24" s="45">
        <v>16.84967815221507</v>
      </c>
      <c r="BZ24" s="45">
        <v>16.969810613163322</v>
      </c>
      <c r="CA24" s="44">
        <v>85.684647302904565</v>
      </c>
      <c r="CB24" s="44">
        <v>79.175257731958766</v>
      </c>
      <c r="CC24" s="44">
        <v>80.430107526881727</v>
      </c>
      <c r="CD24" s="44">
        <v>80.989999999999995</v>
      </c>
      <c r="CE24" s="45">
        <v>4.3568464730290453</v>
      </c>
      <c r="CF24" s="45">
        <v>4.9484536082474229</v>
      </c>
      <c r="CG24" s="45">
        <v>6.021505376344086</v>
      </c>
      <c r="CH24" s="45">
        <v>5.62</v>
      </c>
      <c r="CI24" s="48">
        <v>1730</v>
      </c>
      <c r="CJ24" s="51">
        <v>1798</v>
      </c>
      <c r="CK24" s="51">
        <v>1997</v>
      </c>
      <c r="CL24" s="57">
        <v>2054</v>
      </c>
      <c r="CM24" s="108">
        <v>11.570590635178608</v>
      </c>
      <c r="CN24" s="108">
        <v>11.302418264909072</v>
      </c>
      <c r="CO24" s="108">
        <v>11.552033319835715</v>
      </c>
      <c r="CP24" s="108">
        <v>11.354088356255252</v>
      </c>
      <c r="CQ24" s="60">
        <v>57</v>
      </c>
      <c r="CR24" s="60">
        <v>54</v>
      </c>
      <c r="CS24" s="60">
        <v>85</v>
      </c>
      <c r="CT24" s="60">
        <v>83</v>
      </c>
      <c r="CU24" s="108">
        <v>3.3969010727056017</v>
      </c>
      <c r="CV24" s="108">
        <v>3.119584055459272</v>
      </c>
      <c r="CW24" s="108">
        <v>4.3995859213250519</v>
      </c>
      <c r="CX24" s="108">
        <v>4.206791687785099</v>
      </c>
      <c r="CY24" s="61">
        <v>92</v>
      </c>
      <c r="CZ24" s="57">
        <v>96</v>
      </c>
      <c r="DA24" s="60">
        <v>171</v>
      </c>
      <c r="DB24" s="60">
        <v>156</v>
      </c>
      <c r="DC24" s="108">
        <v>5.5255255255255253</v>
      </c>
      <c r="DD24" s="108">
        <v>5.5878928987194412</v>
      </c>
      <c r="DE24" s="108">
        <v>8.9155370177267983</v>
      </c>
      <c r="DF24" s="108">
        <v>7.9632465543644715</v>
      </c>
      <c r="DG24" s="108">
        <v>84.134337000579038</v>
      </c>
      <c r="DH24" s="108">
        <v>89.541387024608497</v>
      </c>
      <c r="DI24" s="108">
        <v>89.764174611138984</v>
      </c>
      <c r="DJ24" s="108">
        <v>91.939423546653643</v>
      </c>
      <c r="DK24" s="108">
        <v>15.774155995343422</v>
      </c>
      <c r="DL24" s="108">
        <v>17.69960915689559</v>
      </c>
      <c r="DM24" s="108">
        <v>15.045135406218655</v>
      </c>
      <c r="DN24" s="108">
        <v>14.376218323586745</v>
      </c>
      <c r="DO24" s="108">
        <v>20.057803468208093</v>
      </c>
      <c r="DP24" s="108">
        <v>22.246941045606228</v>
      </c>
      <c r="DQ24" s="108">
        <v>26.840260390585879</v>
      </c>
      <c r="DR24" s="108">
        <v>28.383641674780915</v>
      </c>
      <c r="DS24" s="108">
        <v>33.333333333333336</v>
      </c>
      <c r="DT24" s="108">
        <v>29.152542372881356</v>
      </c>
      <c r="DU24" s="108">
        <v>21.584017124509455</v>
      </c>
      <c r="DV24" s="108">
        <v>17.683637776914107</v>
      </c>
      <c r="DW24" s="62">
        <v>376</v>
      </c>
      <c r="DX24" s="62">
        <v>2</v>
      </c>
      <c r="DY24" s="57">
        <v>3</v>
      </c>
      <c r="DZ24" s="60">
        <v>5</v>
      </c>
      <c r="EA24" s="60">
        <v>6</v>
      </c>
      <c r="EB24" s="60">
        <v>8</v>
      </c>
      <c r="EC24" s="60">
        <v>6</v>
      </c>
      <c r="ED24" s="57">
        <v>11</v>
      </c>
      <c r="EE24" s="60">
        <v>9</v>
      </c>
      <c r="EF24" s="60">
        <v>1619</v>
      </c>
      <c r="EG24" s="60">
        <v>1640</v>
      </c>
      <c r="EH24" s="60">
        <v>1649</v>
      </c>
      <c r="EI24" s="60">
        <v>1786</v>
      </c>
      <c r="EJ24" s="115">
        <v>360</v>
      </c>
      <c r="EK24" s="115">
        <v>0</v>
      </c>
      <c r="EL24" s="115">
        <v>2</v>
      </c>
      <c r="EM24" s="115">
        <v>1</v>
      </c>
      <c r="EN24" s="115">
        <v>0</v>
      </c>
      <c r="EO24" s="108">
        <v>1082.8200137776976</v>
      </c>
      <c r="EP24" s="108">
        <v>1030.9213545300822</v>
      </c>
      <c r="EQ24" s="108">
        <v>953.89599120726552</v>
      </c>
      <c r="ER24" s="108">
        <v>987.26396320700485</v>
      </c>
      <c r="ES24" s="108">
        <v>770.71452093917014</v>
      </c>
      <c r="ET24" s="108">
        <v>701.7629518870624</v>
      </c>
      <c r="EU24" s="108">
        <v>638.96800607524472</v>
      </c>
      <c r="EV24" s="108">
        <v>615.43189579553291</v>
      </c>
      <c r="EW24" s="108">
        <v>987.20068665492181</v>
      </c>
      <c r="EX24" s="108">
        <v>824.6683114084874</v>
      </c>
      <c r="EY24" s="108">
        <v>774.75310917242348</v>
      </c>
      <c r="EZ24" s="108">
        <v>695.95065276716969</v>
      </c>
      <c r="FA24" s="108">
        <v>598.95807823987241</v>
      </c>
      <c r="FB24" s="108">
        <v>596.78569415785591</v>
      </c>
      <c r="FC24" s="108">
        <v>529.43834579131715</v>
      </c>
      <c r="FD24" s="108">
        <v>551.01847130958083</v>
      </c>
      <c r="FE24" s="57">
        <v>378</v>
      </c>
      <c r="FF24" s="62">
        <v>362</v>
      </c>
      <c r="FG24" s="62">
        <v>391</v>
      </c>
      <c r="FH24" s="62">
        <v>434</v>
      </c>
      <c r="FI24" s="108">
        <v>193.73903870137852</v>
      </c>
      <c r="FJ24" s="108">
        <v>165.90246426020383</v>
      </c>
      <c r="FK24" s="108">
        <v>165.48109159586724</v>
      </c>
      <c r="FL24" s="108">
        <v>161.10125723876595</v>
      </c>
      <c r="FM24" s="62">
        <v>535</v>
      </c>
      <c r="FN24" s="62">
        <v>520</v>
      </c>
      <c r="FO24" s="57">
        <v>462</v>
      </c>
      <c r="FP24" s="62">
        <v>406</v>
      </c>
      <c r="FQ24" s="108">
        <v>245.68412721960027</v>
      </c>
      <c r="FR24" s="108">
        <v>212.62270135174128</v>
      </c>
      <c r="FS24" s="108">
        <v>168.66370781758155</v>
      </c>
      <c r="FT24" s="108">
        <v>130.43077464053584</v>
      </c>
      <c r="FU24" s="60">
        <v>161</v>
      </c>
      <c r="FV24" s="60">
        <v>144</v>
      </c>
      <c r="FW24" s="60">
        <v>123</v>
      </c>
      <c r="FX24" s="60">
        <v>122</v>
      </c>
      <c r="FY24" s="108">
        <v>68.396806448580065</v>
      </c>
      <c r="FZ24" s="108">
        <v>57.850056259554549</v>
      </c>
      <c r="GA24" s="108">
        <v>44.651622652132126</v>
      </c>
      <c r="GB24" s="108">
        <v>37.509317391683723</v>
      </c>
      <c r="GC24" s="63">
        <v>63</v>
      </c>
      <c r="GD24" s="64">
        <v>61</v>
      </c>
      <c r="GE24" s="63">
        <v>64</v>
      </c>
      <c r="GF24" s="63">
        <v>72</v>
      </c>
      <c r="GG24" s="112">
        <v>37.349266983558699</v>
      </c>
      <c r="GH24" s="112">
        <v>32.799898984743095</v>
      </c>
      <c r="GI24" s="112">
        <v>28.967831818550874</v>
      </c>
      <c r="GJ24" s="112">
        <v>30.509702939474419</v>
      </c>
      <c r="GK24" s="63"/>
      <c r="GL24" s="63"/>
      <c r="GM24" s="63"/>
      <c r="GN24" s="64"/>
      <c r="GO24" s="63"/>
      <c r="GP24" s="63"/>
      <c r="GQ24" s="63"/>
      <c r="GR24" s="63"/>
      <c r="GS24" s="64"/>
      <c r="GT24" s="63"/>
      <c r="GU24" s="63"/>
      <c r="GV24" s="63"/>
      <c r="GW24" s="63"/>
      <c r="GX24" s="64"/>
      <c r="GY24" s="64"/>
      <c r="GZ24" s="64"/>
      <c r="HA24" s="64"/>
      <c r="HB24" s="64"/>
      <c r="HC24" s="64"/>
      <c r="HD24" s="65"/>
      <c r="HE24" s="65"/>
      <c r="HF24" s="65"/>
      <c r="HG24" s="65"/>
      <c r="HH24" s="65"/>
      <c r="HI24" s="66"/>
      <c r="HJ24" s="66"/>
      <c r="HK24" s="63"/>
      <c r="HL24" s="64"/>
      <c r="HM24" s="64"/>
      <c r="HN24" s="64"/>
      <c r="HO24" s="64"/>
      <c r="HP24" s="64"/>
      <c r="HQ24" s="64"/>
      <c r="HR24" s="64"/>
      <c r="HS24" s="64"/>
      <c r="HT24" s="64"/>
      <c r="HU24" s="39"/>
    </row>
    <row r="25" spans="1:229" ht="21" customHeight="1" x14ac:dyDescent="0.2">
      <c r="A25" s="37">
        <v>22</v>
      </c>
      <c r="B25" s="86" t="s">
        <v>80</v>
      </c>
      <c r="C25" s="93">
        <v>14869</v>
      </c>
      <c r="D25" s="93">
        <v>14624</v>
      </c>
      <c r="E25" s="93">
        <v>14506</v>
      </c>
      <c r="F25" s="93">
        <v>14553</v>
      </c>
      <c r="G25" s="93">
        <v>14508</v>
      </c>
      <c r="H25" s="43">
        <v>14210</v>
      </c>
      <c r="I25" s="43">
        <v>61</v>
      </c>
      <c r="J25" s="43">
        <v>76</v>
      </c>
      <c r="K25" s="43">
        <v>52</v>
      </c>
      <c r="L25" s="43">
        <v>817</v>
      </c>
      <c r="M25" s="44">
        <v>6451</v>
      </c>
      <c r="N25" s="44">
        <v>6344</v>
      </c>
      <c r="O25" s="45">
        <v>6287</v>
      </c>
      <c r="P25" s="45">
        <v>6236</v>
      </c>
      <c r="Q25" s="46">
        <v>6246</v>
      </c>
      <c r="R25" s="105">
        <v>34.532608695652172</v>
      </c>
      <c r="S25" s="105">
        <v>34.507817661308081</v>
      </c>
      <c r="T25" s="105">
        <v>35.995886184436067</v>
      </c>
      <c r="U25" s="105">
        <v>36.116791638264033</v>
      </c>
      <c r="V25" s="105">
        <v>36.002284408909198</v>
      </c>
      <c r="W25" s="105">
        <v>27.086956521739129</v>
      </c>
      <c r="X25" s="105">
        <v>26.51398370402995</v>
      </c>
      <c r="Y25" s="105">
        <v>29.768026511255858</v>
      </c>
      <c r="Z25" s="105">
        <v>29.220631674619405</v>
      </c>
      <c r="AA25" s="105">
        <v>29.708737864077669</v>
      </c>
      <c r="AB25" s="105">
        <v>61.619565217391305</v>
      </c>
      <c r="AC25" s="105">
        <v>61.021801365338028</v>
      </c>
      <c r="AD25" s="105">
        <v>65.763912695691914</v>
      </c>
      <c r="AE25" s="105">
        <v>65.337423312883431</v>
      </c>
      <c r="AF25" s="105">
        <v>65.711022272986867</v>
      </c>
      <c r="AG25" s="46">
        <v>5.3030303030303028</v>
      </c>
      <c r="AH25" s="46">
        <v>6.1825192802056552</v>
      </c>
      <c r="AI25" s="46">
        <v>9.5348837209302317</v>
      </c>
      <c r="AJ25" s="46">
        <v>7.9332996462860033</v>
      </c>
      <c r="AK25" s="45">
        <v>7.0453981642272385</v>
      </c>
      <c r="AL25" s="49">
        <v>301.08333333333331</v>
      </c>
      <c r="AM25" s="49">
        <v>310.16666666666669</v>
      </c>
      <c r="AN25" s="49">
        <v>415.83333333333331</v>
      </c>
      <c r="AO25" s="49">
        <v>310.16666666666669</v>
      </c>
      <c r="AP25" s="49">
        <v>630.16666666666663</v>
      </c>
      <c r="AQ25" s="49">
        <v>41213.600857844183</v>
      </c>
      <c r="AR25" s="49">
        <v>48050.913442152225</v>
      </c>
      <c r="AS25" s="49">
        <v>46403.959503406186</v>
      </c>
      <c r="AT25" s="49">
        <v>42619.12618697204</v>
      </c>
      <c r="AU25" s="49">
        <v>46913.082437275989</v>
      </c>
      <c r="AV25" s="101">
        <v>44903.831105130652</v>
      </c>
      <c r="AW25" s="101">
        <v>45056.127011699791</v>
      </c>
      <c r="AX25" s="102">
        <v>45841.896539990768</v>
      </c>
      <c r="AY25" s="102">
        <v>46054.23219264776</v>
      </c>
      <c r="AZ25" s="102">
        <v>43567</v>
      </c>
      <c r="BA25" s="99">
        <v>11.096469935501769</v>
      </c>
      <c r="BB25" s="99">
        <v>10.699675553674707</v>
      </c>
      <c r="BC25" s="99">
        <v>13.222317107884999</v>
      </c>
      <c r="BD25" s="99">
        <v>10.756183745583039</v>
      </c>
      <c r="BE25" s="99">
        <v>13.586533701110405</v>
      </c>
      <c r="BF25" s="99">
        <v>14.921549791866795</v>
      </c>
      <c r="BG25" s="99">
        <v>14.802411252511721</v>
      </c>
      <c r="BH25" s="48">
        <v>18.500797448165869</v>
      </c>
      <c r="BI25" s="48">
        <v>18.397915988277433</v>
      </c>
      <c r="BJ25" s="48">
        <v>20.860495436766623</v>
      </c>
      <c r="BK25" s="44">
        <v>1971</v>
      </c>
      <c r="BL25" s="44">
        <v>1930</v>
      </c>
      <c r="BM25" s="44">
        <v>1896</v>
      </c>
      <c r="BN25" s="42">
        <v>1849</v>
      </c>
      <c r="BO25" s="45">
        <v>41.146626078132925</v>
      </c>
      <c r="BP25" s="45">
        <v>45.233160621761655</v>
      </c>
      <c r="BQ25" s="45">
        <v>47.573839662447256</v>
      </c>
      <c r="BR25" s="46">
        <v>45.916711736073552</v>
      </c>
      <c r="BS25" s="105">
        <v>3.5007610350076104</v>
      </c>
      <c r="BT25" s="105">
        <v>4.5077720207253886</v>
      </c>
      <c r="BU25" s="105">
        <v>3.428270042194093</v>
      </c>
      <c r="BV25" s="105">
        <v>3.5154137371552192</v>
      </c>
      <c r="BW25" s="45">
        <v>15.626585489599188</v>
      </c>
      <c r="BX25" s="45">
        <v>16.269430051813472</v>
      </c>
      <c r="BY25" s="45">
        <v>16.40295358649789</v>
      </c>
      <c r="BZ25" s="45">
        <v>15.575987020010817</v>
      </c>
      <c r="CA25" s="44">
        <v>78.212290502793294</v>
      </c>
      <c r="CB25" s="44">
        <v>78.804347826086953</v>
      </c>
      <c r="CC25" s="44">
        <v>80.213903743315512</v>
      </c>
      <c r="CD25" s="44">
        <v>72.459999999999994</v>
      </c>
      <c r="CE25" s="45">
        <v>1.1173184357541899</v>
      </c>
      <c r="CF25" s="45">
        <v>5.4347826086956523</v>
      </c>
      <c r="CG25" s="45">
        <v>3.2085561497326203</v>
      </c>
      <c r="CH25" s="45">
        <v>5.99</v>
      </c>
      <c r="CI25" s="48">
        <v>826</v>
      </c>
      <c r="CJ25" s="51">
        <v>772</v>
      </c>
      <c r="CK25" s="51">
        <v>828</v>
      </c>
      <c r="CL25" s="57">
        <v>772</v>
      </c>
      <c r="CM25" s="108">
        <v>9.9918951939709917</v>
      </c>
      <c r="CN25" s="108">
        <v>9.5216951577493276</v>
      </c>
      <c r="CO25" s="108">
        <v>10.602742883485076</v>
      </c>
      <c r="CP25" s="108">
        <v>10.56665754174651</v>
      </c>
      <c r="CQ25" s="60">
        <v>33</v>
      </c>
      <c r="CR25" s="60">
        <v>31</v>
      </c>
      <c r="CS25" s="60">
        <v>38</v>
      </c>
      <c r="CT25" s="60">
        <v>31</v>
      </c>
      <c r="CU25" s="108">
        <v>4.0490797546012267</v>
      </c>
      <c r="CV25" s="108">
        <v>4.1554959785522785</v>
      </c>
      <c r="CW25" s="108">
        <v>4.8717948717948714</v>
      </c>
      <c r="CX25" s="108">
        <v>4.144385026737968</v>
      </c>
      <c r="CY25" s="61">
        <v>54</v>
      </c>
      <c r="CZ25" s="57">
        <v>61</v>
      </c>
      <c r="DA25" s="60">
        <v>50</v>
      </c>
      <c r="DB25" s="60">
        <v>56</v>
      </c>
      <c r="DC25" s="108">
        <v>7.1808510638297873</v>
      </c>
      <c r="DD25" s="108">
        <v>8.7896253602305467</v>
      </c>
      <c r="DE25" s="108">
        <v>7.1736011477761839</v>
      </c>
      <c r="DF25" s="108">
        <v>8</v>
      </c>
      <c r="DG25" s="108">
        <v>85.19447929736512</v>
      </c>
      <c r="DH25" s="108">
        <v>85.61736770691995</v>
      </c>
      <c r="DI25" s="108">
        <v>90.389294403892947</v>
      </c>
      <c r="DJ25" s="108">
        <v>90.813648293963254</v>
      </c>
      <c r="DK25" s="108">
        <v>12.923462986198244</v>
      </c>
      <c r="DL25" s="108">
        <v>14.863102998696219</v>
      </c>
      <c r="DM25" s="108">
        <v>14.043583535108958</v>
      </c>
      <c r="DN25" s="108">
        <v>16.990920881971466</v>
      </c>
      <c r="DO25" s="108">
        <v>21.912832929782084</v>
      </c>
      <c r="DP25" s="108">
        <v>28.238341968911918</v>
      </c>
      <c r="DQ25" s="108">
        <v>32.729468599033815</v>
      </c>
      <c r="DR25" s="108">
        <v>40.985732814526585</v>
      </c>
      <c r="DS25" s="108">
        <v>35.624476110645432</v>
      </c>
      <c r="DT25" s="108">
        <v>32.455824017309773</v>
      </c>
      <c r="DU25" s="108">
        <v>27.512839325018341</v>
      </c>
      <c r="DV25" s="108">
        <v>29.333333333333332</v>
      </c>
      <c r="DW25" s="62">
        <v>133</v>
      </c>
      <c r="DX25" s="62">
        <v>1</v>
      </c>
      <c r="DY25" s="57">
        <v>1</v>
      </c>
      <c r="DZ25" s="60">
        <v>1</v>
      </c>
      <c r="EA25" s="60">
        <v>8</v>
      </c>
      <c r="EB25" s="60">
        <v>6</v>
      </c>
      <c r="EC25" s="60">
        <v>8</v>
      </c>
      <c r="ED25" s="57">
        <v>2</v>
      </c>
      <c r="EE25" s="60">
        <v>4</v>
      </c>
      <c r="EF25" s="60">
        <v>1061</v>
      </c>
      <c r="EG25" s="60">
        <v>1078</v>
      </c>
      <c r="EH25" s="60">
        <v>1055</v>
      </c>
      <c r="EI25" s="60">
        <v>925</v>
      </c>
      <c r="EJ25" s="115">
        <v>197</v>
      </c>
      <c r="EK25" s="115">
        <v>1</v>
      </c>
      <c r="EL25" s="115">
        <v>1</v>
      </c>
      <c r="EM25" s="115">
        <v>1</v>
      </c>
      <c r="EN25" s="115">
        <v>0</v>
      </c>
      <c r="EO25" s="108">
        <v>1283.4625666831989</v>
      </c>
      <c r="EP25" s="108">
        <v>1329.5838575199191</v>
      </c>
      <c r="EQ25" s="108">
        <v>1350.9533504923618</v>
      </c>
      <c r="ER25" s="108">
        <v>1266.082671776622</v>
      </c>
      <c r="ES25" s="108">
        <v>777.70877345257418</v>
      </c>
      <c r="ET25" s="108">
        <v>731.5414439564388</v>
      </c>
      <c r="EU25" s="108">
        <v>714.51157063590176</v>
      </c>
      <c r="EV25" s="108">
        <v>668.29114896101578</v>
      </c>
      <c r="EW25" s="108">
        <v>1018.8293918231352</v>
      </c>
      <c r="EX25" s="108">
        <v>873.76350553371196</v>
      </c>
      <c r="EY25" s="108">
        <v>872.70447661060348</v>
      </c>
      <c r="EZ25" s="108">
        <v>860.68369001210579</v>
      </c>
      <c r="FA25" s="108">
        <v>607.29021206687889</v>
      </c>
      <c r="FB25" s="108">
        <v>620.80018737833302</v>
      </c>
      <c r="FC25" s="108">
        <v>593.18023574484687</v>
      </c>
      <c r="FD25" s="108">
        <v>504.17035364294588</v>
      </c>
      <c r="FE25" s="57">
        <v>216</v>
      </c>
      <c r="FF25" s="62">
        <v>220</v>
      </c>
      <c r="FG25" s="62">
        <v>217</v>
      </c>
      <c r="FH25" s="62">
        <v>200</v>
      </c>
      <c r="FI25" s="108">
        <v>166.0575899193079</v>
      </c>
      <c r="FJ25" s="108">
        <v>160.68461415371985</v>
      </c>
      <c r="FK25" s="108">
        <v>167.86087464959928</v>
      </c>
      <c r="FL25" s="108">
        <v>160.65604694080983</v>
      </c>
      <c r="FM25" s="62">
        <v>344</v>
      </c>
      <c r="FN25" s="62">
        <v>333</v>
      </c>
      <c r="FO25" s="57">
        <v>328</v>
      </c>
      <c r="FP25" s="62">
        <v>227</v>
      </c>
      <c r="FQ25" s="108">
        <v>238.17945986224782</v>
      </c>
      <c r="FR25" s="108">
        <v>221.96113142012291</v>
      </c>
      <c r="FS25" s="108">
        <v>209.52584782297819</v>
      </c>
      <c r="FT25" s="108">
        <v>148.5155531631203</v>
      </c>
      <c r="FU25" s="60">
        <v>78</v>
      </c>
      <c r="FV25" s="60">
        <v>84</v>
      </c>
      <c r="FW25" s="60">
        <v>82</v>
      </c>
      <c r="FX25" s="60">
        <v>56</v>
      </c>
      <c r="FY25" s="108">
        <v>52.956138118910019</v>
      </c>
      <c r="FZ25" s="108">
        <v>50.892460600774591</v>
      </c>
      <c r="GA25" s="108">
        <v>49.373843199411596</v>
      </c>
      <c r="GB25" s="108">
        <v>34.587397455874267</v>
      </c>
      <c r="GC25" s="63">
        <v>42</v>
      </c>
      <c r="GD25" s="64">
        <v>35</v>
      </c>
      <c r="GE25" s="63">
        <v>40</v>
      </c>
      <c r="GF25" s="63">
        <v>42</v>
      </c>
      <c r="GG25" s="112">
        <v>41.111669158751695</v>
      </c>
      <c r="GH25" s="112">
        <v>30.599838586330694</v>
      </c>
      <c r="GI25" s="112">
        <v>36.562770911151887</v>
      </c>
      <c r="GJ25" s="112">
        <v>37.603045478431405</v>
      </c>
      <c r="GK25" s="63"/>
      <c r="GL25" s="63"/>
      <c r="GM25" s="63"/>
      <c r="GN25" s="64"/>
      <c r="GO25" s="63"/>
      <c r="GP25" s="63"/>
      <c r="GQ25" s="63"/>
      <c r="GR25" s="63"/>
      <c r="GS25" s="64"/>
      <c r="GT25" s="63"/>
      <c r="GU25" s="63"/>
      <c r="GV25" s="63"/>
      <c r="GW25" s="63"/>
      <c r="GX25" s="64"/>
      <c r="GY25" s="64"/>
      <c r="GZ25" s="64"/>
      <c r="HA25" s="64"/>
      <c r="HB25" s="64"/>
      <c r="HC25" s="64"/>
      <c r="HD25" s="65"/>
      <c r="HE25" s="65"/>
      <c r="HF25" s="65"/>
      <c r="HG25" s="65"/>
      <c r="HH25" s="65"/>
      <c r="HI25" s="66"/>
      <c r="HJ25" s="66"/>
      <c r="HK25" s="63"/>
      <c r="HL25" s="64"/>
      <c r="HM25" s="64"/>
      <c r="HN25" s="64"/>
      <c r="HO25" s="64"/>
      <c r="HP25" s="64"/>
      <c r="HQ25" s="64"/>
      <c r="HR25" s="64"/>
      <c r="HS25" s="64"/>
      <c r="HT25" s="64"/>
      <c r="HU25" s="39"/>
    </row>
    <row r="26" spans="1:229" x14ac:dyDescent="0.2">
      <c r="A26" s="37">
        <v>23</v>
      </c>
      <c r="B26" s="86" t="s">
        <v>81</v>
      </c>
      <c r="C26" s="93">
        <v>21037</v>
      </c>
      <c r="D26" s="93">
        <v>20850</v>
      </c>
      <c r="E26" s="93">
        <v>20838</v>
      </c>
      <c r="F26" s="93">
        <v>20866</v>
      </c>
      <c r="G26" s="93">
        <v>20876</v>
      </c>
      <c r="H26" s="43">
        <v>20551</v>
      </c>
      <c r="I26" s="43">
        <v>55</v>
      </c>
      <c r="J26" s="43">
        <v>36</v>
      </c>
      <c r="K26" s="43">
        <v>79</v>
      </c>
      <c r="L26" s="43">
        <v>212</v>
      </c>
      <c r="M26" s="44">
        <v>8549</v>
      </c>
      <c r="N26" s="44">
        <v>8518</v>
      </c>
      <c r="O26" s="45">
        <v>8528</v>
      </c>
      <c r="P26" s="45">
        <v>8545</v>
      </c>
      <c r="Q26" s="46">
        <v>8580</v>
      </c>
      <c r="R26" s="105">
        <v>28.985070125169656</v>
      </c>
      <c r="S26" s="105">
        <v>29.242124486379545</v>
      </c>
      <c r="T26" s="105">
        <v>30.1010101010101</v>
      </c>
      <c r="U26" s="105">
        <v>31.513432600646027</v>
      </c>
      <c r="V26" s="105">
        <v>32.103233928711937</v>
      </c>
      <c r="W26" s="105">
        <v>29.641079776805913</v>
      </c>
      <c r="X26" s="105">
        <v>29.409526708263581</v>
      </c>
      <c r="Y26" s="105">
        <v>31.810411810411811</v>
      </c>
      <c r="Z26" s="105">
        <v>32.876388560623965</v>
      </c>
      <c r="AA26" s="105">
        <v>32.158313006530804</v>
      </c>
      <c r="AB26" s="105">
        <v>58.626149901975566</v>
      </c>
      <c r="AC26" s="105">
        <v>58.651651194643129</v>
      </c>
      <c r="AD26" s="105">
        <v>61.911421911421911</v>
      </c>
      <c r="AE26" s="105">
        <v>64.389821161269992</v>
      </c>
      <c r="AF26" s="105">
        <v>64.261546935242748</v>
      </c>
      <c r="AG26" s="46">
        <v>5.1463349145260899</v>
      </c>
      <c r="AH26" s="46">
        <v>6.0303333030605755</v>
      </c>
      <c r="AI26" s="46">
        <v>8.4041047416843604</v>
      </c>
      <c r="AJ26" s="46">
        <v>7.3719606828763578</v>
      </c>
      <c r="AK26" s="45">
        <v>6.5791731000171554</v>
      </c>
      <c r="AL26" s="49">
        <v>354.91666666666669</v>
      </c>
      <c r="AM26" s="49">
        <v>369.41666666666669</v>
      </c>
      <c r="AN26" s="49">
        <v>518.5</v>
      </c>
      <c r="AO26" s="49">
        <v>369.41666666666669</v>
      </c>
      <c r="AP26" s="49">
        <v>727.41666666666663</v>
      </c>
      <c r="AQ26" s="49">
        <v>34830.16242855259</v>
      </c>
      <c r="AR26" s="49">
        <v>35682.101887250305</v>
      </c>
      <c r="AS26" s="49">
        <v>34700.465019675852</v>
      </c>
      <c r="AT26" s="49">
        <v>37047.896490841726</v>
      </c>
      <c r="AU26" s="49">
        <v>38184.853420195439</v>
      </c>
      <c r="AV26" s="101">
        <v>47491.244726104691</v>
      </c>
      <c r="AW26" s="101">
        <v>47325.336024114855</v>
      </c>
      <c r="AX26" s="102">
        <v>49653.142455613714</v>
      </c>
      <c r="AY26" s="102">
        <v>46911.462945298452</v>
      </c>
      <c r="AZ26" s="102">
        <v>47241</v>
      </c>
      <c r="BA26" s="99">
        <v>10.777333463376573</v>
      </c>
      <c r="BB26" s="99">
        <v>10.760147601476016</v>
      </c>
      <c r="BC26" s="99">
        <v>12.709985713581951</v>
      </c>
      <c r="BD26" s="99">
        <v>12.423665054472616</v>
      </c>
      <c r="BE26" s="99">
        <v>12.231058203639558</v>
      </c>
      <c r="BF26" s="99">
        <v>14.408690305390449</v>
      </c>
      <c r="BG26" s="99">
        <v>13.839379324806039</v>
      </c>
      <c r="BH26" s="48">
        <v>17.160120845921451</v>
      </c>
      <c r="BI26" s="48">
        <v>18.630191693290733</v>
      </c>
      <c r="BJ26" s="48">
        <v>17.872427144895049</v>
      </c>
      <c r="BK26" s="44">
        <v>2624</v>
      </c>
      <c r="BL26" s="44">
        <v>2561</v>
      </c>
      <c r="BM26" s="44">
        <v>2463</v>
      </c>
      <c r="BN26" s="42">
        <v>2432</v>
      </c>
      <c r="BO26" s="45">
        <v>31.516768292682926</v>
      </c>
      <c r="BP26" s="45">
        <v>37.797735259664194</v>
      </c>
      <c r="BQ26" s="45">
        <v>39.017458384084449</v>
      </c>
      <c r="BR26" s="46">
        <v>37.45888157894737</v>
      </c>
      <c r="BS26" s="105">
        <v>0</v>
      </c>
      <c r="BT26" s="105">
        <v>0</v>
      </c>
      <c r="BU26" s="105">
        <v>0</v>
      </c>
      <c r="BV26" s="105">
        <v>0</v>
      </c>
      <c r="BW26" s="45">
        <v>11.814024390243903</v>
      </c>
      <c r="BX26" s="45">
        <v>12.377977352596641</v>
      </c>
      <c r="BY26" s="45">
        <v>12.829882257409663</v>
      </c>
      <c r="BZ26" s="45">
        <v>11.883223684210526</v>
      </c>
      <c r="CA26" s="44">
        <v>87.5</v>
      </c>
      <c r="CB26" s="44">
        <v>90.551181102362207</v>
      </c>
      <c r="CC26" s="44">
        <v>88.340807174887885</v>
      </c>
      <c r="CD26" s="44">
        <v>91</v>
      </c>
      <c r="CE26" s="45">
        <v>3.2142857142857144</v>
      </c>
      <c r="CF26" s="45">
        <v>2.3622047244094486</v>
      </c>
      <c r="CG26" s="45">
        <v>1.3452914798206279</v>
      </c>
      <c r="CH26" s="45">
        <v>2.5</v>
      </c>
      <c r="CI26" s="48">
        <v>1232</v>
      </c>
      <c r="CJ26" s="51">
        <v>1217</v>
      </c>
      <c r="CK26" s="51">
        <v>1385</v>
      </c>
      <c r="CL26" s="57">
        <v>1352</v>
      </c>
      <c r="CM26" s="108">
        <v>11.884779379136038</v>
      </c>
      <c r="CN26" s="108">
        <v>11.63457677673467</v>
      </c>
      <c r="CO26" s="108">
        <v>12.995908869121346</v>
      </c>
      <c r="CP26" s="108">
        <v>12.941885954416227</v>
      </c>
      <c r="CQ26" s="60">
        <v>50</v>
      </c>
      <c r="CR26" s="60">
        <v>55</v>
      </c>
      <c r="CS26" s="60">
        <v>65</v>
      </c>
      <c r="CT26" s="60">
        <v>53</v>
      </c>
      <c r="CU26" s="108">
        <v>4.1597337770382694</v>
      </c>
      <c r="CV26" s="108">
        <v>4.6888320545609545</v>
      </c>
      <c r="CW26" s="108">
        <v>4.9019607843137258</v>
      </c>
      <c r="CX26" s="108">
        <v>4.0613026819923368</v>
      </c>
      <c r="CY26" s="61">
        <v>77</v>
      </c>
      <c r="CZ26" s="57">
        <v>67</v>
      </c>
      <c r="DA26" s="60">
        <v>96</v>
      </c>
      <c r="DB26" s="60">
        <v>88</v>
      </c>
      <c r="DC26" s="108">
        <v>7.3613766730401533</v>
      </c>
      <c r="DD26" s="108">
        <v>7.1657754010695189</v>
      </c>
      <c r="DE26" s="108">
        <v>7.849550286181521</v>
      </c>
      <c r="DF26" s="108">
        <v>7.096774193548387</v>
      </c>
      <c r="DG26" s="108">
        <v>80.969807868252516</v>
      </c>
      <c r="DH26" s="108">
        <v>83.624031007751938</v>
      </c>
      <c r="DI26" s="108">
        <v>82.904689863842663</v>
      </c>
      <c r="DJ26" s="108">
        <v>80.721003134796234</v>
      </c>
      <c r="DK26" s="108">
        <v>13.482142857142858</v>
      </c>
      <c r="DL26" s="108">
        <v>12.401746724890829</v>
      </c>
      <c r="DM26" s="108">
        <v>9.8312545854732214</v>
      </c>
      <c r="DN26" s="108">
        <v>11.195158850226928</v>
      </c>
      <c r="DO26" s="108">
        <v>18.993506493506494</v>
      </c>
      <c r="DP26" s="108">
        <v>19.91769547325103</v>
      </c>
      <c r="DQ26" s="108">
        <v>21.371841155234659</v>
      </c>
      <c r="DR26" s="108">
        <v>24.278312361213917</v>
      </c>
      <c r="DS26" s="108">
        <v>29.298609055933706</v>
      </c>
      <c r="DT26" s="108">
        <v>21.115745568300312</v>
      </c>
      <c r="DU26" s="108">
        <v>18.649193548387096</v>
      </c>
      <c r="DV26" s="108">
        <v>18.438490348602709</v>
      </c>
      <c r="DW26" s="62">
        <v>252</v>
      </c>
      <c r="DX26" s="62">
        <v>1</v>
      </c>
      <c r="DY26" s="57">
        <v>1</v>
      </c>
      <c r="DZ26" s="60">
        <v>1</v>
      </c>
      <c r="EA26" s="60">
        <v>2</v>
      </c>
      <c r="EB26" s="60">
        <v>5</v>
      </c>
      <c r="EC26" s="60">
        <v>7</v>
      </c>
      <c r="ED26" s="57">
        <v>11</v>
      </c>
      <c r="EE26" s="60">
        <v>2</v>
      </c>
      <c r="EF26" s="60">
        <v>1325</v>
      </c>
      <c r="EG26" s="60">
        <v>1261</v>
      </c>
      <c r="EH26" s="60">
        <v>1242</v>
      </c>
      <c r="EI26" s="60">
        <v>1113</v>
      </c>
      <c r="EJ26" s="115">
        <v>232</v>
      </c>
      <c r="EK26" s="115">
        <v>0</v>
      </c>
      <c r="EL26" s="115">
        <v>0</v>
      </c>
      <c r="EM26" s="115">
        <v>0</v>
      </c>
      <c r="EN26" s="115">
        <v>1</v>
      </c>
      <c r="EO26" s="108">
        <v>1278.1925874476665</v>
      </c>
      <c r="EP26" s="108">
        <v>1205.5218829467888</v>
      </c>
      <c r="EQ26" s="108">
        <v>1165.4093007544195</v>
      </c>
      <c r="ER26" s="108">
        <v>1065.4082150344127</v>
      </c>
      <c r="ES26" s="108">
        <v>783.61249206779371</v>
      </c>
      <c r="ET26" s="108">
        <v>739.48509704755236</v>
      </c>
      <c r="EU26" s="108">
        <v>702.60786597615652</v>
      </c>
      <c r="EV26" s="108">
        <v>628.75011914724291</v>
      </c>
      <c r="EW26" s="108">
        <v>945.35564451807852</v>
      </c>
      <c r="EX26" s="108">
        <v>933.45833127278092</v>
      </c>
      <c r="EY26" s="108">
        <v>879.83804002109525</v>
      </c>
      <c r="EZ26" s="108">
        <v>796.19860615687321</v>
      </c>
      <c r="FA26" s="108">
        <v>656.4073884733906</v>
      </c>
      <c r="FB26" s="108">
        <v>581.269196086232</v>
      </c>
      <c r="FC26" s="108">
        <v>558.48651034937564</v>
      </c>
      <c r="FD26" s="108">
        <v>502.94402521937536</v>
      </c>
      <c r="FE26" s="57">
        <v>269</v>
      </c>
      <c r="FF26" s="62">
        <v>262</v>
      </c>
      <c r="FG26" s="62">
        <v>266</v>
      </c>
      <c r="FH26" s="62">
        <v>257</v>
      </c>
      <c r="FI26" s="108">
        <v>172.64543775143662</v>
      </c>
      <c r="FJ26" s="108">
        <v>168.05497104933301</v>
      </c>
      <c r="FK26" s="108">
        <v>168.12401513628015</v>
      </c>
      <c r="FL26" s="108">
        <v>162.47369120598972</v>
      </c>
      <c r="FM26" s="62">
        <v>420</v>
      </c>
      <c r="FN26" s="62">
        <v>365</v>
      </c>
      <c r="FO26" s="57">
        <v>274</v>
      </c>
      <c r="FP26" s="62">
        <v>252</v>
      </c>
      <c r="FQ26" s="108">
        <v>233.327753081004</v>
      </c>
      <c r="FR26" s="108">
        <v>202.29784528666977</v>
      </c>
      <c r="FS26" s="108">
        <v>144.56354325419699</v>
      </c>
      <c r="FT26" s="108">
        <v>130.79979556415935</v>
      </c>
      <c r="FU26" s="60">
        <v>108</v>
      </c>
      <c r="FV26" s="60">
        <v>82</v>
      </c>
      <c r="FW26" s="60">
        <v>83</v>
      </c>
      <c r="FX26" s="60">
        <v>66</v>
      </c>
      <c r="FY26" s="108">
        <v>59.380534577953469</v>
      </c>
      <c r="FZ26" s="108">
        <v>43.592054487188136</v>
      </c>
      <c r="GA26" s="108">
        <v>42.063840061921013</v>
      </c>
      <c r="GB26" s="108">
        <v>32.301695705771593</v>
      </c>
      <c r="GC26" s="63">
        <v>44</v>
      </c>
      <c r="GD26" s="64">
        <v>58</v>
      </c>
      <c r="GE26" s="63">
        <v>71</v>
      </c>
      <c r="GF26" s="63">
        <v>70</v>
      </c>
      <c r="GG26" s="112">
        <v>38.398736376530003</v>
      </c>
      <c r="GH26" s="112">
        <v>48.024945435102168</v>
      </c>
      <c r="GI26" s="112">
        <v>47.54387987507949</v>
      </c>
      <c r="GJ26" s="112">
        <v>47.602505422692296</v>
      </c>
      <c r="GK26" s="63"/>
      <c r="GL26" s="63"/>
      <c r="GM26" s="63"/>
      <c r="GN26" s="64"/>
      <c r="GO26" s="63"/>
      <c r="GP26" s="63"/>
      <c r="GQ26" s="63"/>
      <c r="GR26" s="63"/>
      <c r="GS26" s="64"/>
      <c r="GT26" s="63"/>
      <c r="GU26" s="63"/>
      <c r="GV26" s="63"/>
      <c r="GW26" s="63"/>
      <c r="GX26" s="64"/>
      <c r="GY26" s="64"/>
      <c r="GZ26" s="64"/>
      <c r="HA26" s="64"/>
      <c r="HB26" s="64"/>
      <c r="HC26" s="64"/>
      <c r="HD26" s="65"/>
      <c r="HE26" s="65"/>
      <c r="HF26" s="65"/>
      <c r="HG26" s="65"/>
      <c r="HH26" s="65"/>
      <c r="HI26" s="66"/>
      <c r="HJ26" s="66"/>
      <c r="HK26" s="63"/>
      <c r="HL26" s="64"/>
      <c r="HM26" s="64"/>
      <c r="HN26" s="64"/>
      <c r="HO26" s="64"/>
      <c r="HP26" s="64"/>
      <c r="HQ26" s="64"/>
      <c r="HR26" s="64"/>
      <c r="HS26" s="64"/>
      <c r="HT26" s="64"/>
      <c r="HU26" s="39"/>
    </row>
    <row r="27" spans="1:229" x14ac:dyDescent="0.2">
      <c r="A27" s="37">
        <v>24</v>
      </c>
      <c r="B27" s="86" t="s">
        <v>82</v>
      </c>
      <c r="C27" s="93">
        <v>31257</v>
      </c>
      <c r="D27" s="93">
        <v>30927</v>
      </c>
      <c r="E27" s="93">
        <v>31002</v>
      </c>
      <c r="F27" s="93">
        <v>31255</v>
      </c>
      <c r="G27" s="93">
        <v>31172</v>
      </c>
      <c r="H27" s="43">
        <v>30084</v>
      </c>
      <c r="I27" s="43">
        <v>301</v>
      </c>
      <c r="J27" s="43">
        <v>100</v>
      </c>
      <c r="K27" s="43">
        <v>345</v>
      </c>
      <c r="L27" s="43">
        <v>2700</v>
      </c>
      <c r="M27" s="44">
        <v>13444</v>
      </c>
      <c r="N27" s="44">
        <v>13393</v>
      </c>
      <c r="O27" s="45">
        <v>13374</v>
      </c>
      <c r="P27" s="45">
        <v>13177</v>
      </c>
      <c r="Q27" s="46">
        <v>13195</v>
      </c>
      <c r="R27" s="105">
        <v>30.279911075181893</v>
      </c>
      <c r="S27" s="105">
        <v>30.726371210959464</v>
      </c>
      <c r="T27" s="105">
        <v>31.419441294711884</v>
      </c>
      <c r="U27" s="105">
        <v>32.746807848022421</v>
      </c>
      <c r="V27" s="105">
        <v>32.918316315899148</v>
      </c>
      <c r="W27" s="105">
        <v>27.647534357316086</v>
      </c>
      <c r="X27" s="105">
        <v>27.36287890405357</v>
      </c>
      <c r="Y27" s="105">
        <v>28.368209462941966</v>
      </c>
      <c r="Z27" s="105">
        <v>29.481988996159036</v>
      </c>
      <c r="AA27" s="105">
        <v>29.469681183579912</v>
      </c>
      <c r="AB27" s="105">
        <v>57.927445432497976</v>
      </c>
      <c r="AC27" s="105">
        <v>58.089250115013037</v>
      </c>
      <c r="AD27" s="105">
        <v>59.78765075765385</v>
      </c>
      <c r="AE27" s="105">
        <v>62.22879684418146</v>
      </c>
      <c r="AF27" s="105">
        <v>62.387997499479056</v>
      </c>
      <c r="AG27" s="46">
        <v>5.0003056421541663</v>
      </c>
      <c r="AH27" s="46">
        <v>5.6371503443232376</v>
      </c>
      <c r="AI27" s="46">
        <v>8.7515078407720139</v>
      </c>
      <c r="AJ27" s="46">
        <v>7.806046093983837</v>
      </c>
      <c r="AK27" s="45">
        <v>6.872790460782551</v>
      </c>
      <c r="AL27" s="49">
        <v>718.75</v>
      </c>
      <c r="AM27" s="49">
        <v>766.41666666666663</v>
      </c>
      <c r="AN27" s="49">
        <v>978.33333333333337</v>
      </c>
      <c r="AO27" s="49">
        <v>766.41666666666663</v>
      </c>
      <c r="AP27" s="49">
        <v>1370.6666666666667</v>
      </c>
      <c r="AQ27" s="49">
        <v>35434.409169862127</v>
      </c>
      <c r="AR27" s="49">
        <v>37143.681859376622</v>
      </c>
      <c r="AS27" s="49">
        <v>36543.746853612349</v>
      </c>
      <c r="AT27" s="49">
        <v>37604.433074196379</v>
      </c>
      <c r="AU27" s="49">
        <v>39052.290517130758</v>
      </c>
      <c r="AV27" s="101">
        <v>45503.763906974949</v>
      </c>
      <c r="AW27" s="101">
        <v>48680.383947274306</v>
      </c>
      <c r="AX27" s="102">
        <v>46366.139444478104</v>
      </c>
      <c r="AY27" s="102">
        <v>43583.633332721867</v>
      </c>
      <c r="AZ27" s="102">
        <v>44352</v>
      </c>
      <c r="BA27" s="99">
        <v>8.7294868455326906</v>
      </c>
      <c r="BB27" s="99">
        <v>10.868349182323714</v>
      </c>
      <c r="BC27" s="99">
        <v>10.949096880131362</v>
      </c>
      <c r="BD27" s="99">
        <v>12.322414187269343</v>
      </c>
      <c r="BE27" s="99">
        <v>12.404723739736335</v>
      </c>
      <c r="BF27" s="99">
        <v>11.889692585895117</v>
      </c>
      <c r="BG27" s="99">
        <v>13.672176734126371</v>
      </c>
      <c r="BH27" s="48">
        <v>15.571776155717762</v>
      </c>
      <c r="BI27" s="48">
        <v>17.168405365126677</v>
      </c>
      <c r="BJ27" s="48">
        <v>17.330917874396135</v>
      </c>
      <c r="BK27" s="44">
        <v>4086</v>
      </c>
      <c r="BL27" s="44">
        <v>4117</v>
      </c>
      <c r="BM27" s="44">
        <v>4049</v>
      </c>
      <c r="BN27" s="42">
        <v>4069</v>
      </c>
      <c r="BO27" s="45">
        <v>40.137053352912382</v>
      </c>
      <c r="BP27" s="45">
        <v>43.259655088656785</v>
      </c>
      <c r="BQ27" s="45">
        <v>45.764386268214373</v>
      </c>
      <c r="BR27" s="46">
        <v>44.753010567707051</v>
      </c>
      <c r="BS27" s="105">
        <v>5.2129221732745963</v>
      </c>
      <c r="BT27" s="105">
        <v>5.392275929074569</v>
      </c>
      <c r="BU27" s="105">
        <v>5.6063225487774755</v>
      </c>
      <c r="BV27" s="105">
        <v>6.463504546571639</v>
      </c>
      <c r="BW27" s="45">
        <v>19.701419481155163</v>
      </c>
      <c r="BX27" s="45">
        <v>19.431624969638086</v>
      </c>
      <c r="BY27" s="45">
        <v>19.06643615707582</v>
      </c>
      <c r="BZ27" s="45">
        <v>19.095600884738264</v>
      </c>
      <c r="CA27" s="44">
        <v>75</v>
      </c>
      <c r="CB27" s="44">
        <v>77.317073170731703</v>
      </c>
      <c r="CC27" s="44">
        <v>69.747899159663859</v>
      </c>
      <c r="CD27" s="44">
        <v>67.41</v>
      </c>
      <c r="CE27" s="45">
        <v>8.791208791208792</v>
      </c>
      <c r="CF27" s="45">
        <v>9.2682926829268286</v>
      </c>
      <c r="CG27" s="45">
        <v>10.364145658263306</v>
      </c>
      <c r="CH27" s="45">
        <v>6.65</v>
      </c>
      <c r="CI27" s="48">
        <v>1753</v>
      </c>
      <c r="CJ27" s="51">
        <v>1791</v>
      </c>
      <c r="CK27" s="51">
        <v>1890</v>
      </c>
      <c r="CL27" s="57">
        <v>1828</v>
      </c>
      <c r="CM27" s="108">
        <v>10.84421569658466</v>
      </c>
      <c r="CN27" s="108">
        <v>11.213022382219439</v>
      </c>
      <c r="CO27" s="108">
        <v>11.841660087966618</v>
      </c>
      <c r="CP27" s="108">
        <v>11.747090538708205</v>
      </c>
      <c r="CQ27" s="60">
        <v>78</v>
      </c>
      <c r="CR27" s="60">
        <v>91</v>
      </c>
      <c r="CS27" s="60">
        <v>83</v>
      </c>
      <c r="CT27" s="60">
        <v>87</v>
      </c>
      <c r="CU27" s="108">
        <v>4.5990566037735849</v>
      </c>
      <c r="CV27" s="108">
        <v>5.2389176741508345</v>
      </c>
      <c r="CW27" s="108">
        <v>4.5479452054794525</v>
      </c>
      <c r="CX27" s="108">
        <v>4.9319727891156466</v>
      </c>
      <c r="CY27" s="61">
        <v>155</v>
      </c>
      <c r="CZ27" s="57">
        <v>123</v>
      </c>
      <c r="DA27" s="60">
        <v>111</v>
      </c>
      <c r="DB27" s="60">
        <v>127</v>
      </c>
      <c r="DC27" s="108">
        <v>9.7607052896725435</v>
      </c>
      <c r="DD27" s="108">
        <v>8.0867850098619325</v>
      </c>
      <c r="DE27" s="108">
        <v>7.079081632653061</v>
      </c>
      <c r="DF27" s="108">
        <v>7.9226450405489706</v>
      </c>
      <c r="DG27" s="108">
        <v>81.644815256257445</v>
      </c>
      <c r="DH27" s="108">
        <v>82.21574344023324</v>
      </c>
      <c r="DI27" s="108">
        <v>89.4456289978678</v>
      </c>
      <c r="DJ27" s="108">
        <v>85.745856353591165</v>
      </c>
      <c r="DK27" s="108">
        <v>16.705336426914155</v>
      </c>
      <c r="DL27" s="108">
        <v>13.382269904009034</v>
      </c>
      <c r="DM27" s="108">
        <v>11.452810180275716</v>
      </c>
      <c r="DN27" s="108">
        <v>16.912972085385878</v>
      </c>
      <c r="DO27" s="108">
        <v>29.640205596801827</v>
      </c>
      <c r="DP27" s="108">
        <v>34.561697375767729</v>
      </c>
      <c r="DQ27" s="108">
        <v>39.100529100529101</v>
      </c>
      <c r="DR27" s="108">
        <v>45.514223194748361</v>
      </c>
      <c r="DS27" s="108">
        <v>42.857142857142854</v>
      </c>
      <c r="DT27" s="108">
        <v>40.101156069364158</v>
      </c>
      <c r="DU27" s="108">
        <v>42.741479947279231</v>
      </c>
      <c r="DV27" s="108">
        <v>43.524191844496094</v>
      </c>
      <c r="DW27" s="62">
        <v>283</v>
      </c>
      <c r="DX27" s="62">
        <v>4</v>
      </c>
      <c r="DY27" s="57">
        <v>0</v>
      </c>
      <c r="DZ27" s="60">
        <v>6</v>
      </c>
      <c r="EA27" s="60">
        <v>50</v>
      </c>
      <c r="EB27" s="60">
        <v>16</v>
      </c>
      <c r="EC27" s="60">
        <v>13</v>
      </c>
      <c r="ED27" s="57">
        <v>12</v>
      </c>
      <c r="EE27" s="60">
        <v>11</v>
      </c>
      <c r="EF27" s="60">
        <v>1749</v>
      </c>
      <c r="EG27" s="60">
        <v>1863</v>
      </c>
      <c r="EH27" s="60">
        <v>1823</v>
      </c>
      <c r="EI27" s="60">
        <v>1758</v>
      </c>
      <c r="EJ27" s="115">
        <v>362</v>
      </c>
      <c r="EK27" s="115">
        <v>0</v>
      </c>
      <c r="EL27" s="115">
        <v>0</v>
      </c>
      <c r="EM27" s="115">
        <v>0</v>
      </c>
      <c r="EN27" s="115">
        <v>4</v>
      </c>
      <c r="EO27" s="108">
        <v>1081.9471336752179</v>
      </c>
      <c r="EP27" s="108">
        <v>1166.379715135389</v>
      </c>
      <c r="EQ27" s="108">
        <v>1142.1876370562511</v>
      </c>
      <c r="ER27" s="108">
        <v>1129.7256655934916</v>
      </c>
      <c r="ES27" s="108">
        <v>770.9561807504333</v>
      </c>
      <c r="ET27" s="108">
        <v>777.74712326588246</v>
      </c>
      <c r="EU27" s="108">
        <v>713.27503520977962</v>
      </c>
      <c r="EV27" s="108">
        <v>679.35707358350805</v>
      </c>
      <c r="EW27" s="108">
        <v>1055.29620946351</v>
      </c>
      <c r="EX27" s="108">
        <v>959.72661820928261</v>
      </c>
      <c r="EY27" s="108">
        <v>880.53565528993204</v>
      </c>
      <c r="EZ27" s="108">
        <v>808.53500508618049</v>
      </c>
      <c r="FA27" s="108">
        <v>585.29454089761782</v>
      </c>
      <c r="FB27" s="108">
        <v>648.02130923018308</v>
      </c>
      <c r="FC27" s="108">
        <v>579.60817729889152</v>
      </c>
      <c r="FD27" s="108">
        <v>576.31813626273924</v>
      </c>
      <c r="FE27" s="57">
        <v>401</v>
      </c>
      <c r="FF27" s="62">
        <v>402</v>
      </c>
      <c r="FG27" s="62">
        <v>395</v>
      </c>
      <c r="FH27" s="62">
        <v>430</v>
      </c>
      <c r="FI27" s="108">
        <v>180.82290754416485</v>
      </c>
      <c r="FJ27" s="108">
        <v>177.88748623754634</v>
      </c>
      <c r="FK27" s="108">
        <v>166.17615193963115</v>
      </c>
      <c r="FL27" s="108">
        <v>178.05766037646461</v>
      </c>
      <c r="FM27" s="62">
        <v>472</v>
      </c>
      <c r="FN27" s="62">
        <v>509</v>
      </c>
      <c r="FO27" s="57">
        <v>477</v>
      </c>
      <c r="FP27" s="62">
        <v>403</v>
      </c>
      <c r="FQ27" s="108">
        <v>202.52088480416344</v>
      </c>
      <c r="FR27" s="108">
        <v>206.45631402379308</v>
      </c>
      <c r="FS27" s="108">
        <v>176.738932443831</v>
      </c>
      <c r="FT27" s="108">
        <v>146.24012116877915</v>
      </c>
      <c r="FU27" s="60">
        <v>160</v>
      </c>
      <c r="FV27" s="60">
        <v>157</v>
      </c>
      <c r="FW27" s="60">
        <v>142</v>
      </c>
      <c r="FX27" s="60">
        <v>102</v>
      </c>
      <c r="FY27" s="108">
        <v>67.004411544784602</v>
      </c>
      <c r="FZ27" s="108">
        <v>61.734844492749829</v>
      </c>
      <c r="GA27" s="108">
        <v>48.160682414679286</v>
      </c>
      <c r="GB27" s="108">
        <v>36.140007538991824</v>
      </c>
      <c r="GC27" s="63">
        <v>54</v>
      </c>
      <c r="GD27" s="64">
        <v>53</v>
      </c>
      <c r="GE27" s="63">
        <v>67</v>
      </c>
      <c r="GF27" s="63">
        <v>81</v>
      </c>
      <c r="GG27" s="112">
        <v>30.14830577826341</v>
      </c>
      <c r="GH27" s="112">
        <v>28.539050317752817</v>
      </c>
      <c r="GI27" s="112">
        <v>34.640832188570776</v>
      </c>
      <c r="GJ27" s="112">
        <v>36.797987660622596</v>
      </c>
      <c r="GK27" s="63"/>
      <c r="GL27" s="63"/>
      <c r="GM27" s="63"/>
      <c r="GN27" s="64"/>
      <c r="GO27" s="63"/>
      <c r="GP27" s="63"/>
      <c r="GQ27" s="63"/>
      <c r="GR27" s="63"/>
      <c r="GS27" s="64"/>
      <c r="GT27" s="63"/>
      <c r="GU27" s="63"/>
      <c r="GV27" s="63"/>
      <c r="GW27" s="63"/>
      <c r="GX27" s="64"/>
      <c r="GY27" s="64"/>
      <c r="GZ27" s="64"/>
      <c r="HA27" s="64"/>
      <c r="HB27" s="64"/>
      <c r="HC27" s="64"/>
      <c r="HD27" s="65"/>
      <c r="HE27" s="65"/>
      <c r="HF27" s="65"/>
      <c r="HG27" s="65"/>
      <c r="HH27" s="65"/>
      <c r="HI27" s="66"/>
      <c r="HJ27" s="66"/>
      <c r="HK27" s="63"/>
      <c r="HL27" s="64"/>
      <c r="HM27" s="64"/>
      <c r="HN27" s="64"/>
      <c r="HO27" s="64"/>
      <c r="HP27" s="64"/>
      <c r="HQ27" s="64"/>
      <c r="HR27" s="64"/>
      <c r="HS27" s="64"/>
      <c r="HT27" s="64"/>
      <c r="HU27" s="39"/>
    </row>
    <row r="28" spans="1:229" x14ac:dyDescent="0.2">
      <c r="A28" s="37">
        <v>25</v>
      </c>
      <c r="B28" s="86" t="s">
        <v>83</v>
      </c>
      <c r="C28" s="93">
        <v>45839</v>
      </c>
      <c r="D28" s="93">
        <v>45897</v>
      </c>
      <c r="E28" s="93">
        <v>45836</v>
      </c>
      <c r="F28" s="93">
        <v>46183</v>
      </c>
      <c r="G28" s="93">
        <v>46217</v>
      </c>
      <c r="H28" s="43">
        <v>44157</v>
      </c>
      <c r="I28" s="43">
        <v>493</v>
      </c>
      <c r="J28" s="43">
        <v>592</v>
      </c>
      <c r="K28" s="43">
        <v>336</v>
      </c>
      <c r="L28" s="43">
        <v>1432</v>
      </c>
      <c r="M28" s="44">
        <v>18298</v>
      </c>
      <c r="N28" s="44">
        <v>18419</v>
      </c>
      <c r="O28" s="45">
        <v>18442</v>
      </c>
      <c r="P28" s="45">
        <v>18730</v>
      </c>
      <c r="Q28" s="46">
        <v>18803</v>
      </c>
      <c r="R28" s="105">
        <v>23.025774383620263</v>
      </c>
      <c r="S28" s="105">
        <v>23.557153222082977</v>
      </c>
      <c r="T28" s="105">
        <v>24.156849545607539</v>
      </c>
      <c r="U28" s="105">
        <v>25.67101615847475</v>
      </c>
      <c r="V28" s="105">
        <v>26.477261183163456</v>
      </c>
      <c r="W28" s="105">
        <v>27.864643339148753</v>
      </c>
      <c r="X28" s="105">
        <v>27.808192071763077</v>
      </c>
      <c r="Y28" s="105">
        <v>30.121171322786939</v>
      </c>
      <c r="Z28" s="105">
        <v>30.447569467919681</v>
      </c>
      <c r="AA28" s="105">
        <v>30.026074294808843</v>
      </c>
      <c r="AB28" s="105">
        <v>50.890417722769016</v>
      </c>
      <c r="AC28" s="105">
        <v>51.365345293846055</v>
      </c>
      <c r="AD28" s="105">
        <v>54.278020868394478</v>
      </c>
      <c r="AE28" s="105">
        <v>56.118585626394427</v>
      </c>
      <c r="AF28" s="105">
        <v>56.5033354779723</v>
      </c>
      <c r="AG28" s="46">
        <v>5.00459320206095</v>
      </c>
      <c r="AH28" s="46">
        <v>5.6233653007846556</v>
      </c>
      <c r="AI28" s="46">
        <v>7.9269710830296924</v>
      </c>
      <c r="AJ28" s="46">
        <v>7.1953741288197905</v>
      </c>
      <c r="AK28" s="45">
        <v>6.3185975609756095</v>
      </c>
      <c r="AL28" s="49">
        <v>653.66666666666663</v>
      </c>
      <c r="AM28" s="49">
        <v>686.16666666666663</v>
      </c>
      <c r="AN28" s="49">
        <v>854.66666666666663</v>
      </c>
      <c r="AO28" s="49">
        <v>686.16666666666663</v>
      </c>
      <c r="AP28" s="49">
        <v>1248.4166666666667</v>
      </c>
      <c r="AQ28" s="49">
        <v>39930.579966466721</v>
      </c>
      <c r="AR28" s="49">
        <v>40840.865416826513</v>
      </c>
      <c r="AS28" s="49">
        <v>39784.723985835088</v>
      </c>
      <c r="AT28" s="49">
        <v>41212.212789075144</v>
      </c>
      <c r="AU28" s="49">
        <v>42377.025769738408</v>
      </c>
      <c r="AV28" s="101">
        <v>60494.489866983051</v>
      </c>
      <c r="AW28" s="101">
        <v>57144.993256015943</v>
      </c>
      <c r="AX28" s="102">
        <v>59708.121363680853</v>
      </c>
      <c r="AY28" s="102">
        <v>57444.776080456395</v>
      </c>
      <c r="AZ28" s="102">
        <v>54724</v>
      </c>
      <c r="BA28" s="99">
        <v>7.8980891719745223</v>
      </c>
      <c r="BB28" s="99">
        <v>6.8791684325578286</v>
      </c>
      <c r="BC28" s="99">
        <v>7.5227963525835868</v>
      </c>
      <c r="BD28" s="99">
        <v>8.3007963293847755</v>
      </c>
      <c r="BE28" s="99">
        <v>9.1713560631137589</v>
      </c>
      <c r="BF28" s="99">
        <v>9.5881095783951817</v>
      </c>
      <c r="BG28" s="99">
        <v>8.4182673461387694</v>
      </c>
      <c r="BH28" s="48">
        <v>10.312177744445487</v>
      </c>
      <c r="BI28" s="48">
        <v>11.462413728781943</v>
      </c>
      <c r="BJ28" s="48">
        <v>12.831228036850604</v>
      </c>
      <c r="BK28" s="44">
        <v>6980</v>
      </c>
      <c r="BL28" s="44">
        <v>6920</v>
      </c>
      <c r="BM28" s="44">
        <v>6848</v>
      </c>
      <c r="BN28" s="42">
        <v>6816</v>
      </c>
      <c r="BO28" s="45">
        <v>21.246418338108882</v>
      </c>
      <c r="BP28" s="45">
        <v>24.580924855491329</v>
      </c>
      <c r="BQ28" s="45">
        <v>25.992990654205606</v>
      </c>
      <c r="BR28" s="46">
        <v>27.009976525821596</v>
      </c>
      <c r="BS28" s="105">
        <v>1.7478510028653296</v>
      </c>
      <c r="BT28" s="105">
        <v>1.9653179190751444</v>
      </c>
      <c r="BU28" s="105">
        <v>2.0735981308411215</v>
      </c>
      <c r="BV28" s="105">
        <v>1.9072769953051643</v>
      </c>
      <c r="BW28" s="45">
        <v>12.005730659025788</v>
      </c>
      <c r="BX28" s="45">
        <v>12.008670520231213</v>
      </c>
      <c r="BY28" s="45">
        <v>12.733644859813085</v>
      </c>
      <c r="BZ28" s="45">
        <v>13.23356807511737</v>
      </c>
      <c r="CA28" s="44">
        <v>86.885245901639351</v>
      </c>
      <c r="CB28" s="44">
        <v>82</v>
      </c>
      <c r="CC28" s="44">
        <v>86.81481481481481</v>
      </c>
      <c r="CD28" s="44">
        <v>86.28</v>
      </c>
      <c r="CE28" s="45">
        <v>2.3845007451564828</v>
      </c>
      <c r="CF28" s="45">
        <v>5.0769230769230766</v>
      </c>
      <c r="CG28" s="45">
        <v>4</v>
      </c>
      <c r="CH28" s="45">
        <v>4.42</v>
      </c>
      <c r="CI28" s="48">
        <v>2545</v>
      </c>
      <c r="CJ28" s="51">
        <v>2532</v>
      </c>
      <c r="CK28" s="51">
        <v>2821</v>
      </c>
      <c r="CL28" s="57">
        <v>2848</v>
      </c>
      <c r="CM28" s="108">
        <v>12.139337654842141</v>
      </c>
      <c r="CN28" s="108">
        <v>11.619529253036818</v>
      </c>
      <c r="CO28" s="108">
        <v>12.436955524988537</v>
      </c>
      <c r="CP28" s="108">
        <v>12.384116327205051</v>
      </c>
      <c r="CQ28" s="60">
        <v>107</v>
      </c>
      <c r="CR28" s="60">
        <v>104</v>
      </c>
      <c r="CS28" s="60">
        <v>137</v>
      </c>
      <c r="CT28" s="60">
        <v>107</v>
      </c>
      <c r="CU28" s="108">
        <v>4.3284789644012944</v>
      </c>
      <c r="CV28" s="108">
        <v>4.2379788101059495</v>
      </c>
      <c r="CW28" s="108">
        <v>5.0684424713281535</v>
      </c>
      <c r="CX28" s="108">
        <v>3.8754074610648317</v>
      </c>
      <c r="CY28" s="61">
        <v>148</v>
      </c>
      <c r="CZ28" s="57">
        <v>128</v>
      </c>
      <c r="DA28" s="60">
        <v>245</v>
      </c>
      <c r="DB28" s="60">
        <v>184</v>
      </c>
      <c r="DC28" s="108">
        <v>6.8933395435491382</v>
      </c>
      <c r="DD28" s="108">
        <v>6.0348892032060348</v>
      </c>
      <c r="DE28" s="108">
        <v>9.4924447888415351</v>
      </c>
      <c r="DF28" s="108">
        <v>6.9433962264150946</v>
      </c>
      <c r="DG28" s="108">
        <v>80.404551201011373</v>
      </c>
      <c r="DH28" s="108">
        <v>85.012386457473156</v>
      </c>
      <c r="DI28" s="108">
        <v>89.290830945558739</v>
      </c>
      <c r="DJ28" s="108">
        <v>88.944011339475551</v>
      </c>
      <c r="DK28" s="108">
        <v>15.499194847020934</v>
      </c>
      <c r="DL28" s="108">
        <v>14.671503426037887</v>
      </c>
      <c r="DM28" s="108">
        <v>12.276945039257672</v>
      </c>
      <c r="DN28" s="108">
        <v>13.514467184191956</v>
      </c>
      <c r="DO28" s="108">
        <v>22.043222003929273</v>
      </c>
      <c r="DP28" s="108">
        <v>24.259186092453575</v>
      </c>
      <c r="DQ28" s="108">
        <v>29.787234042553191</v>
      </c>
      <c r="DR28" s="108">
        <v>32.993675333801825</v>
      </c>
      <c r="DS28" s="108">
        <v>30.039646233607808</v>
      </c>
      <c r="DT28" s="108">
        <v>26.536487670547004</v>
      </c>
      <c r="DU28" s="108">
        <v>26.957163958641065</v>
      </c>
      <c r="DV28" s="108">
        <v>23.723137036003351</v>
      </c>
      <c r="DW28" s="62">
        <v>536</v>
      </c>
      <c r="DX28" s="62">
        <v>10</v>
      </c>
      <c r="DY28" s="57">
        <v>10</v>
      </c>
      <c r="DZ28" s="60">
        <v>4</v>
      </c>
      <c r="EA28" s="60">
        <v>22</v>
      </c>
      <c r="EB28" s="60">
        <v>33</v>
      </c>
      <c r="EC28" s="60">
        <v>20</v>
      </c>
      <c r="ED28" s="57">
        <v>11</v>
      </c>
      <c r="EE28" s="60">
        <v>12</v>
      </c>
      <c r="EF28" s="60">
        <v>2292</v>
      </c>
      <c r="EG28" s="60">
        <v>2254</v>
      </c>
      <c r="EH28" s="60">
        <v>2118</v>
      </c>
      <c r="EI28" s="60">
        <v>2285</v>
      </c>
      <c r="EJ28" s="115">
        <v>473</v>
      </c>
      <c r="EK28" s="115">
        <v>1</v>
      </c>
      <c r="EL28" s="115">
        <v>4</v>
      </c>
      <c r="EM28" s="115">
        <v>0</v>
      </c>
      <c r="EN28" s="115">
        <v>2</v>
      </c>
      <c r="EO28" s="108">
        <v>1093.2558705264514</v>
      </c>
      <c r="EP28" s="108">
        <v>1034.376735242693</v>
      </c>
      <c r="EQ28" s="108">
        <v>933.76362289704798</v>
      </c>
      <c r="ER28" s="108">
        <v>993.59922077470299</v>
      </c>
      <c r="ES28" s="108">
        <v>826.58811082744705</v>
      </c>
      <c r="ET28" s="108">
        <v>786.44631919364724</v>
      </c>
      <c r="EU28" s="108">
        <v>716.00169673174389</v>
      </c>
      <c r="EV28" s="108">
        <v>705.3579105482213</v>
      </c>
      <c r="EW28" s="108">
        <v>1030.0418601920614</v>
      </c>
      <c r="EX28" s="108">
        <v>950.25235601598979</v>
      </c>
      <c r="EY28" s="108">
        <v>871.98122054731539</v>
      </c>
      <c r="EZ28" s="108">
        <v>824.75205252446312</v>
      </c>
      <c r="FA28" s="108">
        <v>690.84081922380858</v>
      </c>
      <c r="FB28" s="108">
        <v>658.94584724812148</v>
      </c>
      <c r="FC28" s="108">
        <v>602.97936059825906</v>
      </c>
      <c r="FD28" s="108">
        <v>607.48819643176466</v>
      </c>
      <c r="FE28" s="57">
        <v>470</v>
      </c>
      <c r="FF28" s="62">
        <v>448</v>
      </c>
      <c r="FG28" s="62">
        <v>475</v>
      </c>
      <c r="FH28" s="62">
        <v>525</v>
      </c>
      <c r="FI28" s="108">
        <v>185.67962188428203</v>
      </c>
      <c r="FJ28" s="108">
        <v>171.07758044819298</v>
      </c>
      <c r="FK28" s="108">
        <v>170.34767661376151</v>
      </c>
      <c r="FL28" s="108">
        <v>171.04380908602107</v>
      </c>
      <c r="FM28" s="62">
        <v>702</v>
      </c>
      <c r="FN28" s="62">
        <v>564</v>
      </c>
      <c r="FO28" s="57">
        <v>465</v>
      </c>
      <c r="FP28" s="62">
        <v>428</v>
      </c>
      <c r="FQ28" s="108">
        <v>244.38523144591036</v>
      </c>
      <c r="FR28" s="108">
        <v>190.48736503702963</v>
      </c>
      <c r="FS28" s="108">
        <v>148.53391041826663</v>
      </c>
      <c r="FT28" s="108">
        <v>125.32415159136684</v>
      </c>
      <c r="FU28" s="60">
        <v>207</v>
      </c>
      <c r="FV28" s="60">
        <v>181</v>
      </c>
      <c r="FW28" s="60">
        <v>137</v>
      </c>
      <c r="FX28" s="60">
        <v>136</v>
      </c>
      <c r="FY28" s="108">
        <v>67.648124534410414</v>
      </c>
      <c r="FZ28" s="108">
        <v>58.097817013599411</v>
      </c>
      <c r="GA28" s="108">
        <v>44.604673380273212</v>
      </c>
      <c r="GB28" s="108">
        <v>39.274513815518326</v>
      </c>
      <c r="GC28" s="63">
        <v>75</v>
      </c>
      <c r="GD28" s="64">
        <v>135</v>
      </c>
      <c r="GE28" s="63">
        <v>147</v>
      </c>
      <c r="GF28" s="63">
        <v>158</v>
      </c>
      <c r="GG28" s="112">
        <v>32.403193902593387</v>
      </c>
      <c r="GH28" s="112">
        <v>52.835383563365951</v>
      </c>
      <c r="GI28" s="112">
        <v>54.377791934235688</v>
      </c>
      <c r="GJ28" s="112">
        <v>52.266117718962562</v>
      </c>
      <c r="GK28" s="63"/>
      <c r="GL28" s="63"/>
      <c r="GM28" s="63"/>
      <c r="GN28" s="64"/>
      <c r="GO28" s="63"/>
      <c r="GP28" s="63"/>
      <c r="GQ28" s="63"/>
      <c r="GR28" s="63"/>
      <c r="GS28" s="64"/>
      <c r="GT28" s="63"/>
      <c r="GU28" s="63"/>
      <c r="GV28" s="63"/>
      <c r="GW28" s="63"/>
      <c r="GX28" s="64"/>
      <c r="GY28" s="64"/>
      <c r="GZ28" s="64"/>
      <c r="HA28" s="64"/>
      <c r="HB28" s="64"/>
      <c r="HC28" s="64"/>
      <c r="HD28" s="65"/>
      <c r="HE28" s="65"/>
      <c r="HF28" s="65"/>
      <c r="HG28" s="65"/>
      <c r="HH28" s="65"/>
      <c r="HI28" s="66"/>
      <c r="HJ28" s="66"/>
      <c r="HK28" s="63"/>
      <c r="HL28" s="64"/>
      <c r="HM28" s="64"/>
      <c r="HN28" s="64"/>
      <c r="HO28" s="64"/>
      <c r="HP28" s="64"/>
      <c r="HQ28" s="64"/>
      <c r="HR28" s="64"/>
      <c r="HS28" s="64"/>
      <c r="HT28" s="64"/>
      <c r="HU28" s="39"/>
    </row>
    <row r="29" spans="1:229" x14ac:dyDescent="0.2">
      <c r="A29" s="37">
        <v>26</v>
      </c>
      <c r="B29" s="86" t="s">
        <v>84</v>
      </c>
      <c r="C29" s="93">
        <v>6021</v>
      </c>
      <c r="D29" s="93">
        <v>6005</v>
      </c>
      <c r="E29" s="93">
        <v>5835</v>
      </c>
      <c r="F29" s="93">
        <v>6018</v>
      </c>
      <c r="G29" s="93">
        <v>5989</v>
      </c>
      <c r="H29" s="43">
        <v>5864</v>
      </c>
      <c r="I29" s="43">
        <v>26</v>
      </c>
      <c r="J29" s="43">
        <v>11</v>
      </c>
      <c r="K29" s="43">
        <v>24</v>
      </c>
      <c r="L29" s="43">
        <v>105</v>
      </c>
      <c r="M29" s="44">
        <v>2517</v>
      </c>
      <c r="N29" s="44">
        <v>2521</v>
      </c>
      <c r="O29" s="45">
        <v>2473</v>
      </c>
      <c r="P29" s="45">
        <v>2601</v>
      </c>
      <c r="Q29" s="46">
        <v>2608</v>
      </c>
      <c r="R29" s="105">
        <v>38.683920704845818</v>
      </c>
      <c r="S29" s="105">
        <v>39.467849223946786</v>
      </c>
      <c r="T29" s="105">
        <v>38.42180774748924</v>
      </c>
      <c r="U29" s="105">
        <v>36.698762035763409</v>
      </c>
      <c r="V29" s="105">
        <v>36.115702479338843</v>
      </c>
      <c r="W29" s="105">
        <v>27.092511013215859</v>
      </c>
      <c r="X29" s="105">
        <v>26.967849223946786</v>
      </c>
      <c r="Y29" s="105">
        <v>29.010043041606888</v>
      </c>
      <c r="Z29" s="105">
        <v>28.858321870701513</v>
      </c>
      <c r="AA29" s="105">
        <v>28.87052341597796</v>
      </c>
      <c r="AB29" s="105">
        <v>65.776431718061673</v>
      </c>
      <c r="AC29" s="105">
        <v>66.435698447893571</v>
      </c>
      <c r="AD29" s="105">
        <v>67.431850789096131</v>
      </c>
      <c r="AE29" s="105">
        <v>65.557083906464925</v>
      </c>
      <c r="AF29" s="105">
        <v>64.986225895316807</v>
      </c>
      <c r="AG29" s="46">
        <v>5.9874297055904728</v>
      </c>
      <c r="AH29" s="46">
        <v>6.9843342036553526</v>
      </c>
      <c r="AI29" s="46">
        <v>8.6710650329877481</v>
      </c>
      <c r="AJ29" s="46">
        <v>8.2107843137254903</v>
      </c>
      <c r="AK29" s="45">
        <v>7.3844244492708659</v>
      </c>
      <c r="AL29" s="49">
        <v>129.41666666666666</v>
      </c>
      <c r="AM29" s="49">
        <v>136</v>
      </c>
      <c r="AN29" s="49">
        <v>163.66666666666666</v>
      </c>
      <c r="AO29" s="49">
        <v>136</v>
      </c>
      <c r="AP29" s="49">
        <v>247.33333333333334</v>
      </c>
      <c r="AQ29" s="49">
        <v>34677.114705193839</v>
      </c>
      <c r="AR29" s="49">
        <v>40281.794540162395</v>
      </c>
      <c r="AS29" s="49">
        <v>38298.982378938621</v>
      </c>
      <c r="AT29" s="49">
        <v>41312.56742165982</v>
      </c>
      <c r="AU29" s="49">
        <v>40435.631991985305</v>
      </c>
      <c r="AV29" s="101">
        <v>42619.096058685645</v>
      </c>
      <c r="AW29" s="101">
        <v>40256.520104225208</v>
      </c>
      <c r="AX29" s="102">
        <v>46070.466446347244</v>
      </c>
      <c r="AY29" s="102">
        <v>45429.103629342921</v>
      </c>
      <c r="AZ29" s="102">
        <v>43715</v>
      </c>
      <c r="BA29" s="99">
        <v>11.827038113143052</v>
      </c>
      <c r="BB29" s="99">
        <v>10.829335161069226</v>
      </c>
      <c r="BC29" s="99">
        <v>10.614623807841753</v>
      </c>
      <c r="BD29" s="99">
        <v>10.840520886182986</v>
      </c>
      <c r="BE29" s="99">
        <v>10.405703615684944</v>
      </c>
      <c r="BF29" s="99">
        <v>16.072908036454017</v>
      </c>
      <c r="BG29" s="99">
        <v>14.479254868755293</v>
      </c>
      <c r="BH29" s="48">
        <v>15.806451612903226</v>
      </c>
      <c r="BI29" s="48">
        <v>16.209866875489428</v>
      </c>
      <c r="BJ29" s="48">
        <v>16.334661354581673</v>
      </c>
      <c r="BK29" s="44">
        <v>1143</v>
      </c>
      <c r="BL29" s="44">
        <v>1092</v>
      </c>
      <c r="BM29" s="44">
        <v>1085</v>
      </c>
      <c r="BN29" s="42">
        <v>1065</v>
      </c>
      <c r="BO29" s="45">
        <v>37.620297462817149</v>
      </c>
      <c r="BP29" s="45">
        <v>37.912087912087912</v>
      </c>
      <c r="BQ29" s="45">
        <v>40.829493087557601</v>
      </c>
      <c r="BR29" s="46">
        <v>40.46948356807512</v>
      </c>
      <c r="BS29" s="105">
        <v>0</v>
      </c>
      <c r="BT29" s="105">
        <v>9.1575091575091569E-2</v>
      </c>
      <c r="BU29" s="105">
        <v>0</v>
      </c>
      <c r="BV29" s="105">
        <v>0</v>
      </c>
      <c r="BW29" s="45">
        <v>15.223097112860893</v>
      </c>
      <c r="BX29" s="45">
        <v>14.468864468864469</v>
      </c>
      <c r="BY29" s="45">
        <v>14.47004608294931</v>
      </c>
      <c r="BZ29" s="45">
        <v>13.52112676056338</v>
      </c>
      <c r="CA29" s="44">
        <v>92.156862745098039</v>
      </c>
      <c r="CB29" s="44">
        <v>95.91836734693878</v>
      </c>
      <c r="CC29" s="44">
        <v>89.247311827956992</v>
      </c>
      <c r="CD29" s="44">
        <v>86.9</v>
      </c>
      <c r="CE29" s="45">
        <v>3.9215686274509802</v>
      </c>
      <c r="CF29" s="45">
        <v>2.0408163265306123</v>
      </c>
      <c r="CG29" s="45">
        <v>1.075268817204301</v>
      </c>
      <c r="CH29" s="45">
        <v>1.19</v>
      </c>
      <c r="CI29" s="48">
        <v>328</v>
      </c>
      <c r="CJ29" s="51">
        <v>284</v>
      </c>
      <c r="CK29" s="51">
        <v>345</v>
      </c>
      <c r="CL29" s="57">
        <v>334</v>
      </c>
      <c r="CM29" s="108">
        <v>10.648659177975457</v>
      </c>
      <c r="CN29" s="108">
        <v>9.1731266149870798</v>
      </c>
      <c r="CO29" s="108">
        <v>11.198026550683242</v>
      </c>
      <c r="CP29" s="108">
        <v>11.182536493906522</v>
      </c>
      <c r="CQ29" s="60">
        <v>9</v>
      </c>
      <c r="CR29" s="60">
        <v>16</v>
      </c>
      <c r="CS29" s="60">
        <v>12</v>
      </c>
      <c r="CT29" s="60">
        <v>14</v>
      </c>
      <c r="CU29" s="108">
        <v>2.7950310559006213</v>
      </c>
      <c r="CV29" s="108">
        <v>5.9040590405904059</v>
      </c>
      <c r="CW29" s="108">
        <v>3.6036036036036037</v>
      </c>
      <c r="CX29" s="108">
        <v>4.3343653250773997</v>
      </c>
      <c r="CY29" s="61">
        <v>18</v>
      </c>
      <c r="CZ29" s="57">
        <v>23</v>
      </c>
      <c r="DA29" s="60">
        <v>16</v>
      </c>
      <c r="DB29" s="60">
        <v>18</v>
      </c>
      <c r="DC29" s="108">
        <v>6</v>
      </c>
      <c r="DD29" s="108">
        <v>8.5820895522388057</v>
      </c>
      <c r="DE29" s="108">
        <v>4.86322188449848</v>
      </c>
      <c r="DF29" s="108">
        <v>5.6603773584905657</v>
      </c>
      <c r="DG29" s="108">
        <v>82.958199356913184</v>
      </c>
      <c r="DH29" s="108">
        <v>87.544483985765126</v>
      </c>
      <c r="DI29" s="108">
        <v>92.173913043478265</v>
      </c>
      <c r="DJ29" s="108">
        <v>91.158536585365852</v>
      </c>
      <c r="DK29" s="108">
        <v>16.50793650793651</v>
      </c>
      <c r="DL29" s="108">
        <v>16.487455197132615</v>
      </c>
      <c r="DM29" s="108">
        <v>12.5</v>
      </c>
      <c r="DN29" s="108">
        <v>9.5808383233532926</v>
      </c>
      <c r="DO29" s="108">
        <v>19.877675840978593</v>
      </c>
      <c r="DP29" s="108">
        <v>20.070422535211268</v>
      </c>
      <c r="DQ29" s="108">
        <v>24.637681159420289</v>
      </c>
      <c r="DR29" s="108">
        <v>24.850299401197606</v>
      </c>
      <c r="DS29" s="108">
        <v>33.623910336239106</v>
      </c>
      <c r="DT29" s="108" t="s">
        <v>39</v>
      </c>
      <c r="DU29" s="108">
        <v>20.63628546861565</v>
      </c>
      <c r="DV29" s="108" t="s">
        <v>39</v>
      </c>
      <c r="DW29" s="62">
        <v>62</v>
      </c>
      <c r="DX29" s="62">
        <v>4</v>
      </c>
      <c r="DY29" s="57">
        <v>0</v>
      </c>
      <c r="DZ29" s="60">
        <v>1</v>
      </c>
      <c r="EA29" s="60">
        <v>2</v>
      </c>
      <c r="EB29" s="60">
        <v>4</v>
      </c>
      <c r="EC29" s="60">
        <v>0</v>
      </c>
      <c r="ED29" s="57">
        <v>0</v>
      </c>
      <c r="EE29" s="60">
        <v>1</v>
      </c>
      <c r="EF29" s="60">
        <v>453</v>
      </c>
      <c r="EG29" s="60">
        <v>443</v>
      </c>
      <c r="EH29" s="60">
        <v>438</v>
      </c>
      <c r="EI29" s="60">
        <v>390</v>
      </c>
      <c r="EJ29" s="115">
        <v>69</v>
      </c>
      <c r="EK29" s="115">
        <v>0</v>
      </c>
      <c r="EL29" s="115">
        <v>0</v>
      </c>
      <c r="EM29" s="115">
        <v>0</v>
      </c>
      <c r="EN29" s="115">
        <v>0</v>
      </c>
      <c r="EO29" s="108">
        <v>1470.6837218362443</v>
      </c>
      <c r="EP29" s="108">
        <v>1430.8785529715763</v>
      </c>
      <c r="EQ29" s="108">
        <v>1421.6625012171769</v>
      </c>
      <c r="ER29" s="108">
        <v>1305.7452792286058</v>
      </c>
      <c r="ES29" s="108">
        <v>787.23243430567811</v>
      </c>
      <c r="ET29" s="108">
        <v>776.1676799995771</v>
      </c>
      <c r="EU29" s="108">
        <v>720.82671924731392</v>
      </c>
      <c r="EV29" s="108">
        <v>687.40879430674215</v>
      </c>
      <c r="EW29" s="108">
        <v>1032.5016154830587</v>
      </c>
      <c r="EX29" s="108">
        <v>980.07451205330699</v>
      </c>
      <c r="EY29" s="108">
        <v>867.96380788346551</v>
      </c>
      <c r="EZ29" s="108">
        <v>852.41631500090739</v>
      </c>
      <c r="FA29" s="108">
        <v>601.51300647139578</v>
      </c>
      <c r="FB29" s="108">
        <v>613.70891846467725</v>
      </c>
      <c r="FC29" s="108">
        <v>594.3279044468876</v>
      </c>
      <c r="FD29" s="108">
        <v>551.28489861006153</v>
      </c>
      <c r="FE29" s="57">
        <v>99</v>
      </c>
      <c r="FF29" s="62">
        <v>79</v>
      </c>
      <c r="FG29" s="62">
        <v>91</v>
      </c>
      <c r="FH29" s="62">
        <v>99</v>
      </c>
      <c r="FI29" s="108">
        <v>184.98288303952955</v>
      </c>
      <c r="FJ29" s="108">
        <v>152.94240754261165</v>
      </c>
      <c r="FK29" s="108">
        <v>175.76184591472085</v>
      </c>
      <c r="FL29" s="108">
        <v>185.40838983681846</v>
      </c>
      <c r="FM29" s="62">
        <v>143</v>
      </c>
      <c r="FN29" s="62">
        <v>132</v>
      </c>
      <c r="FO29" s="57">
        <v>126</v>
      </c>
      <c r="FP29" s="62">
        <v>82</v>
      </c>
      <c r="FQ29" s="108">
        <v>233.92254083350775</v>
      </c>
      <c r="FR29" s="108">
        <v>220.15810250026703</v>
      </c>
      <c r="FS29" s="108">
        <v>194.57548593658817</v>
      </c>
      <c r="FT29" s="108">
        <v>127.97741552183342</v>
      </c>
      <c r="FU29" s="60">
        <v>29</v>
      </c>
      <c r="FV29" s="60">
        <v>37</v>
      </c>
      <c r="FW29" s="60">
        <v>24</v>
      </c>
      <c r="FX29" s="60">
        <v>20</v>
      </c>
      <c r="FY29" s="108">
        <v>45.693338819217473</v>
      </c>
      <c r="FZ29" s="108">
        <v>58.772374626892571</v>
      </c>
      <c r="GA29" s="108">
        <v>31.840687393109668</v>
      </c>
      <c r="GB29" s="108">
        <v>32.278226721441925</v>
      </c>
      <c r="GC29" s="63">
        <v>14</v>
      </c>
      <c r="GD29" s="64">
        <v>21</v>
      </c>
      <c r="GE29" s="63">
        <v>16</v>
      </c>
      <c r="GF29" s="63">
        <v>19</v>
      </c>
      <c r="GG29" s="112" t="s">
        <v>39</v>
      </c>
      <c r="GH29" s="112">
        <v>63.151674912743687</v>
      </c>
      <c r="GI29" s="112" t="s">
        <v>39</v>
      </c>
      <c r="GJ29" s="112" t="s">
        <v>39</v>
      </c>
      <c r="GK29" s="63"/>
      <c r="GL29" s="63"/>
      <c r="GM29" s="63"/>
      <c r="GN29" s="64"/>
      <c r="GO29" s="63"/>
      <c r="GP29" s="63"/>
      <c r="GQ29" s="63"/>
      <c r="GR29" s="63"/>
      <c r="GS29" s="64"/>
      <c r="GT29" s="63"/>
      <c r="GU29" s="63"/>
      <c r="GV29" s="63"/>
      <c r="GW29" s="63"/>
      <c r="GX29" s="64"/>
      <c r="GY29" s="64"/>
      <c r="GZ29" s="64"/>
      <c r="HA29" s="64"/>
      <c r="HB29" s="64"/>
      <c r="HC29" s="64"/>
      <c r="HD29" s="65"/>
      <c r="HE29" s="65"/>
      <c r="HF29" s="65"/>
      <c r="HG29" s="65"/>
      <c r="HH29" s="65"/>
      <c r="HI29" s="66"/>
      <c r="HJ29" s="66"/>
      <c r="HK29" s="63"/>
      <c r="HL29" s="64"/>
      <c r="HM29" s="64"/>
      <c r="HN29" s="64"/>
      <c r="HO29" s="64"/>
      <c r="HP29" s="64"/>
      <c r="HQ29" s="64"/>
      <c r="HR29" s="64"/>
      <c r="HS29" s="64"/>
      <c r="HT29" s="64"/>
      <c r="HU29" s="39"/>
    </row>
    <row r="30" spans="1:229" ht="21" customHeight="1" x14ac:dyDescent="0.2">
      <c r="A30" s="37">
        <v>27</v>
      </c>
      <c r="B30" s="86" t="s">
        <v>85</v>
      </c>
      <c r="C30" s="93">
        <v>1136599</v>
      </c>
      <c r="D30" s="93">
        <v>1140988</v>
      </c>
      <c r="E30" s="93">
        <v>1156212</v>
      </c>
      <c r="F30" s="93">
        <v>1152425</v>
      </c>
      <c r="G30" s="93">
        <v>1168431</v>
      </c>
      <c r="H30" s="43">
        <v>902693</v>
      </c>
      <c r="I30" s="43">
        <v>140704</v>
      </c>
      <c r="J30" s="43">
        <v>13851</v>
      </c>
      <c r="K30" s="43">
        <v>76354</v>
      </c>
      <c r="L30" s="43">
        <v>80475</v>
      </c>
      <c r="M30" s="44">
        <v>482300</v>
      </c>
      <c r="N30" s="44">
        <v>485377</v>
      </c>
      <c r="O30" s="45">
        <v>487813</v>
      </c>
      <c r="P30" s="45">
        <v>475913</v>
      </c>
      <c r="Q30" s="46">
        <v>480754</v>
      </c>
      <c r="R30" s="105">
        <v>15.586995138664998</v>
      </c>
      <c r="S30" s="105">
        <v>15.772467887697465</v>
      </c>
      <c r="T30" s="105">
        <v>15.963375845427363</v>
      </c>
      <c r="U30" s="105">
        <v>16.27813214736355</v>
      </c>
      <c r="V30" s="105">
        <v>16.567379760727167</v>
      </c>
      <c r="W30" s="105">
        <v>28.1162168825504</v>
      </c>
      <c r="X30" s="105">
        <v>28.18098204789499</v>
      </c>
      <c r="Y30" s="105">
        <v>27.075696599980947</v>
      </c>
      <c r="Z30" s="105">
        <v>27.126445649549911</v>
      </c>
      <c r="AA30" s="105">
        <v>27.187141669004276</v>
      </c>
      <c r="AB30" s="105">
        <v>43.7032120212154</v>
      </c>
      <c r="AC30" s="105">
        <v>43.953449935592452</v>
      </c>
      <c r="AD30" s="105">
        <v>43.039072445408308</v>
      </c>
      <c r="AE30" s="105">
        <v>43.404577796913458</v>
      </c>
      <c r="AF30" s="105">
        <v>43.754521429731447</v>
      </c>
      <c r="AG30" s="46">
        <v>4.1261374333228744</v>
      </c>
      <c r="AH30" s="46">
        <v>4.8710258494159318</v>
      </c>
      <c r="AI30" s="46">
        <v>7.5515114117706066</v>
      </c>
      <c r="AJ30" s="46">
        <v>6.8617193325062296</v>
      </c>
      <c r="AK30" s="45">
        <v>6.1044822200428603</v>
      </c>
      <c r="AL30" s="49">
        <v>36810.916666666664</v>
      </c>
      <c r="AM30" s="49">
        <v>39353.666666666664</v>
      </c>
      <c r="AN30" s="49">
        <v>50160.5</v>
      </c>
      <c r="AO30" s="49">
        <v>39353.666666666664</v>
      </c>
      <c r="AP30" s="49">
        <v>67919.583333333328</v>
      </c>
      <c r="AQ30" s="49">
        <v>60759.358336169535</v>
      </c>
      <c r="AR30" s="49">
        <v>60274.703584625393</v>
      </c>
      <c r="AS30" s="49">
        <v>55154.363271665534</v>
      </c>
      <c r="AT30" s="49">
        <v>56861.74489087033</v>
      </c>
      <c r="AU30" s="49">
        <v>57475.809012256606</v>
      </c>
      <c r="AV30" s="101">
        <v>66115.198449904026</v>
      </c>
      <c r="AW30" s="101">
        <v>65062.150666734793</v>
      </c>
      <c r="AX30" s="102">
        <v>64640.198609097723</v>
      </c>
      <c r="AY30" s="102">
        <v>61122.306324980738</v>
      </c>
      <c r="AZ30" s="102">
        <v>60811</v>
      </c>
      <c r="BA30" s="99">
        <v>10.605447535193537</v>
      </c>
      <c r="BB30" s="99">
        <v>10.956227563301823</v>
      </c>
      <c r="BC30" s="99">
        <v>11.868785062586827</v>
      </c>
      <c r="BD30" s="99">
        <v>13.747805840102057</v>
      </c>
      <c r="BE30" s="99">
        <v>13.619707585322463</v>
      </c>
      <c r="BF30" s="99">
        <v>14.330395439051978</v>
      </c>
      <c r="BG30" s="99">
        <v>12.822641795571732</v>
      </c>
      <c r="BH30" s="48">
        <v>15.707850031344057</v>
      </c>
      <c r="BI30" s="48">
        <v>18.657850265887351</v>
      </c>
      <c r="BJ30" s="48">
        <v>17.652579992460435</v>
      </c>
      <c r="BK30" s="44">
        <v>155754</v>
      </c>
      <c r="BL30" s="44">
        <v>156320</v>
      </c>
      <c r="BM30" s="44">
        <v>157170</v>
      </c>
      <c r="BN30" s="42">
        <v>158661</v>
      </c>
      <c r="BO30" s="45">
        <v>37.620863669632882</v>
      </c>
      <c r="BP30" s="45">
        <v>39.94754350051177</v>
      </c>
      <c r="BQ30" s="45">
        <v>41.22669720684609</v>
      </c>
      <c r="BR30" s="46">
        <v>42.047510100150639</v>
      </c>
      <c r="BS30" s="105">
        <v>12.501765604735674</v>
      </c>
      <c r="BT30" s="105">
        <v>12.774437052200614</v>
      </c>
      <c r="BU30" s="105">
        <v>12.632817967805561</v>
      </c>
      <c r="BV30" s="105">
        <v>12.67482242012845</v>
      </c>
      <c r="BW30" s="45">
        <v>13.579105512539003</v>
      </c>
      <c r="BX30" s="45">
        <v>13.915046059365404</v>
      </c>
      <c r="BY30" s="45">
        <v>14.234268626328179</v>
      </c>
      <c r="BZ30" s="45">
        <v>14.318578604698066</v>
      </c>
      <c r="CA30" s="44">
        <v>62.67880364109233</v>
      </c>
      <c r="CB30" s="44">
        <v>65.140867363089583</v>
      </c>
      <c r="CC30" s="44">
        <v>65.712012728719174</v>
      </c>
      <c r="CD30" s="44">
        <v>67.55</v>
      </c>
      <c r="CE30" s="45">
        <v>6.5700662579726297</v>
      </c>
      <c r="CF30" s="45">
        <v>5.3497942386831276</v>
      </c>
      <c r="CG30" s="45">
        <v>5.5422964730840629</v>
      </c>
      <c r="CH30" s="45">
        <v>5.0599999999999996</v>
      </c>
      <c r="CI30" s="48">
        <v>78270</v>
      </c>
      <c r="CJ30" s="51">
        <v>79976</v>
      </c>
      <c r="CK30" s="51">
        <v>82398</v>
      </c>
      <c r="CL30" s="57">
        <v>81646</v>
      </c>
      <c r="CM30" s="108">
        <v>14.899730921557971</v>
      </c>
      <c r="CN30" s="108">
        <v>14.762041088074801</v>
      </c>
      <c r="CO30" s="108">
        <v>14.699103475637429</v>
      </c>
      <c r="CP30" s="108">
        <v>14.187818383552099</v>
      </c>
      <c r="CQ30" s="60">
        <v>3818</v>
      </c>
      <c r="CR30" s="60">
        <v>3840</v>
      </c>
      <c r="CS30" s="60">
        <v>4209</v>
      </c>
      <c r="CT30" s="60">
        <v>4132</v>
      </c>
      <c r="CU30" s="108">
        <v>5.0276534105873054</v>
      </c>
      <c r="CV30" s="108">
        <v>4.9789303079416536</v>
      </c>
      <c r="CW30" s="108">
        <v>5.3092321858798899</v>
      </c>
      <c r="CX30" s="108">
        <v>5.2759263515411527</v>
      </c>
      <c r="CY30" s="61">
        <v>5417</v>
      </c>
      <c r="CZ30" s="57">
        <v>5046</v>
      </c>
      <c r="DA30" s="60">
        <v>5862</v>
      </c>
      <c r="DB30" s="60">
        <v>5512</v>
      </c>
      <c r="DC30" s="108">
        <v>7.9309537056015929</v>
      </c>
      <c r="DD30" s="108">
        <v>7.605468220115454</v>
      </c>
      <c r="DE30" s="108">
        <v>8.4316207352856569</v>
      </c>
      <c r="DF30" s="108">
        <v>8.2610194385744045</v>
      </c>
      <c r="DG30" s="108">
        <v>81.763589535041348</v>
      </c>
      <c r="DH30" s="108">
        <v>82.599292709466809</v>
      </c>
      <c r="DI30" s="108">
        <v>84.324568770592421</v>
      </c>
      <c r="DJ30" s="108">
        <v>85.354860497739907</v>
      </c>
      <c r="DK30" s="108">
        <v>11.906591295757643</v>
      </c>
      <c r="DL30" s="108">
        <v>8.1441828274410657</v>
      </c>
      <c r="DM30" s="108">
        <v>4.5330363963590692</v>
      </c>
      <c r="DN30" s="108">
        <v>5.6669561824201002</v>
      </c>
      <c r="DO30" s="108">
        <v>27.075374059261719</v>
      </c>
      <c r="DP30" s="108">
        <v>27.629768605378363</v>
      </c>
      <c r="DQ30" s="108">
        <v>31.33228078698081</v>
      </c>
      <c r="DR30" s="108">
        <v>34.655527244217957</v>
      </c>
      <c r="DS30" s="108">
        <v>40.683354242063984</v>
      </c>
      <c r="DT30" s="108">
        <v>35.882312441190649</v>
      </c>
      <c r="DU30" s="108">
        <v>31.652949440598817</v>
      </c>
      <c r="DV30" s="108">
        <v>26.53427577695501</v>
      </c>
      <c r="DW30" s="62">
        <v>9607</v>
      </c>
      <c r="DX30" s="62">
        <v>3251</v>
      </c>
      <c r="DY30" s="57">
        <v>244</v>
      </c>
      <c r="DZ30" s="60">
        <v>1617</v>
      </c>
      <c r="EA30" s="60">
        <v>1542</v>
      </c>
      <c r="EB30" s="60">
        <v>690</v>
      </c>
      <c r="EC30" s="60">
        <v>541</v>
      </c>
      <c r="ED30" s="57">
        <v>426</v>
      </c>
      <c r="EE30" s="60">
        <v>454</v>
      </c>
      <c r="EF30" s="60">
        <v>40785</v>
      </c>
      <c r="EG30" s="60">
        <v>40132</v>
      </c>
      <c r="EH30" s="60">
        <v>38329</v>
      </c>
      <c r="EI30" s="60">
        <v>38553</v>
      </c>
      <c r="EJ30" s="115">
        <v>6951</v>
      </c>
      <c r="EK30" s="115">
        <v>588</v>
      </c>
      <c r="EL30" s="115">
        <v>73</v>
      </c>
      <c r="EM30" s="115">
        <v>142</v>
      </c>
      <c r="EN30" s="115">
        <v>87</v>
      </c>
      <c r="EO30" s="108">
        <v>776.3964809451154</v>
      </c>
      <c r="EP30" s="108">
        <v>740.76001918902909</v>
      </c>
      <c r="EQ30" s="108">
        <v>683.75681098777522</v>
      </c>
      <c r="ER30" s="108">
        <v>669.94459268192441</v>
      </c>
      <c r="ES30" s="108">
        <v>841.78277647262064</v>
      </c>
      <c r="ET30" s="108">
        <v>784.33852561878678</v>
      </c>
      <c r="EU30" s="108">
        <v>695.44747062997362</v>
      </c>
      <c r="EV30" s="108">
        <v>657.06114400295019</v>
      </c>
      <c r="EW30" s="108">
        <v>1089.5897010546043</v>
      </c>
      <c r="EX30" s="108">
        <v>977.28344245873507</v>
      </c>
      <c r="EY30" s="108">
        <v>831.35991695488565</v>
      </c>
      <c r="EZ30" s="108">
        <v>775.75496017543617</v>
      </c>
      <c r="FA30" s="108">
        <v>686.3670090079263</v>
      </c>
      <c r="FB30" s="108">
        <v>656.90109098758467</v>
      </c>
      <c r="FC30" s="108">
        <v>598.78406384086179</v>
      </c>
      <c r="FD30" s="108">
        <v>568.37767849763588</v>
      </c>
      <c r="FE30" s="57">
        <v>9575</v>
      </c>
      <c r="FF30" s="62">
        <v>9564</v>
      </c>
      <c r="FG30" s="62">
        <v>9319</v>
      </c>
      <c r="FH30" s="62">
        <v>9395</v>
      </c>
      <c r="FI30" s="108">
        <v>203.19691844312956</v>
      </c>
      <c r="FJ30" s="108">
        <v>193.44742122318198</v>
      </c>
      <c r="FK30" s="108">
        <v>175.43202579312464</v>
      </c>
      <c r="FL30" s="108">
        <v>165.98373160299676</v>
      </c>
      <c r="FM30" s="62">
        <v>9661</v>
      </c>
      <c r="FN30" s="62">
        <v>8075</v>
      </c>
      <c r="FO30" s="57">
        <v>6672</v>
      </c>
      <c r="FP30" s="62">
        <v>5770</v>
      </c>
      <c r="FQ30" s="108">
        <v>201.40586961920062</v>
      </c>
      <c r="FR30" s="108">
        <v>157.51398480017789</v>
      </c>
      <c r="FS30" s="108">
        <v>119.37640852761832</v>
      </c>
      <c r="FT30" s="108">
        <v>96.811057669234714</v>
      </c>
      <c r="FU30" s="60">
        <v>3161</v>
      </c>
      <c r="FV30" s="60">
        <v>2860</v>
      </c>
      <c r="FW30" s="60">
        <v>2433</v>
      </c>
      <c r="FX30" s="60">
        <v>1996</v>
      </c>
      <c r="FY30" s="108">
        <v>65.348490582637282</v>
      </c>
      <c r="FZ30" s="108">
        <v>55.306542950128659</v>
      </c>
      <c r="GA30" s="108">
        <v>43.871071940104486</v>
      </c>
      <c r="GB30" s="108">
        <v>33.895496020249354</v>
      </c>
      <c r="GC30" s="63">
        <v>1677</v>
      </c>
      <c r="GD30" s="64">
        <v>1895</v>
      </c>
      <c r="GE30" s="63">
        <v>1957</v>
      </c>
      <c r="GF30" s="63">
        <v>2369</v>
      </c>
      <c r="GG30" s="112">
        <v>32.872188445235757</v>
      </c>
      <c r="GH30" s="112">
        <v>35.312233798942408</v>
      </c>
      <c r="GI30" s="112">
        <v>34.167226286547177</v>
      </c>
      <c r="GJ30" s="112">
        <v>39.643316349913896</v>
      </c>
      <c r="GK30" s="63"/>
      <c r="GL30" s="63"/>
      <c r="GM30" s="63"/>
      <c r="GN30" s="64"/>
      <c r="GO30" s="63"/>
      <c r="GP30" s="63"/>
      <c r="GQ30" s="63"/>
      <c r="GR30" s="63"/>
      <c r="GS30" s="64"/>
      <c r="GT30" s="63"/>
      <c r="GU30" s="63"/>
      <c r="GV30" s="63"/>
      <c r="GW30" s="63"/>
      <c r="GX30" s="64"/>
      <c r="GY30" s="64"/>
      <c r="GZ30" s="64"/>
      <c r="HA30" s="64"/>
      <c r="HB30" s="64"/>
      <c r="HC30" s="64"/>
      <c r="HD30" s="65"/>
      <c r="HE30" s="65"/>
      <c r="HF30" s="65"/>
      <c r="HG30" s="65"/>
      <c r="HH30" s="65"/>
      <c r="HI30" s="66"/>
      <c r="HJ30" s="66"/>
      <c r="HK30" s="63"/>
      <c r="HL30" s="64"/>
      <c r="HM30" s="64"/>
      <c r="HN30" s="64"/>
      <c r="HO30" s="64"/>
      <c r="HP30" s="64"/>
      <c r="HQ30" s="64"/>
      <c r="HR30" s="64"/>
      <c r="HS30" s="64"/>
      <c r="HT30" s="64"/>
      <c r="HU30" s="39"/>
    </row>
    <row r="31" spans="1:229" x14ac:dyDescent="0.2">
      <c r="A31" s="37">
        <v>28</v>
      </c>
      <c r="B31" s="86" t="s">
        <v>86</v>
      </c>
      <c r="C31" s="93">
        <v>19515</v>
      </c>
      <c r="D31" s="93">
        <v>19245</v>
      </c>
      <c r="E31" s="93">
        <v>19244</v>
      </c>
      <c r="F31" s="93">
        <v>19027</v>
      </c>
      <c r="G31" s="93">
        <v>18916</v>
      </c>
      <c r="H31" s="43">
        <v>18448</v>
      </c>
      <c r="I31" s="43">
        <v>116</v>
      </c>
      <c r="J31" s="43">
        <v>33</v>
      </c>
      <c r="K31" s="43">
        <v>97</v>
      </c>
      <c r="L31" s="43">
        <v>151</v>
      </c>
      <c r="M31" s="44">
        <v>7938</v>
      </c>
      <c r="N31" s="44">
        <v>7918</v>
      </c>
      <c r="O31" s="45">
        <v>7884</v>
      </c>
      <c r="P31" s="45">
        <v>7849</v>
      </c>
      <c r="Q31" s="46">
        <v>7860</v>
      </c>
      <c r="R31" s="105">
        <v>25.042881646655232</v>
      </c>
      <c r="S31" s="105">
        <v>25.51631720006306</v>
      </c>
      <c r="T31" s="105">
        <v>26.907952812775861</v>
      </c>
      <c r="U31" s="105">
        <v>27.122119248749282</v>
      </c>
      <c r="V31" s="105">
        <v>27.911001236093941</v>
      </c>
      <c r="W31" s="105">
        <v>27.108997349134569</v>
      </c>
      <c r="X31" s="105">
        <v>26.18634715434337</v>
      </c>
      <c r="Y31" s="105">
        <v>27.525880747933552</v>
      </c>
      <c r="Z31" s="105">
        <v>28.926433199376692</v>
      </c>
      <c r="AA31" s="105">
        <v>27.968685620107127</v>
      </c>
      <c r="AB31" s="105">
        <v>52.151878995789801</v>
      </c>
      <c r="AC31" s="105">
        <v>51.70266435440643</v>
      </c>
      <c r="AD31" s="105">
        <v>54.433833560709417</v>
      </c>
      <c r="AE31" s="105">
        <v>56.048552448125974</v>
      </c>
      <c r="AF31" s="105">
        <v>55.879686856201069</v>
      </c>
      <c r="AG31" s="46">
        <v>5.1296043656207368</v>
      </c>
      <c r="AH31" s="46">
        <v>5.6975894813732655</v>
      </c>
      <c r="AI31" s="46">
        <v>8.2767363940958081</v>
      </c>
      <c r="AJ31" s="46">
        <v>7.754846779237023</v>
      </c>
      <c r="AK31" s="45">
        <v>7.0444104134762631</v>
      </c>
      <c r="AL31" s="49">
        <v>301.5</v>
      </c>
      <c r="AM31" s="49">
        <v>324.16666666666669</v>
      </c>
      <c r="AN31" s="49">
        <v>406.16666666666669</v>
      </c>
      <c r="AO31" s="49">
        <v>324.16666666666669</v>
      </c>
      <c r="AP31" s="49">
        <v>528.33333333333337</v>
      </c>
      <c r="AQ31" s="49">
        <v>38822.684059332882</v>
      </c>
      <c r="AR31" s="49">
        <v>39345.38749181608</v>
      </c>
      <c r="AS31" s="49">
        <v>38715.108722191566</v>
      </c>
      <c r="AT31" s="49">
        <v>39800.002522926763</v>
      </c>
      <c r="AU31" s="49">
        <v>40554.18693169803</v>
      </c>
      <c r="AV31" s="101">
        <v>52030.33847459752</v>
      </c>
      <c r="AW31" s="101">
        <v>52662.992029837027</v>
      </c>
      <c r="AX31" s="102">
        <v>51657.847322373294</v>
      </c>
      <c r="AY31" s="102">
        <v>52333.370088417651</v>
      </c>
      <c r="AZ31" s="102">
        <v>52325</v>
      </c>
      <c r="BA31" s="99">
        <v>8.3785475792988322</v>
      </c>
      <c r="BB31" s="99">
        <v>8.9288548003173762</v>
      </c>
      <c r="BC31" s="99">
        <v>8.6169480760069863</v>
      </c>
      <c r="BD31" s="99">
        <v>9.3024494142704999</v>
      </c>
      <c r="BE31" s="99">
        <v>9.5431907031542877</v>
      </c>
      <c r="BF31" s="99">
        <v>10.725696029210406</v>
      </c>
      <c r="BG31" s="99">
        <v>10.782442748091603</v>
      </c>
      <c r="BH31" s="48">
        <v>11.496136736127371</v>
      </c>
      <c r="BI31" s="48">
        <v>12.548749713236981</v>
      </c>
      <c r="BJ31" s="48">
        <v>12.601046124583927</v>
      </c>
      <c r="BK31" s="44">
        <v>3979</v>
      </c>
      <c r="BL31" s="44">
        <v>4287</v>
      </c>
      <c r="BM31" s="44">
        <v>4317</v>
      </c>
      <c r="BN31" s="42">
        <v>4573</v>
      </c>
      <c r="BO31" s="45">
        <v>20.306609700929883</v>
      </c>
      <c r="BP31" s="45">
        <v>26.032190342897131</v>
      </c>
      <c r="BQ31" s="45">
        <v>24.461431549687283</v>
      </c>
      <c r="BR31" s="46">
        <v>24.863328230920622</v>
      </c>
      <c r="BS31" s="105">
        <v>2.5131942699170646E-2</v>
      </c>
      <c r="BT31" s="105">
        <v>4.6652670865407045E-2</v>
      </c>
      <c r="BU31" s="105">
        <v>2.316423442205235E-2</v>
      </c>
      <c r="BV31" s="105">
        <v>6.56024491581019E-2</v>
      </c>
      <c r="BW31" s="45">
        <v>10.304096506659965</v>
      </c>
      <c r="BX31" s="45">
        <v>10.006997900629811</v>
      </c>
      <c r="BY31" s="45">
        <v>11.489460273337967</v>
      </c>
      <c r="BZ31" s="45">
        <v>11.961513229827247</v>
      </c>
      <c r="CA31" s="44">
        <v>80.414746543778804</v>
      </c>
      <c r="CB31" s="44">
        <v>77.20930232558139</v>
      </c>
      <c r="CC31" s="44">
        <v>72.259507829977622</v>
      </c>
      <c r="CD31" s="44">
        <v>69.47</v>
      </c>
      <c r="CE31" s="45">
        <v>8.064516129032258</v>
      </c>
      <c r="CF31" s="45">
        <v>7.9069767441860463</v>
      </c>
      <c r="CG31" s="45">
        <v>12.527964205816556</v>
      </c>
      <c r="CH31" s="45">
        <v>14.32</v>
      </c>
      <c r="CI31" s="48">
        <v>1230</v>
      </c>
      <c r="CJ31" s="51">
        <v>1025</v>
      </c>
      <c r="CK31" s="51">
        <v>1092</v>
      </c>
      <c r="CL31" s="57">
        <v>978</v>
      </c>
      <c r="CM31" s="108">
        <v>12.904714942191074</v>
      </c>
      <c r="CN31" s="108">
        <v>10.503017696303962</v>
      </c>
      <c r="CO31" s="108">
        <v>10.97608780870247</v>
      </c>
      <c r="CP31" s="108">
        <v>10.19312745578288</v>
      </c>
      <c r="CQ31" s="60">
        <v>37</v>
      </c>
      <c r="CR31" s="60">
        <v>56</v>
      </c>
      <c r="CS31" s="60">
        <v>46</v>
      </c>
      <c r="CT31" s="60">
        <v>43</v>
      </c>
      <c r="CU31" s="108">
        <v>3.1118587047939443</v>
      </c>
      <c r="CV31" s="108">
        <v>5.7026476578411405</v>
      </c>
      <c r="CW31" s="108">
        <v>4.3767840152235964</v>
      </c>
      <c r="CX31" s="108">
        <v>4.5647558386411893</v>
      </c>
      <c r="CY31" s="61">
        <v>77</v>
      </c>
      <c r="CZ31" s="57">
        <v>80</v>
      </c>
      <c r="DA31" s="60">
        <v>66</v>
      </c>
      <c r="DB31" s="60">
        <v>60</v>
      </c>
      <c r="DC31" s="108">
        <v>6.7366579177602803</v>
      </c>
      <c r="DD31" s="108">
        <v>8.501594048884165</v>
      </c>
      <c r="DE31" s="108">
        <v>6.6331658291457289</v>
      </c>
      <c r="DF31" s="108">
        <v>6.8027210884353737</v>
      </c>
      <c r="DG31" s="108">
        <v>88.192182410423456</v>
      </c>
      <c r="DH31" s="108">
        <v>88.074291300097755</v>
      </c>
      <c r="DI31" s="108">
        <v>85.79285059578369</v>
      </c>
      <c r="DJ31" s="108">
        <v>86.894273127753308</v>
      </c>
      <c r="DK31" s="108">
        <v>12.530512611879576</v>
      </c>
      <c r="DL31" s="108">
        <v>11.5234375</v>
      </c>
      <c r="DM31" s="108">
        <v>14.049586776859504</v>
      </c>
      <c r="DN31" s="108">
        <v>15.266393442622951</v>
      </c>
      <c r="DO31" s="108">
        <v>15.691056910569106</v>
      </c>
      <c r="DP31" s="108">
        <v>17.560975609756099</v>
      </c>
      <c r="DQ31" s="108">
        <v>25.29789184234647</v>
      </c>
      <c r="DR31" s="108">
        <v>25.819672131147541</v>
      </c>
      <c r="DS31" s="108">
        <v>22.706065318818041</v>
      </c>
      <c r="DT31" s="108">
        <v>12.578616352201259</v>
      </c>
      <c r="DU31" s="108">
        <v>17.429760665972946</v>
      </c>
      <c r="DV31" s="108">
        <v>12.742542716478425</v>
      </c>
      <c r="DW31" s="62">
        <v>180</v>
      </c>
      <c r="DX31" s="62">
        <v>1</v>
      </c>
      <c r="DY31" s="57">
        <v>0</v>
      </c>
      <c r="DZ31" s="60">
        <v>1</v>
      </c>
      <c r="EA31" s="60">
        <v>1</v>
      </c>
      <c r="EB31" s="60">
        <v>8</v>
      </c>
      <c r="EC31" s="60">
        <v>4</v>
      </c>
      <c r="ED31" s="57">
        <v>9</v>
      </c>
      <c r="EE31" s="60">
        <v>7</v>
      </c>
      <c r="EF31" s="60">
        <v>966</v>
      </c>
      <c r="EG31" s="60">
        <v>916</v>
      </c>
      <c r="EH31" s="60">
        <v>919</v>
      </c>
      <c r="EI31" s="60">
        <v>856</v>
      </c>
      <c r="EJ31" s="115">
        <v>175</v>
      </c>
      <c r="EK31" s="115">
        <v>0</v>
      </c>
      <c r="EL31" s="115">
        <v>0</v>
      </c>
      <c r="EM31" s="115">
        <v>0</v>
      </c>
      <c r="EN31" s="115">
        <v>0</v>
      </c>
      <c r="EO31" s="108">
        <v>1013.4922466793965</v>
      </c>
      <c r="EP31" s="108">
        <v>938.61114242091992</v>
      </c>
      <c r="EQ31" s="108">
        <v>923.72021027450273</v>
      </c>
      <c r="ER31" s="108">
        <v>892.15921289878793</v>
      </c>
      <c r="ES31" s="108">
        <v>796.53949923940388</v>
      </c>
      <c r="ET31" s="108">
        <v>701.14612322555661</v>
      </c>
      <c r="EU31" s="108">
        <v>655.55838994208329</v>
      </c>
      <c r="EV31" s="108">
        <v>589.16167391862177</v>
      </c>
      <c r="EW31" s="108">
        <v>1006.2055514437761</v>
      </c>
      <c r="EX31" s="108">
        <v>862.92559383221146</v>
      </c>
      <c r="EY31" s="108">
        <v>824.51155196866398</v>
      </c>
      <c r="EZ31" s="108">
        <v>693.92836109698101</v>
      </c>
      <c r="FA31" s="108">
        <v>654.05914334695274</v>
      </c>
      <c r="FB31" s="108">
        <v>581.35188610996852</v>
      </c>
      <c r="FC31" s="108">
        <v>530.42323630555609</v>
      </c>
      <c r="FD31" s="108">
        <v>496.42138199290366</v>
      </c>
      <c r="FE31" s="57">
        <v>217</v>
      </c>
      <c r="FF31" s="62">
        <v>208</v>
      </c>
      <c r="FG31" s="62">
        <v>192</v>
      </c>
      <c r="FH31" s="62">
        <v>208</v>
      </c>
      <c r="FI31" s="108">
        <v>188.30834599924651</v>
      </c>
      <c r="FJ31" s="108">
        <v>172.66751343991106</v>
      </c>
      <c r="FK31" s="108">
        <v>150.1823308163074</v>
      </c>
      <c r="FL31" s="108">
        <v>155.38262812937725</v>
      </c>
      <c r="FM31" s="62">
        <v>265</v>
      </c>
      <c r="FN31" s="62">
        <v>218</v>
      </c>
      <c r="FO31" s="57">
        <v>205</v>
      </c>
      <c r="FP31" s="62">
        <v>177</v>
      </c>
      <c r="FQ31" s="108">
        <v>212.79806062495354</v>
      </c>
      <c r="FR31" s="108">
        <v>161.14898147002845</v>
      </c>
      <c r="FS31" s="108">
        <v>138.23300365222912</v>
      </c>
      <c r="FT31" s="108">
        <v>112.73342587517941</v>
      </c>
      <c r="FU31" s="60">
        <v>89</v>
      </c>
      <c r="FV31" s="60">
        <v>79</v>
      </c>
      <c r="FW31" s="60">
        <v>67</v>
      </c>
      <c r="FX31" s="60">
        <v>51</v>
      </c>
      <c r="FY31" s="108">
        <v>67.664396796809513</v>
      </c>
      <c r="FZ31" s="108">
        <v>55.653582704640954</v>
      </c>
      <c r="GA31" s="108">
        <v>44.633507406835335</v>
      </c>
      <c r="GB31" s="108">
        <v>31.19629470080568</v>
      </c>
      <c r="GC31" s="63">
        <v>38</v>
      </c>
      <c r="GD31" s="64">
        <v>52</v>
      </c>
      <c r="GE31" s="63">
        <v>50</v>
      </c>
      <c r="GF31" s="63">
        <v>53</v>
      </c>
      <c r="GG31" s="112">
        <v>35.296481489779673</v>
      </c>
      <c r="GH31" s="112">
        <v>45.899357085982565</v>
      </c>
      <c r="GI31" s="112">
        <v>39.82346841011298</v>
      </c>
      <c r="GJ31" s="112">
        <v>42.720251779257879</v>
      </c>
      <c r="GK31" s="63"/>
      <c r="GL31" s="63"/>
      <c r="GM31" s="63"/>
      <c r="GN31" s="64"/>
      <c r="GO31" s="63"/>
      <c r="GP31" s="63"/>
      <c r="GQ31" s="63"/>
      <c r="GR31" s="63"/>
      <c r="GS31" s="64"/>
      <c r="GT31" s="63"/>
      <c r="GU31" s="63"/>
      <c r="GV31" s="63"/>
      <c r="GW31" s="63"/>
      <c r="GX31" s="64"/>
      <c r="GY31" s="64"/>
      <c r="GZ31" s="64"/>
      <c r="HA31" s="64"/>
      <c r="HB31" s="64"/>
      <c r="HC31" s="64"/>
      <c r="HD31" s="65"/>
      <c r="HE31" s="65"/>
      <c r="HF31" s="65"/>
      <c r="HG31" s="65"/>
      <c r="HH31" s="65"/>
      <c r="HI31" s="66"/>
      <c r="HJ31" s="66"/>
      <c r="HK31" s="63"/>
      <c r="HL31" s="64"/>
      <c r="HM31" s="64"/>
      <c r="HN31" s="64"/>
      <c r="HO31" s="64"/>
      <c r="HP31" s="64"/>
      <c r="HQ31" s="64"/>
      <c r="HR31" s="64"/>
      <c r="HS31" s="64"/>
      <c r="HT31" s="64"/>
      <c r="HU31" s="39"/>
    </row>
    <row r="32" spans="1:229" x14ac:dyDescent="0.2">
      <c r="A32" s="37">
        <v>29</v>
      </c>
      <c r="B32" s="86" t="s">
        <v>87</v>
      </c>
      <c r="C32" s="93">
        <v>18781</v>
      </c>
      <c r="D32" s="93">
        <v>18810</v>
      </c>
      <c r="E32" s="93">
        <v>18644</v>
      </c>
      <c r="F32" s="93">
        <v>20428</v>
      </c>
      <c r="G32" s="93">
        <v>20303</v>
      </c>
      <c r="H32" s="43">
        <v>19203</v>
      </c>
      <c r="I32" s="43">
        <v>68</v>
      </c>
      <c r="J32" s="43">
        <v>589</v>
      </c>
      <c r="K32" s="43">
        <v>71</v>
      </c>
      <c r="L32" s="43">
        <v>347</v>
      </c>
      <c r="M32" s="44">
        <v>7924</v>
      </c>
      <c r="N32" s="44">
        <v>7980</v>
      </c>
      <c r="O32" s="45">
        <v>7987</v>
      </c>
      <c r="P32" s="45">
        <v>8661</v>
      </c>
      <c r="Q32" s="46">
        <v>8714</v>
      </c>
      <c r="R32" s="105">
        <v>32.275042444821729</v>
      </c>
      <c r="S32" s="105">
        <v>33.567572199845742</v>
      </c>
      <c r="T32" s="105">
        <v>34.508640251352766</v>
      </c>
      <c r="U32" s="105">
        <v>33.881395163221327</v>
      </c>
      <c r="V32" s="105">
        <v>35.035438144329895</v>
      </c>
      <c r="W32" s="105">
        <v>27.156196943972834</v>
      </c>
      <c r="X32" s="105">
        <v>27.628759962293255</v>
      </c>
      <c r="Y32" s="105">
        <v>28.2073660324664</v>
      </c>
      <c r="Z32" s="105">
        <v>29.164338734136802</v>
      </c>
      <c r="AA32" s="105">
        <v>28.487435567010309</v>
      </c>
      <c r="AB32" s="105">
        <v>59.431239388794566</v>
      </c>
      <c r="AC32" s="105">
        <v>61.196332162139001</v>
      </c>
      <c r="AD32" s="105">
        <v>62.716006283819169</v>
      </c>
      <c r="AE32" s="105">
        <v>63.045733897358126</v>
      </c>
      <c r="AF32" s="105">
        <v>63.522873711340203</v>
      </c>
      <c r="AG32" s="46">
        <v>6.4544170379224166</v>
      </c>
      <c r="AH32" s="46">
        <v>7.4911439883309026</v>
      </c>
      <c r="AI32" s="46">
        <v>10.335137385512073</v>
      </c>
      <c r="AJ32" s="46">
        <v>9.9217527386541473</v>
      </c>
      <c r="AK32" s="45">
        <v>9.2452225899434186</v>
      </c>
      <c r="AL32" s="49">
        <v>525.58333333333337</v>
      </c>
      <c r="AM32" s="49">
        <v>638.41666666666663</v>
      </c>
      <c r="AN32" s="49">
        <v>751.66666666666663</v>
      </c>
      <c r="AO32" s="49">
        <v>638.41666666666663</v>
      </c>
      <c r="AP32" s="49">
        <v>1119.4166666666667</v>
      </c>
      <c r="AQ32" s="49">
        <v>29941.652635665603</v>
      </c>
      <c r="AR32" s="49">
        <v>31237.245534740185</v>
      </c>
      <c r="AS32" s="49">
        <v>30415.704765443788</v>
      </c>
      <c r="AT32" s="49">
        <v>31293.32135473179</v>
      </c>
      <c r="AU32" s="49">
        <v>32013.347781116092</v>
      </c>
      <c r="AV32" s="101">
        <v>45815.121437046037</v>
      </c>
      <c r="AW32" s="101">
        <v>44205.696009809435</v>
      </c>
      <c r="AX32" s="102">
        <v>45840.848054181792</v>
      </c>
      <c r="AY32" s="102">
        <v>43347.404882232084</v>
      </c>
      <c r="AZ32" s="102">
        <v>41196</v>
      </c>
      <c r="BA32" s="99">
        <v>11.368409715116591</v>
      </c>
      <c r="BB32" s="99">
        <v>10.799913987743253</v>
      </c>
      <c r="BC32" s="99">
        <v>12.899549573994681</v>
      </c>
      <c r="BD32" s="99">
        <v>12.779758367993661</v>
      </c>
      <c r="BE32" s="99">
        <v>14.096062052505967</v>
      </c>
      <c r="BF32" s="99">
        <v>18.360572012257407</v>
      </c>
      <c r="BG32" s="99">
        <v>17.681982447083119</v>
      </c>
      <c r="BH32" s="48">
        <v>20.592783505154639</v>
      </c>
      <c r="BI32" s="48">
        <v>20.371219065077909</v>
      </c>
      <c r="BJ32" s="48">
        <v>22.789275634995295</v>
      </c>
      <c r="BK32" s="44">
        <v>2391</v>
      </c>
      <c r="BL32" s="44">
        <v>2341</v>
      </c>
      <c r="BM32" s="44">
        <v>2301</v>
      </c>
      <c r="BN32" s="42">
        <v>2300</v>
      </c>
      <c r="BO32" s="45">
        <v>50.941028858218317</v>
      </c>
      <c r="BP32" s="45">
        <v>53.99401964972234</v>
      </c>
      <c r="BQ32" s="45">
        <v>53.237722729248155</v>
      </c>
      <c r="BR32" s="46">
        <v>52.869565217391305</v>
      </c>
      <c r="BS32" s="105">
        <v>0.37641154328732745</v>
      </c>
      <c r="BT32" s="105">
        <v>0.17086715079026057</v>
      </c>
      <c r="BU32" s="105">
        <v>0</v>
      </c>
      <c r="BV32" s="105">
        <v>0.30434782608695654</v>
      </c>
      <c r="BW32" s="45">
        <v>22.208281053952319</v>
      </c>
      <c r="BX32" s="45">
        <v>21.059376334899614</v>
      </c>
      <c r="BY32" s="45">
        <v>20.512820512820515</v>
      </c>
      <c r="BZ32" s="45">
        <v>19.782608695652176</v>
      </c>
      <c r="CA32" s="44">
        <v>77.948717948717942</v>
      </c>
      <c r="CB32" s="44">
        <v>76.719576719576722</v>
      </c>
      <c r="CC32" s="44">
        <v>84</v>
      </c>
      <c r="CD32" s="44">
        <v>76.37</v>
      </c>
      <c r="CE32" s="45">
        <v>6.666666666666667</v>
      </c>
      <c r="CF32" s="45">
        <v>5.2910052910052912</v>
      </c>
      <c r="CG32" s="45">
        <v>4</v>
      </c>
      <c r="CH32" s="45">
        <v>9.34</v>
      </c>
      <c r="CI32" s="48">
        <v>869</v>
      </c>
      <c r="CJ32" s="51">
        <v>908</v>
      </c>
      <c r="CK32" s="51">
        <v>1069</v>
      </c>
      <c r="CL32" s="57">
        <v>1139</v>
      </c>
      <c r="CM32" s="108">
        <v>10.929442837378947</v>
      </c>
      <c r="CN32" s="108">
        <v>10.380820633595903</v>
      </c>
      <c r="CO32" s="108">
        <v>11.41362374546231</v>
      </c>
      <c r="CP32" s="108">
        <v>11.746385330940742</v>
      </c>
      <c r="CQ32" s="60">
        <v>46</v>
      </c>
      <c r="CR32" s="60">
        <v>50</v>
      </c>
      <c r="CS32" s="60">
        <v>43</v>
      </c>
      <c r="CT32" s="60">
        <v>55</v>
      </c>
      <c r="CU32" s="108">
        <v>5.4117647058823533</v>
      </c>
      <c r="CV32" s="108">
        <v>5.5991041433370663</v>
      </c>
      <c r="CW32" s="108">
        <v>4.134615384615385</v>
      </c>
      <c r="CX32" s="108">
        <v>4.9909255898366602</v>
      </c>
      <c r="CY32" s="61">
        <v>64</v>
      </c>
      <c r="CZ32" s="57">
        <v>61</v>
      </c>
      <c r="DA32" s="60">
        <v>74</v>
      </c>
      <c r="DB32" s="60">
        <v>88</v>
      </c>
      <c r="DC32" s="108">
        <v>8.1528662420382165</v>
      </c>
      <c r="DD32" s="108">
        <v>8.3906464924346622</v>
      </c>
      <c r="DE32" s="108">
        <v>8.1318681318681314</v>
      </c>
      <c r="DF32" s="108">
        <v>8.8978766430738112</v>
      </c>
      <c r="DG32" s="108">
        <v>72.651605231866824</v>
      </c>
      <c r="DH32" s="108">
        <v>77.093596059113295</v>
      </c>
      <c r="DI32" s="108">
        <v>77.928363988383353</v>
      </c>
      <c r="DJ32" s="108">
        <v>77.211796246648788</v>
      </c>
      <c r="DK32" s="108">
        <v>20.588235294117649</v>
      </c>
      <c r="DL32" s="108">
        <v>22.700814901047728</v>
      </c>
      <c r="DM32" s="108">
        <v>25.633802816901408</v>
      </c>
      <c r="DN32" s="108">
        <v>22.045855379188712</v>
      </c>
      <c r="DO32" s="108">
        <v>28.768699654775602</v>
      </c>
      <c r="DP32" s="108">
        <v>34.509371554575523</v>
      </c>
      <c r="DQ32" s="108">
        <v>35.238987816307407</v>
      </c>
      <c r="DR32" s="108">
        <v>37.752414398595256</v>
      </c>
      <c r="DS32" s="108">
        <v>40.061045402518126</v>
      </c>
      <c r="DT32" s="108">
        <v>41.182018233259981</v>
      </c>
      <c r="DU32" s="108">
        <v>32.078963602714374</v>
      </c>
      <c r="DV32" s="108">
        <v>33.783783783783782</v>
      </c>
      <c r="DW32" s="62">
        <v>206</v>
      </c>
      <c r="DX32" s="62">
        <v>1</v>
      </c>
      <c r="DY32" s="57">
        <v>10</v>
      </c>
      <c r="DZ32" s="60">
        <v>1</v>
      </c>
      <c r="EA32" s="60">
        <v>5</v>
      </c>
      <c r="EB32" s="60">
        <v>8</v>
      </c>
      <c r="EC32" s="60">
        <v>2</v>
      </c>
      <c r="ED32" s="57">
        <v>8</v>
      </c>
      <c r="EE32" s="60">
        <v>5</v>
      </c>
      <c r="EF32" s="60">
        <v>901</v>
      </c>
      <c r="EG32" s="60">
        <v>877</v>
      </c>
      <c r="EH32" s="60">
        <v>855</v>
      </c>
      <c r="EI32" s="60">
        <v>895</v>
      </c>
      <c r="EJ32" s="115">
        <v>178</v>
      </c>
      <c r="EK32" s="115">
        <v>0</v>
      </c>
      <c r="EL32" s="115">
        <v>3</v>
      </c>
      <c r="EM32" s="115">
        <v>0</v>
      </c>
      <c r="EN32" s="115">
        <v>0</v>
      </c>
      <c r="EO32" s="108">
        <v>1133.1907936108666</v>
      </c>
      <c r="EP32" s="108">
        <v>1002.6409356457716</v>
      </c>
      <c r="EQ32" s="108">
        <v>912.87636130685462</v>
      </c>
      <c r="ER32" s="108">
        <v>923.00393952519437</v>
      </c>
      <c r="ES32" s="108">
        <v>884.18253920161567</v>
      </c>
      <c r="ET32" s="108">
        <v>769.42611920872923</v>
      </c>
      <c r="EU32" s="108">
        <v>647.75091015185296</v>
      </c>
      <c r="EV32" s="108">
        <v>614.30102066187226</v>
      </c>
      <c r="EW32" s="108">
        <v>1127.4802404012448</v>
      </c>
      <c r="EX32" s="108">
        <v>923.14647589079925</v>
      </c>
      <c r="EY32" s="108">
        <v>738.37180049073527</v>
      </c>
      <c r="EZ32" s="108">
        <v>692.56039260814157</v>
      </c>
      <c r="FA32" s="108">
        <v>684.07515058935769</v>
      </c>
      <c r="FB32" s="108">
        <v>627.63091087601185</v>
      </c>
      <c r="FC32" s="108">
        <v>559.70169362081742</v>
      </c>
      <c r="FD32" s="108">
        <v>538.21211330660708</v>
      </c>
      <c r="FE32" s="57">
        <v>221</v>
      </c>
      <c r="FF32" s="62">
        <v>211</v>
      </c>
      <c r="FG32" s="62">
        <v>231</v>
      </c>
      <c r="FH32" s="62">
        <v>254</v>
      </c>
      <c r="FI32" s="108">
        <v>214.84329471136974</v>
      </c>
      <c r="FJ32" s="108">
        <v>178.87170788782444</v>
      </c>
      <c r="FK32" s="108">
        <v>172.52756171378721</v>
      </c>
      <c r="FL32" s="108">
        <v>166.21176371821471</v>
      </c>
      <c r="FM32" s="62">
        <v>268</v>
      </c>
      <c r="FN32" s="62">
        <v>272</v>
      </c>
      <c r="FO32" s="57">
        <v>210</v>
      </c>
      <c r="FP32" s="62">
        <v>163</v>
      </c>
      <c r="FQ32" s="108">
        <v>257.06242760243288</v>
      </c>
      <c r="FR32" s="108">
        <v>231.15886291577814</v>
      </c>
      <c r="FS32" s="108">
        <v>152.46338773243284</v>
      </c>
      <c r="FT32" s="108">
        <v>108.23495381003633</v>
      </c>
      <c r="FU32" s="60">
        <v>54</v>
      </c>
      <c r="FV32" s="60">
        <v>68</v>
      </c>
      <c r="FW32" s="60">
        <v>55</v>
      </c>
      <c r="FX32" s="60">
        <v>64</v>
      </c>
      <c r="FY32" s="108">
        <v>52.088411643854187</v>
      </c>
      <c r="FZ32" s="108">
        <v>58.105344609009151</v>
      </c>
      <c r="GA32" s="108">
        <v>38.581877815548268</v>
      </c>
      <c r="GB32" s="108">
        <v>42.025557868044146</v>
      </c>
      <c r="GC32" s="63">
        <v>36</v>
      </c>
      <c r="GD32" s="64">
        <v>39</v>
      </c>
      <c r="GE32" s="63">
        <v>51</v>
      </c>
      <c r="GF32" s="63">
        <v>60</v>
      </c>
      <c r="GG32" s="112">
        <v>44.413545303783501</v>
      </c>
      <c r="GH32" s="112">
        <v>44.029426848138968</v>
      </c>
      <c r="GI32" s="112">
        <v>50.633295266937012</v>
      </c>
      <c r="GJ32" s="112">
        <v>51.306067452416045</v>
      </c>
      <c r="GK32" s="63"/>
      <c r="GL32" s="63"/>
      <c r="GM32" s="63"/>
      <c r="GN32" s="64"/>
      <c r="GO32" s="63"/>
      <c r="GP32" s="63"/>
      <c r="GQ32" s="63"/>
      <c r="GR32" s="63"/>
      <c r="GS32" s="64"/>
      <c r="GT32" s="63"/>
      <c r="GU32" s="63"/>
      <c r="GV32" s="63"/>
      <c r="GW32" s="63"/>
      <c r="GX32" s="64"/>
      <c r="GY32" s="64"/>
      <c r="GZ32" s="64"/>
      <c r="HA32" s="64"/>
      <c r="HB32" s="64"/>
      <c r="HC32" s="64"/>
      <c r="HD32" s="65"/>
      <c r="HE32" s="65"/>
      <c r="HF32" s="65"/>
      <c r="HG32" s="65"/>
      <c r="HH32" s="65"/>
      <c r="HI32" s="66"/>
      <c r="HJ32" s="66"/>
      <c r="HK32" s="63"/>
      <c r="HL32" s="64"/>
      <c r="HM32" s="64"/>
      <c r="HN32" s="64"/>
      <c r="HO32" s="64"/>
      <c r="HP32" s="64"/>
      <c r="HQ32" s="64"/>
      <c r="HR32" s="64"/>
      <c r="HS32" s="64"/>
      <c r="HT32" s="64"/>
      <c r="HU32" s="39"/>
    </row>
    <row r="33" spans="1:229" x14ac:dyDescent="0.2">
      <c r="A33" s="37">
        <v>30</v>
      </c>
      <c r="B33" s="86" t="s">
        <v>88</v>
      </c>
      <c r="C33" s="93">
        <v>38921</v>
      </c>
      <c r="D33" s="93">
        <v>39105</v>
      </c>
      <c r="E33" s="93">
        <v>39442</v>
      </c>
      <c r="F33" s="93">
        <v>37816</v>
      </c>
      <c r="G33" s="93">
        <v>38283</v>
      </c>
      <c r="H33" s="43">
        <v>36825</v>
      </c>
      <c r="I33" s="43">
        <v>306</v>
      </c>
      <c r="J33" s="43">
        <v>195</v>
      </c>
      <c r="K33" s="43">
        <v>351</v>
      </c>
      <c r="L33" s="43">
        <v>646</v>
      </c>
      <c r="M33" s="44">
        <v>14416</v>
      </c>
      <c r="N33" s="44">
        <v>14663</v>
      </c>
      <c r="O33" s="45">
        <v>14725</v>
      </c>
      <c r="P33" s="45">
        <v>13972</v>
      </c>
      <c r="Q33" s="46">
        <v>14128</v>
      </c>
      <c r="R33" s="105">
        <v>14.723701119882504</v>
      </c>
      <c r="S33" s="105">
        <v>15.172161172161172</v>
      </c>
      <c r="T33" s="105">
        <v>16.406887849773621</v>
      </c>
      <c r="U33" s="105">
        <v>18.720748829953198</v>
      </c>
      <c r="V33" s="105">
        <v>19.583465315172631</v>
      </c>
      <c r="W33" s="105">
        <v>28.18432164494217</v>
      </c>
      <c r="X33" s="105">
        <v>28.069597069597069</v>
      </c>
      <c r="Y33" s="105">
        <v>29.967342091590588</v>
      </c>
      <c r="Z33" s="105">
        <v>32.549301972078887</v>
      </c>
      <c r="AA33" s="105">
        <v>31.996357301235349</v>
      </c>
      <c r="AB33" s="105">
        <v>42.908022764824672</v>
      </c>
      <c r="AC33" s="105">
        <v>43.241758241758241</v>
      </c>
      <c r="AD33" s="105">
        <v>46.374229941364213</v>
      </c>
      <c r="AE33" s="105">
        <v>51.270050802032081</v>
      </c>
      <c r="AF33" s="105">
        <v>51.579822616407981</v>
      </c>
      <c r="AG33" s="46">
        <v>6.0399594880766045</v>
      </c>
      <c r="AH33" s="46">
        <v>6.8484377144425634</v>
      </c>
      <c r="AI33" s="46">
        <v>10.441638940795771</v>
      </c>
      <c r="AJ33" s="46">
        <v>9.2271040454482982</v>
      </c>
      <c r="AK33" s="45">
        <v>8.1190115985879974</v>
      </c>
      <c r="AL33" s="49">
        <v>610.5</v>
      </c>
      <c r="AM33" s="49">
        <v>693.91666666666663</v>
      </c>
      <c r="AN33" s="49">
        <v>950.41666666666663</v>
      </c>
      <c r="AO33" s="49">
        <v>693.91666666666663</v>
      </c>
      <c r="AP33" s="49">
        <v>1489.8333333333333</v>
      </c>
      <c r="AQ33" s="49">
        <v>36867.638599716862</v>
      </c>
      <c r="AR33" s="49">
        <v>36239.831533730467</v>
      </c>
      <c r="AS33" s="49">
        <v>35526.112353962948</v>
      </c>
      <c r="AT33" s="49">
        <v>36060.741505219914</v>
      </c>
      <c r="AU33" s="49">
        <v>36544.445315152938</v>
      </c>
      <c r="AV33" s="101">
        <v>61219.182654744334</v>
      </c>
      <c r="AW33" s="101">
        <v>64153.213355132073</v>
      </c>
      <c r="AX33" s="102">
        <v>57911.016687098258</v>
      </c>
      <c r="AY33" s="102">
        <v>57180.695367245113</v>
      </c>
      <c r="AZ33" s="102">
        <v>57860</v>
      </c>
      <c r="BA33" s="99">
        <v>7.6249315711269254</v>
      </c>
      <c r="BB33" s="99">
        <v>7.4535127985684273</v>
      </c>
      <c r="BC33" s="99">
        <v>9.0254193681177313</v>
      </c>
      <c r="BD33" s="99">
        <v>8.897692595963381</v>
      </c>
      <c r="BE33" s="99">
        <v>8.8250086026628551</v>
      </c>
      <c r="BF33" s="99">
        <v>10.187696647499186</v>
      </c>
      <c r="BG33" s="99">
        <v>9.6071780282306598</v>
      </c>
      <c r="BH33" s="48">
        <v>12.243203984229094</v>
      </c>
      <c r="BI33" s="48">
        <v>11.94372068785826</v>
      </c>
      <c r="BJ33" s="48">
        <v>12.464648580705981</v>
      </c>
      <c r="BK33" s="44">
        <v>6325</v>
      </c>
      <c r="BL33" s="44">
        <v>6264</v>
      </c>
      <c r="BM33" s="44">
        <v>6314</v>
      </c>
      <c r="BN33" s="42">
        <v>6266</v>
      </c>
      <c r="BO33" s="45">
        <v>31.462450592885375</v>
      </c>
      <c r="BP33" s="45">
        <v>36.94125159642401</v>
      </c>
      <c r="BQ33" s="45">
        <v>36.949635730123532</v>
      </c>
      <c r="BR33" s="46">
        <v>39.083945100542614</v>
      </c>
      <c r="BS33" s="105">
        <v>1.3122529644268774</v>
      </c>
      <c r="BT33" s="105">
        <v>1.4367816091954022</v>
      </c>
      <c r="BU33" s="105">
        <v>0.99778270509977829</v>
      </c>
      <c r="BV33" s="105">
        <v>1.1490584104691988</v>
      </c>
      <c r="BW33" s="45">
        <v>11.446640316205533</v>
      </c>
      <c r="BX33" s="45">
        <v>12.068965517241379</v>
      </c>
      <c r="BY33" s="45">
        <v>12.733607855559075</v>
      </c>
      <c r="BZ33" s="45">
        <v>13.006702840727737</v>
      </c>
      <c r="CA33" s="44">
        <v>69.894366197183103</v>
      </c>
      <c r="CB33" s="44">
        <v>72.531418312387785</v>
      </c>
      <c r="CC33" s="44">
        <v>77.799607072691558</v>
      </c>
      <c r="CD33" s="44">
        <v>81.819999999999993</v>
      </c>
      <c r="CE33" s="45">
        <v>4.049295774647887</v>
      </c>
      <c r="CF33" s="45">
        <v>4.3087971274685817</v>
      </c>
      <c r="CG33" s="45">
        <v>2.9469548133595285</v>
      </c>
      <c r="CH33" s="45">
        <v>3.75</v>
      </c>
      <c r="CI33" s="48">
        <v>1796</v>
      </c>
      <c r="CJ33" s="51">
        <v>1872</v>
      </c>
      <c r="CK33" s="51">
        <v>2369</v>
      </c>
      <c r="CL33" s="57">
        <v>2487</v>
      </c>
      <c r="CM33" s="108">
        <v>12.888133014718019</v>
      </c>
      <c r="CN33" s="108">
        <v>12.121918526720671</v>
      </c>
      <c r="CO33" s="108">
        <v>13.019559566271152</v>
      </c>
      <c r="CP33" s="108">
        <v>12.848264425237772</v>
      </c>
      <c r="CQ33" s="60">
        <v>82</v>
      </c>
      <c r="CR33" s="60">
        <v>78</v>
      </c>
      <c r="CS33" s="60">
        <v>115</v>
      </c>
      <c r="CT33" s="60">
        <v>109</v>
      </c>
      <c r="CU33" s="108">
        <v>4.6564452015900057</v>
      </c>
      <c r="CV33" s="108">
        <v>4.2716319824753564</v>
      </c>
      <c r="CW33" s="108">
        <v>4.9697493517718234</v>
      </c>
      <c r="CX33" s="108">
        <v>4.5721476510067118</v>
      </c>
      <c r="CY33" s="61">
        <v>119</v>
      </c>
      <c r="CZ33" s="57">
        <v>128</v>
      </c>
      <c r="DA33" s="60">
        <v>207</v>
      </c>
      <c r="DB33" s="60">
        <v>175</v>
      </c>
      <c r="DC33" s="108">
        <v>7.4654956085319952</v>
      </c>
      <c r="DD33" s="108">
        <v>7.4245939675174011</v>
      </c>
      <c r="DE33" s="108">
        <v>9.6189591078066918</v>
      </c>
      <c r="DF33" s="108">
        <v>7.8828828828828827</v>
      </c>
      <c r="DG33" s="108">
        <v>78.962536023054753</v>
      </c>
      <c r="DH33" s="108">
        <v>80.522306855277478</v>
      </c>
      <c r="DI33" s="108">
        <v>85.169309901414493</v>
      </c>
      <c r="DJ33" s="108">
        <v>86.561104344295572</v>
      </c>
      <c r="DK33" s="108">
        <v>22.895040369088811</v>
      </c>
      <c r="DL33" s="108">
        <v>20.526893523600439</v>
      </c>
      <c r="DM33" s="108">
        <v>17.812364894076957</v>
      </c>
      <c r="DN33" s="108">
        <v>18.093699515347335</v>
      </c>
      <c r="DO33" s="108">
        <v>26.670378619153674</v>
      </c>
      <c r="DP33" s="108">
        <v>28.205128205128204</v>
      </c>
      <c r="DQ33" s="108">
        <v>30.561418319966229</v>
      </c>
      <c r="DR33" s="108">
        <v>33.815842380377966</v>
      </c>
      <c r="DS33" s="108">
        <v>33.846153846153847</v>
      </c>
      <c r="DT33" s="108">
        <v>25.797793021175067</v>
      </c>
      <c r="DU33" s="108">
        <v>29.200293470286134</v>
      </c>
      <c r="DV33" s="108">
        <v>24.109675386069966</v>
      </c>
      <c r="DW33" s="62">
        <v>455</v>
      </c>
      <c r="DX33" s="62">
        <v>1</v>
      </c>
      <c r="DY33" s="57">
        <v>3</v>
      </c>
      <c r="DZ33" s="60">
        <v>5</v>
      </c>
      <c r="EA33" s="60">
        <v>6</v>
      </c>
      <c r="EB33" s="60">
        <v>9</v>
      </c>
      <c r="EC33" s="60">
        <v>14</v>
      </c>
      <c r="ED33" s="57">
        <v>8</v>
      </c>
      <c r="EE33" s="60">
        <v>12</v>
      </c>
      <c r="EF33" s="60">
        <v>1000</v>
      </c>
      <c r="EG33" s="60">
        <v>1120</v>
      </c>
      <c r="EH33" s="60">
        <v>1271</v>
      </c>
      <c r="EI33" s="60">
        <v>1304</v>
      </c>
      <c r="EJ33" s="115">
        <v>268</v>
      </c>
      <c r="EK33" s="115">
        <v>0</v>
      </c>
      <c r="EL33" s="115">
        <v>1</v>
      </c>
      <c r="EM33" s="115">
        <v>1</v>
      </c>
      <c r="EN33" s="115">
        <v>0</v>
      </c>
      <c r="EO33" s="108">
        <v>717.60206095311901</v>
      </c>
      <c r="EP33" s="108">
        <v>725.24298877815977</v>
      </c>
      <c r="EQ33" s="108">
        <v>698.51668251290141</v>
      </c>
      <c r="ER33" s="108">
        <v>673.66854887454986</v>
      </c>
      <c r="ES33" s="108">
        <v>762.17594934345152</v>
      </c>
      <c r="ET33" s="108">
        <v>762.82542209468545</v>
      </c>
      <c r="EU33" s="108">
        <v>757.13140334724278</v>
      </c>
      <c r="EV33" s="108">
        <v>690.36159227653377</v>
      </c>
      <c r="EW33" s="108">
        <v>930.59360431066807</v>
      </c>
      <c r="EX33" s="108">
        <v>887.63270465627909</v>
      </c>
      <c r="EY33" s="108">
        <v>857.52046844850292</v>
      </c>
      <c r="EZ33" s="108">
        <v>841.91572678648572</v>
      </c>
      <c r="FA33" s="108">
        <v>633.54431951659944</v>
      </c>
      <c r="FB33" s="108">
        <v>645.84189967991097</v>
      </c>
      <c r="FC33" s="108">
        <v>662.7246084891035</v>
      </c>
      <c r="FD33" s="108">
        <v>571.70064343512126</v>
      </c>
      <c r="FE33" s="57">
        <v>198</v>
      </c>
      <c r="FF33" s="62">
        <v>250</v>
      </c>
      <c r="FG33" s="62">
        <v>271</v>
      </c>
      <c r="FH33" s="62">
        <v>330</v>
      </c>
      <c r="FI33" s="108">
        <v>158.59612712930453</v>
      </c>
      <c r="FJ33" s="108">
        <v>183.0738111881308</v>
      </c>
      <c r="FK33" s="108">
        <v>167.51905337196914</v>
      </c>
      <c r="FL33" s="108">
        <v>175.87506053818441</v>
      </c>
      <c r="FM33" s="62">
        <v>316</v>
      </c>
      <c r="FN33" s="62">
        <v>273</v>
      </c>
      <c r="FO33" s="57">
        <v>302</v>
      </c>
      <c r="FP33" s="62">
        <v>206</v>
      </c>
      <c r="FQ33" s="108">
        <v>240.69894286667818</v>
      </c>
      <c r="FR33" s="108">
        <v>181.90219678786147</v>
      </c>
      <c r="FS33" s="108">
        <v>176.93745201414353</v>
      </c>
      <c r="FT33" s="108">
        <v>107.32992036920126</v>
      </c>
      <c r="FU33" s="60">
        <v>125</v>
      </c>
      <c r="FV33" s="60">
        <v>101</v>
      </c>
      <c r="FW33" s="60">
        <v>87</v>
      </c>
      <c r="FX33" s="60">
        <v>79</v>
      </c>
      <c r="FY33" s="108">
        <v>92.338790942579948</v>
      </c>
      <c r="FZ33" s="108">
        <v>63.653789049851888</v>
      </c>
      <c r="GA33" s="108">
        <v>51.578160463039595</v>
      </c>
      <c r="GB33" s="108">
        <v>42.45658714259703</v>
      </c>
      <c r="GC33" s="63">
        <v>57</v>
      </c>
      <c r="GD33" s="64">
        <v>58</v>
      </c>
      <c r="GE33" s="63">
        <v>77</v>
      </c>
      <c r="GF33" s="63">
        <v>78</v>
      </c>
      <c r="GG33" s="112">
        <v>42.002754773337919</v>
      </c>
      <c r="GH33" s="112">
        <v>39.501248596137636</v>
      </c>
      <c r="GI33" s="112">
        <v>42.098887584867853</v>
      </c>
      <c r="GJ33" s="112">
        <v>41.409308372839043</v>
      </c>
      <c r="GK33" s="63"/>
      <c r="GL33" s="63"/>
      <c r="GM33" s="63"/>
      <c r="GN33" s="64"/>
      <c r="GO33" s="63"/>
      <c r="GP33" s="63"/>
      <c r="GQ33" s="63"/>
      <c r="GR33" s="63"/>
      <c r="GS33" s="64"/>
      <c r="GT33" s="63"/>
      <c r="GU33" s="63"/>
      <c r="GV33" s="63"/>
      <c r="GW33" s="63"/>
      <c r="GX33" s="64"/>
      <c r="GY33" s="64"/>
      <c r="GZ33" s="64"/>
      <c r="HA33" s="64"/>
      <c r="HB33" s="64"/>
      <c r="HC33" s="64"/>
      <c r="HD33" s="65"/>
      <c r="HE33" s="65"/>
      <c r="HF33" s="65"/>
      <c r="HG33" s="65"/>
      <c r="HH33" s="65"/>
      <c r="HI33" s="66"/>
      <c r="HJ33" s="66"/>
      <c r="HK33" s="63"/>
      <c r="HL33" s="64"/>
      <c r="HM33" s="64"/>
      <c r="HN33" s="64"/>
      <c r="HO33" s="64"/>
      <c r="HP33" s="64"/>
      <c r="HQ33" s="64"/>
      <c r="HR33" s="64"/>
      <c r="HS33" s="64"/>
      <c r="HT33" s="64"/>
      <c r="HU33" s="39"/>
    </row>
    <row r="34" spans="1:229" x14ac:dyDescent="0.2">
      <c r="A34" s="37">
        <v>31</v>
      </c>
      <c r="B34" s="86" t="s">
        <v>89</v>
      </c>
      <c r="C34" s="93">
        <v>44542</v>
      </c>
      <c r="D34" s="93">
        <v>44512</v>
      </c>
      <c r="E34" s="93">
        <v>44727</v>
      </c>
      <c r="F34" s="93">
        <v>45058</v>
      </c>
      <c r="G34" s="93">
        <v>45034</v>
      </c>
      <c r="H34" s="43">
        <v>42177</v>
      </c>
      <c r="I34" s="43">
        <v>164</v>
      </c>
      <c r="J34" s="43">
        <v>1599</v>
      </c>
      <c r="K34" s="43">
        <v>181</v>
      </c>
      <c r="L34" s="43">
        <v>475</v>
      </c>
      <c r="M34" s="44">
        <v>18774</v>
      </c>
      <c r="N34" s="44">
        <v>19039</v>
      </c>
      <c r="O34" s="45">
        <v>19212</v>
      </c>
      <c r="P34" s="45">
        <v>18773</v>
      </c>
      <c r="Q34" s="46">
        <v>18847</v>
      </c>
      <c r="R34" s="105">
        <v>27.067566179240437</v>
      </c>
      <c r="S34" s="105">
        <v>28.08011049723757</v>
      </c>
      <c r="T34" s="105">
        <v>28.356647015732374</v>
      </c>
      <c r="U34" s="105">
        <v>30.10745136596671</v>
      </c>
      <c r="V34" s="105">
        <v>30.4081847906339</v>
      </c>
      <c r="W34" s="105">
        <v>25.46830587993562</v>
      </c>
      <c r="X34" s="105">
        <v>25.621546961325969</v>
      </c>
      <c r="Y34" s="105">
        <v>27.665957372588689</v>
      </c>
      <c r="Z34" s="105">
        <v>28.112929278741486</v>
      </c>
      <c r="AA34" s="105">
        <v>27.922511690046761</v>
      </c>
      <c r="AB34" s="105">
        <v>52.535872059176057</v>
      </c>
      <c r="AC34" s="105">
        <v>53.701657458563538</v>
      </c>
      <c r="AD34" s="105">
        <v>56.022604388321064</v>
      </c>
      <c r="AE34" s="105">
        <v>58.220380644708193</v>
      </c>
      <c r="AF34" s="105">
        <v>58.330696480680658</v>
      </c>
      <c r="AG34" s="46">
        <v>7.3447595118449387</v>
      </c>
      <c r="AH34" s="46">
        <v>7.8040252812766147</v>
      </c>
      <c r="AI34" s="46">
        <v>11.186042464323007</v>
      </c>
      <c r="AJ34" s="46">
        <v>9.7380993004606715</v>
      </c>
      <c r="AK34" s="45">
        <v>8.859249158392636</v>
      </c>
      <c r="AL34" s="49">
        <v>1443.9166666666667</v>
      </c>
      <c r="AM34" s="49">
        <v>1614.5</v>
      </c>
      <c r="AN34" s="49">
        <v>1965.75</v>
      </c>
      <c r="AO34" s="49">
        <v>1614.5</v>
      </c>
      <c r="AP34" s="49">
        <v>2631.5833333333335</v>
      </c>
      <c r="AQ34" s="49">
        <v>31731.359865115624</v>
      </c>
      <c r="AR34" s="49">
        <v>32616.86142776204</v>
      </c>
      <c r="AS34" s="49">
        <v>32504.967854284172</v>
      </c>
      <c r="AT34" s="49">
        <v>33029.751545674037</v>
      </c>
      <c r="AU34" s="49">
        <v>33604.054714215927</v>
      </c>
      <c r="AV34" s="101">
        <v>47324.174831920209</v>
      </c>
      <c r="AW34" s="101">
        <v>46294.162315434529</v>
      </c>
      <c r="AX34" s="102">
        <v>44975.847261777686</v>
      </c>
      <c r="AY34" s="102">
        <v>47259.100446674245</v>
      </c>
      <c r="AZ34" s="102">
        <v>44957</v>
      </c>
      <c r="BA34" s="99">
        <v>9.7672722299468901</v>
      </c>
      <c r="BB34" s="99">
        <v>12.877993158494869</v>
      </c>
      <c r="BC34" s="99">
        <v>13.597965301117268</v>
      </c>
      <c r="BD34" s="99">
        <v>12.236842105263158</v>
      </c>
      <c r="BE34" s="99">
        <v>14.072712418300654</v>
      </c>
      <c r="BF34" s="99">
        <v>14.175908641704183</v>
      </c>
      <c r="BG34" s="99">
        <v>17.289149950127452</v>
      </c>
      <c r="BH34" s="48">
        <v>19.97268333683547</v>
      </c>
      <c r="BI34" s="48">
        <v>19.224641529474244</v>
      </c>
      <c r="BJ34" s="48">
        <v>20.673436664885088</v>
      </c>
      <c r="BK34" s="44">
        <v>6689</v>
      </c>
      <c r="BL34" s="44">
        <v>6602</v>
      </c>
      <c r="BM34" s="44">
        <v>6563</v>
      </c>
      <c r="BN34" s="42">
        <v>6532</v>
      </c>
      <c r="BO34" s="45">
        <v>43.145462699955154</v>
      </c>
      <c r="BP34" s="45">
        <v>46.440472584065432</v>
      </c>
      <c r="BQ34" s="45">
        <v>45.60414444613744</v>
      </c>
      <c r="BR34" s="46">
        <v>48.499693815064298</v>
      </c>
      <c r="BS34" s="105">
        <v>2.9899835550904471E-2</v>
      </c>
      <c r="BT34" s="105">
        <v>0</v>
      </c>
      <c r="BU34" s="105">
        <v>3.0473868657626087E-2</v>
      </c>
      <c r="BV34" s="105">
        <v>1.5309246785058175E-2</v>
      </c>
      <c r="BW34" s="45">
        <v>15.637613993123038</v>
      </c>
      <c r="BX34" s="45">
        <v>15.873977582550742</v>
      </c>
      <c r="BY34" s="45">
        <v>15.998781045253695</v>
      </c>
      <c r="BZ34" s="45">
        <v>16.549295774647888</v>
      </c>
      <c r="CA34" s="44">
        <v>75.982532751091696</v>
      </c>
      <c r="CB34" s="44">
        <v>77.984496124031011</v>
      </c>
      <c r="CC34" s="44">
        <v>81.347150259067362</v>
      </c>
      <c r="CD34" s="44">
        <v>77.02</v>
      </c>
      <c r="CE34" s="45">
        <v>5.9679767103347894</v>
      </c>
      <c r="CF34" s="45">
        <v>6.3565891472868215</v>
      </c>
      <c r="CG34" s="45">
        <v>4.8359240069084626</v>
      </c>
      <c r="CH34" s="45">
        <v>7.6</v>
      </c>
      <c r="CI34" s="48">
        <v>2283</v>
      </c>
      <c r="CJ34" s="51">
        <v>2194</v>
      </c>
      <c r="CK34" s="51">
        <v>2432</v>
      </c>
      <c r="CL34" s="57">
        <v>2359</v>
      </c>
      <c r="CM34" s="108">
        <v>10.715090301505651</v>
      </c>
      <c r="CN34" s="108">
        <v>9.9923031028970399</v>
      </c>
      <c r="CO34" s="108">
        <v>10.962954949107006</v>
      </c>
      <c r="CP34" s="108">
        <v>10.537224229808865</v>
      </c>
      <c r="CQ34" s="60">
        <v>82</v>
      </c>
      <c r="CR34" s="60">
        <v>86</v>
      </c>
      <c r="CS34" s="60">
        <v>102</v>
      </c>
      <c r="CT34" s="60">
        <v>113</v>
      </c>
      <c r="CU34" s="108">
        <v>3.6656236030397853</v>
      </c>
      <c r="CV34" s="108">
        <v>4.0508714083843618</v>
      </c>
      <c r="CW34" s="108">
        <v>4.3664383561643838</v>
      </c>
      <c r="CX34" s="108">
        <v>4.9366535605067714</v>
      </c>
      <c r="CY34" s="61">
        <v>114</v>
      </c>
      <c r="CZ34" s="57">
        <v>104</v>
      </c>
      <c r="DA34" s="60">
        <v>150</v>
      </c>
      <c r="DB34" s="60">
        <v>170</v>
      </c>
      <c r="DC34" s="108">
        <v>6.5554916618746404</v>
      </c>
      <c r="DD34" s="108">
        <v>5.6399132321041217</v>
      </c>
      <c r="DE34" s="108">
        <v>7.8043704474505722</v>
      </c>
      <c r="DF34" s="108">
        <v>9.0042372881355934</v>
      </c>
      <c r="DG34" s="108">
        <v>86.43981716607415</v>
      </c>
      <c r="DH34" s="108">
        <v>89.850169163847269</v>
      </c>
      <c r="DI34" s="108">
        <v>88.869412795793167</v>
      </c>
      <c r="DJ34" s="108">
        <v>85.125758889852563</v>
      </c>
      <c r="DK34" s="108">
        <v>22.63529411764706</v>
      </c>
      <c r="DL34" s="108">
        <v>20.635673624288426</v>
      </c>
      <c r="DM34" s="108">
        <v>19.907407407407408</v>
      </c>
      <c r="DN34" s="108">
        <v>24.423569598633648</v>
      </c>
      <c r="DO34" s="108">
        <v>31.143232588699082</v>
      </c>
      <c r="DP34" s="108">
        <v>33.910665451230628</v>
      </c>
      <c r="DQ34" s="108">
        <v>37.746710526315788</v>
      </c>
      <c r="DR34" s="108">
        <v>43.916913946587535</v>
      </c>
      <c r="DS34" s="108">
        <v>35.532364268853271</v>
      </c>
      <c r="DT34" s="108">
        <v>27.921639270434586</v>
      </c>
      <c r="DU34" s="108">
        <v>30.487017181242734</v>
      </c>
      <c r="DV34" s="108">
        <v>31.487047373694004</v>
      </c>
      <c r="DW34" s="62">
        <v>437</v>
      </c>
      <c r="DX34" s="62">
        <v>2</v>
      </c>
      <c r="DY34" s="57">
        <v>50</v>
      </c>
      <c r="DZ34" s="60">
        <v>3</v>
      </c>
      <c r="EA34" s="60">
        <v>5</v>
      </c>
      <c r="EB34" s="60">
        <v>14</v>
      </c>
      <c r="EC34" s="60">
        <v>18</v>
      </c>
      <c r="ED34" s="57">
        <v>18</v>
      </c>
      <c r="EE34" s="60">
        <v>10</v>
      </c>
      <c r="EF34" s="60">
        <v>2204</v>
      </c>
      <c r="EG34" s="60">
        <v>2224</v>
      </c>
      <c r="EH34" s="60">
        <v>2369</v>
      </c>
      <c r="EI34" s="60">
        <v>2348</v>
      </c>
      <c r="EJ34" s="115">
        <v>494</v>
      </c>
      <c r="EK34" s="115">
        <v>1</v>
      </c>
      <c r="EL34" s="115">
        <v>14</v>
      </c>
      <c r="EM34" s="115">
        <v>0</v>
      </c>
      <c r="EN34" s="115">
        <v>1</v>
      </c>
      <c r="EO34" s="108">
        <v>1034.4309690984869</v>
      </c>
      <c r="EP34" s="108">
        <v>1012.8934412417053</v>
      </c>
      <c r="EQ34" s="108">
        <v>1067.8963928632606</v>
      </c>
      <c r="ER34" s="108">
        <v>1048.8089229161176</v>
      </c>
      <c r="ES34" s="108">
        <v>930.74225617237175</v>
      </c>
      <c r="ET34" s="108">
        <v>833.15710643506031</v>
      </c>
      <c r="EU34" s="108">
        <v>797.13680694430116</v>
      </c>
      <c r="EV34" s="108">
        <v>730.30061236410688</v>
      </c>
      <c r="EW34" s="108">
        <v>1134.64658220609</v>
      </c>
      <c r="EX34" s="108">
        <v>970.8001996351461</v>
      </c>
      <c r="EY34" s="108">
        <v>939.13806206717436</v>
      </c>
      <c r="EZ34" s="108">
        <v>862.18610910970915</v>
      </c>
      <c r="FA34" s="108">
        <v>760.82886117723979</v>
      </c>
      <c r="FB34" s="108">
        <v>718.26511103204257</v>
      </c>
      <c r="FC34" s="108">
        <v>672.48836279361035</v>
      </c>
      <c r="FD34" s="108">
        <v>614.2069545479751</v>
      </c>
      <c r="FE34" s="57">
        <v>562</v>
      </c>
      <c r="FF34" s="62">
        <v>572</v>
      </c>
      <c r="FG34" s="62">
        <v>591</v>
      </c>
      <c r="FH34" s="62">
        <v>589</v>
      </c>
      <c r="FI34" s="108">
        <v>227.02986994786608</v>
      </c>
      <c r="FJ34" s="108">
        <v>209.36350070243242</v>
      </c>
      <c r="FK34" s="108">
        <v>198.65965634974532</v>
      </c>
      <c r="FL34" s="108">
        <v>178.28107689130383</v>
      </c>
      <c r="FM34" s="62">
        <v>663</v>
      </c>
      <c r="FN34" s="62">
        <v>566</v>
      </c>
      <c r="FO34" s="57">
        <v>563</v>
      </c>
      <c r="FP34" s="62">
        <v>503</v>
      </c>
      <c r="FQ34" s="108">
        <v>278.12829340529163</v>
      </c>
      <c r="FR34" s="108">
        <v>209.51857538143423</v>
      </c>
      <c r="FS34" s="108">
        <v>183.16590855602243</v>
      </c>
      <c r="FT34" s="108">
        <v>150.72108910299696</v>
      </c>
      <c r="FU34" s="60">
        <v>149</v>
      </c>
      <c r="FV34" s="60">
        <v>147</v>
      </c>
      <c r="FW34" s="60">
        <v>154</v>
      </c>
      <c r="FX34" s="60">
        <v>132</v>
      </c>
      <c r="FY34" s="108">
        <v>63.210420710619715</v>
      </c>
      <c r="FZ34" s="108">
        <v>53.827770839454672</v>
      </c>
      <c r="GA34" s="108">
        <v>48.332156762370445</v>
      </c>
      <c r="GB34" s="108">
        <v>39.20849852079462</v>
      </c>
      <c r="GC34" s="63">
        <v>102</v>
      </c>
      <c r="GD34" s="64">
        <v>107</v>
      </c>
      <c r="GE34" s="63">
        <v>118</v>
      </c>
      <c r="GF34" s="63">
        <v>124</v>
      </c>
      <c r="GG34" s="112">
        <v>46.45009919077151</v>
      </c>
      <c r="GH34" s="112">
        <v>46.07653387288493</v>
      </c>
      <c r="GI34" s="112">
        <v>47.955011741395552</v>
      </c>
      <c r="GJ34" s="112">
        <v>48.487856068022396</v>
      </c>
      <c r="GK34" s="63"/>
      <c r="GL34" s="63"/>
      <c r="GM34" s="63"/>
      <c r="GN34" s="64"/>
      <c r="GO34" s="63"/>
      <c r="GP34" s="63"/>
      <c r="GQ34" s="63"/>
      <c r="GR34" s="63"/>
      <c r="GS34" s="64"/>
      <c r="GT34" s="63"/>
      <c r="GU34" s="63"/>
      <c r="GV34" s="63"/>
      <c r="GW34" s="63"/>
      <c r="GX34" s="64"/>
      <c r="GY34" s="64"/>
      <c r="GZ34" s="64"/>
      <c r="HA34" s="64"/>
      <c r="HB34" s="64"/>
      <c r="HC34" s="64"/>
      <c r="HD34" s="65"/>
      <c r="HE34" s="65"/>
      <c r="HF34" s="65"/>
      <c r="HG34" s="65"/>
      <c r="HH34" s="65"/>
      <c r="HI34" s="66"/>
      <c r="HJ34" s="66"/>
      <c r="HK34" s="63"/>
      <c r="HL34" s="64"/>
      <c r="HM34" s="64"/>
      <c r="HN34" s="64"/>
      <c r="HO34" s="64"/>
      <c r="HP34" s="64"/>
      <c r="HQ34" s="64"/>
      <c r="HR34" s="64"/>
      <c r="HS34" s="64"/>
      <c r="HT34" s="64"/>
      <c r="HU34" s="39"/>
    </row>
    <row r="35" spans="1:229" ht="21" customHeight="1" x14ac:dyDescent="0.2">
      <c r="A35" s="37">
        <v>32</v>
      </c>
      <c r="B35" s="86" t="s">
        <v>90</v>
      </c>
      <c r="C35" s="93">
        <v>10883</v>
      </c>
      <c r="D35" s="93">
        <v>10734</v>
      </c>
      <c r="E35" s="93">
        <v>10786</v>
      </c>
      <c r="F35" s="93">
        <v>10266</v>
      </c>
      <c r="G35" s="93">
        <v>10202</v>
      </c>
      <c r="H35" s="43">
        <v>9856</v>
      </c>
      <c r="I35" s="43">
        <v>49</v>
      </c>
      <c r="J35" s="43">
        <v>41</v>
      </c>
      <c r="K35" s="43">
        <v>147</v>
      </c>
      <c r="L35" s="43">
        <v>311</v>
      </c>
      <c r="M35" s="44">
        <v>4627</v>
      </c>
      <c r="N35" s="44">
        <v>4596</v>
      </c>
      <c r="O35" s="45">
        <v>4587</v>
      </c>
      <c r="P35" s="45">
        <v>4429</v>
      </c>
      <c r="Q35" s="46">
        <v>4422</v>
      </c>
      <c r="R35" s="105">
        <v>31.598727956056663</v>
      </c>
      <c r="S35" s="105">
        <v>32.42450894165934</v>
      </c>
      <c r="T35" s="105">
        <v>34.509156409486643</v>
      </c>
      <c r="U35" s="105">
        <v>32.295781324063832</v>
      </c>
      <c r="V35" s="105">
        <v>31.910858226647701</v>
      </c>
      <c r="W35" s="105">
        <v>25.715524718126627</v>
      </c>
      <c r="X35" s="105">
        <v>24.91937848138376</v>
      </c>
      <c r="Y35" s="105">
        <v>27.394175923146204</v>
      </c>
      <c r="Z35" s="105">
        <v>29.909938378890821</v>
      </c>
      <c r="AA35" s="105">
        <v>29.334597755650389</v>
      </c>
      <c r="AB35" s="105">
        <v>57.314252674183287</v>
      </c>
      <c r="AC35" s="105">
        <v>57.343887423043093</v>
      </c>
      <c r="AD35" s="105">
        <v>61.903332332632843</v>
      </c>
      <c r="AE35" s="105">
        <v>62.205719702954653</v>
      </c>
      <c r="AF35" s="105">
        <v>61.24545598229809</v>
      </c>
      <c r="AG35" s="46">
        <v>3.9143730886850152</v>
      </c>
      <c r="AH35" s="46">
        <v>4.166666666666667</v>
      </c>
      <c r="AI35" s="46">
        <v>5.6509298998569388</v>
      </c>
      <c r="AJ35" s="46">
        <v>5.0749222504947697</v>
      </c>
      <c r="AK35" s="45">
        <v>4.8125349748181305</v>
      </c>
      <c r="AL35" s="49">
        <v>150.66666666666666</v>
      </c>
      <c r="AM35" s="49">
        <v>161.33333333333334</v>
      </c>
      <c r="AN35" s="49">
        <v>207.75</v>
      </c>
      <c r="AO35" s="49">
        <v>161.33333333333334</v>
      </c>
      <c r="AP35" s="49">
        <v>290.25</v>
      </c>
      <c r="AQ35" s="49">
        <v>38381.779833792491</v>
      </c>
      <c r="AR35" s="49">
        <v>44077.917287464443</v>
      </c>
      <c r="AS35" s="49">
        <v>44606.357434403537</v>
      </c>
      <c r="AT35" s="49">
        <v>46344.881514339417</v>
      </c>
      <c r="AU35" s="49">
        <v>49666.143893354245</v>
      </c>
      <c r="AV35" s="101">
        <v>46884.802707603863</v>
      </c>
      <c r="AW35" s="101">
        <v>50724.970520615134</v>
      </c>
      <c r="AX35" s="102">
        <v>52012.235525806733</v>
      </c>
      <c r="AY35" s="102">
        <v>51837.187185860515</v>
      </c>
      <c r="AZ35" s="102">
        <v>47337</v>
      </c>
      <c r="BA35" s="99">
        <v>9.7583905236438842</v>
      </c>
      <c r="BB35" s="99">
        <v>8.7217615098655994</v>
      </c>
      <c r="BC35" s="99">
        <v>10.771566859637469</v>
      </c>
      <c r="BD35" s="99">
        <v>9.722907011142885</v>
      </c>
      <c r="BE35" s="99">
        <v>11.159650516282763</v>
      </c>
      <c r="BF35" s="99">
        <v>11.783154121863799</v>
      </c>
      <c r="BG35" s="99">
        <v>12.037914691943127</v>
      </c>
      <c r="BH35" s="48">
        <v>14.619883040935672</v>
      </c>
      <c r="BI35" s="48">
        <v>14.554195804195805</v>
      </c>
      <c r="BJ35" s="48">
        <v>17.282850779510021</v>
      </c>
      <c r="BK35" s="44">
        <v>1483</v>
      </c>
      <c r="BL35" s="44">
        <v>1471</v>
      </c>
      <c r="BM35" s="44">
        <v>1490</v>
      </c>
      <c r="BN35" s="42">
        <v>1514</v>
      </c>
      <c r="BO35" s="45">
        <v>31.625084288604182</v>
      </c>
      <c r="BP35" s="45">
        <v>35.418082936777701</v>
      </c>
      <c r="BQ35" s="45">
        <v>37.785234899328856</v>
      </c>
      <c r="BR35" s="46">
        <v>39.035667107001323</v>
      </c>
      <c r="BS35" s="105">
        <v>3.5738368172623063</v>
      </c>
      <c r="BT35" s="105">
        <v>3.8749150237933381</v>
      </c>
      <c r="BU35" s="105">
        <v>3.8926174496644297</v>
      </c>
      <c r="BV35" s="105">
        <v>3.6327608982826947</v>
      </c>
      <c r="BW35" s="45">
        <v>15.711395819285233</v>
      </c>
      <c r="BX35" s="45">
        <v>16.247450713800134</v>
      </c>
      <c r="BY35" s="45">
        <v>17.449664429530202</v>
      </c>
      <c r="BZ35" s="45">
        <v>18.229854689564068</v>
      </c>
      <c r="CA35" s="44">
        <v>86.99186991869918</v>
      </c>
      <c r="CB35" s="44">
        <v>92.248062015503876</v>
      </c>
      <c r="CC35" s="44">
        <v>95.275590551181097</v>
      </c>
      <c r="CD35" s="44">
        <v>97.2</v>
      </c>
      <c r="CE35" s="45">
        <v>0</v>
      </c>
      <c r="CF35" s="45">
        <v>1.5503875968992249</v>
      </c>
      <c r="CG35" s="45">
        <v>1.5748031496062993</v>
      </c>
      <c r="CH35" s="45"/>
      <c r="CI35" s="48">
        <v>614</v>
      </c>
      <c r="CJ35" s="51">
        <v>569</v>
      </c>
      <c r="CK35" s="51">
        <v>549</v>
      </c>
      <c r="CL35" s="57">
        <v>532</v>
      </c>
      <c r="CM35" s="108">
        <v>10.494112016954656</v>
      </c>
      <c r="CN35" s="108">
        <v>9.975280938272471</v>
      </c>
      <c r="CO35" s="108">
        <v>9.800596247567702</v>
      </c>
      <c r="CP35" s="108">
        <v>10.062226929696809</v>
      </c>
      <c r="CQ35" s="60">
        <v>22</v>
      </c>
      <c r="CR35" s="60">
        <v>17</v>
      </c>
      <c r="CS35" s="60">
        <v>34</v>
      </c>
      <c r="CT35" s="60">
        <v>35</v>
      </c>
      <c r="CU35" s="108">
        <v>3.7099494097807759</v>
      </c>
      <c r="CV35" s="108">
        <v>3.0575539568345325</v>
      </c>
      <c r="CW35" s="108">
        <v>6.3079777365491649</v>
      </c>
      <c r="CX35" s="108">
        <v>6.6921606118546846</v>
      </c>
      <c r="CY35" s="61">
        <v>47</v>
      </c>
      <c r="CZ35" s="57">
        <v>44</v>
      </c>
      <c r="DA35" s="60">
        <v>61</v>
      </c>
      <c r="DB35" s="60">
        <v>54</v>
      </c>
      <c r="DC35" s="108">
        <v>8.3629893238434168</v>
      </c>
      <c r="DD35" s="108">
        <v>8.2089552238805972</v>
      </c>
      <c r="DE35" s="108">
        <v>12.079207920792079</v>
      </c>
      <c r="DF35" s="108">
        <v>11.612903225806452</v>
      </c>
      <c r="DG35" s="108">
        <v>84.17508417508418</v>
      </c>
      <c r="DH35" s="108">
        <v>87.188612099644132</v>
      </c>
      <c r="DI35" s="108">
        <v>89.134438305709025</v>
      </c>
      <c r="DJ35" s="108">
        <v>86.454183266932276</v>
      </c>
      <c r="DK35" s="108">
        <v>11.222780569514239</v>
      </c>
      <c r="DL35" s="108">
        <v>8.8183421516754859</v>
      </c>
      <c r="DM35" s="108">
        <v>12.293577981651376</v>
      </c>
      <c r="DN35" s="108">
        <v>15.413533834586467</v>
      </c>
      <c r="DO35" s="108">
        <v>19.575856443719413</v>
      </c>
      <c r="DP35" s="108">
        <v>22.007042253521128</v>
      </c>
      <c r="DQ35" s="108">
        <v>22.768670309653917</v>
      </c>
      <c r="DR35" s="108">
        <v>35.150375939849624</v>
      </c>
      <c r="DS35" s="108">
        <v>27.129679869777537</v>
      </c>
      <c r="DT35" s="108">
        <v>24.531024531024531</v>
      </c>
      <c r="DU35" s="108">
        <v>16.76829268292683</v>
      </c>
      <c r="DV35" s="108">
        <v>19.024970273483948</v>
      </c>
      <c r="DW35" s="62">
        <v>95</v>
      </c>
      <c r="DX35" s="62">
        <v>8</v>
      </c>
      <c r="DY35" s="57">
        <v>2</v>
      </c>
      <c r="DZ35" s="60">
        <v>3</v>
      </c>
      <c r="EA35" s="60">
        <v>4</v>
      </c>
      <c r="EB35" s="60">
        <v>4</v>
      </c>
      <c r="EC35" s="60">
        <v>1</v>
      </c>
      <c r="ED35" s="57">
        <v>2</v>
      </c>
      <c r="EE35" s="60">
        <v>3</v>
      </c>
      <c r="EF35" s="60">
        <v>641</v>
      </c>
      <c r="EG35" s="60">
        <v>641</v>
      </c>
      <c r="EH35" s="60">
        <v>603</v>
      </c>
      <c r="EI35" s="60">
        <v>562</v>
      </c>
      <c r="EJ35" s="115">
        <v>112</v>
      </c>
      <c r="EK35" s="115">
        <v>0</v>
      </c>
      <c r="EL35" s="115">
        <v>0</v>
      </c>
      <c r="EM35" s="115">
        <v>1</v>
      </c>
      <c r="EN35" s="115">
        <v>0</v>
      </c>
      <c r="EO35" s="108">
        <v>1095.5579483498266</v>
      </c>
      <c r="EP35" s="108">
        <v>1123.753089882716</v>
      </c>
      <c r="EQ35" s="108">
        <v>1076.4589321098952</v>
      </c>
      <c r="ER35" s="108">
        <v>1062.9645741521817</v>
      </c>
      <c r="ES35" s="108">
        <v>691.0104410568041</v>
      </c>
      <c r="ET35" s="108">
        <v>681.65017204199523</v>
      </c>
      <c r="EU35" s="108">
        <v>611.81049690377881</v>
      </c>
      <c r="EV35" s="108">
        <v>585.78367068528405</v>
      </c>
      <c r="EW35" s="108">
        <v>863.09278873183939</v>
      </c>
      <c r="EX35" s="108">
        <v>804.33781080319761</v>
      </c>
      <c r="EY35" s="108">
        <v>729.31290314902378</v>
      </c>
      <c r="EZ35" s="108">
        <v>713.47069806419029</v>
      </c>
      <c r="FA35" s="108">
        <v>556.41870578598275</v>
      </c>
      <c r="FB35" s="108">
        <v>590.09915637593826</v>
      </c>
      <c r="FC35" s="108">
        <v>511.84460813048895</v>
      </c>
      <c r="FD35" s="108">
        <v>475.61251349172437</v>
      </c>
      <c r="FE35" s="57">
        <v>146</v>
      </c>
      <c r="FF35" s="62">
        <v>132</v>
      </c>
      <c r="FG35" s="62">
        <v>138</v>
      </c>
      <c r="FH35" s="62">
        <v>113</v>
      </c>
      <c r="FI35" s="108">
        <v>170.17560625863419</v>
      </c>
      <c r="FJ35" s="108">
        <v>154.52410705531983</v>
      </c>
      <c r="FK35" s="108">
        <v>166.12814513052859</v>
      </c>
      <c r="FL35" s="108">
        <v>135.60027577747019</v>
      </c>
      <c r="FM35" s="62">
        <v>203</v>
      </c>
      <c r="FN35" s="62">
        <v>174</v>
      </c>
      <c r="FO35" s="57">
        <v>165</v>
      </c>
      <c r="FP35" s="62">
        <v>139</v>
      </c>
      <c r="FQ35" s="108">
        <v>208.54062105442102</v>
      </c>
      <c r="FR35" s="108">
        <v>175.776851689978</v>
      </c>
      <c r="FS35" s="108">
        <v>152.76143351798558</v>
      </c>
      <c r="FT35" s="108">
        <v>129.6768429282273</v>
      </c>
      <c r="FU35" s="60">
        <v>76</v>
      </c>
      <c r="FV35" s="60">
        <v>50</v>
      </c>
      <c r="FW35" s="60">
        <v>43</v>
      </c>
      <c r="FX35" s="60">
        <v>27</v>
      </c>
      <c r="FY35" s="108">
        <v>73.711371478185015</v>
      </c>
      <c r="FZ35" s="108">
        <v>49.610462076643906</v>
      </c>
      <c r="GA35" s="108">
        <v>41.756720989802588</v>
      </c>
      <c r="GB35" s="108">
        <v>24.854962969127193</v>
      </c>
      <c r="GC35" s="63">
        <v>23</v>
      </c>
      <c r="GD35" s="64">
        <v>26</v>
      </c>
      <c r="GE35" s="63">
        <v>26</v>
      </c>
      <c r="GF35" s="63">
        <v>22</v>
      </c>
      <c r="GG35" s="112">
        <v>33.908860514384287</v>
      </c>
      <c r="GH35" s="112">
        <v>36.075460819800973</v>
      </c>
      <c r="GI35" s="112">
        <v>30.093629721441342</v>
      </c>
      <c r="GJ35" s="112">
        <v>35.473726419564457</v>
      </c>
      <c r="GK35" s="63"/>
      <c r="GL35" s="63"/>
      <c r="GM35" s="63"/>
      <c r="GN35" s="64"/>
      <c r="GO35" s="63"/>
      <c r="GP35" s="63"/>
      <c r="GQ35" s="63"/>
      <c r="GR35" s="63"/>
      <c r="GS35" s="64"/>
      <c r="GT35" s="63"/>
      <c r="GU35" s="63"/>
      <c r="GV35" s="63"/>
      <c r="GW35" s="63"/>
      <c r="GX35" s="64"/>
      <c r="GY35" s="64"/>
      <c r="GZ35" s="64"/>
      <c r="HA35" s="64"/>
      <c r="HB35" s="64"/>
      <c r="HC35" s="64"/>
      <c r="HD35" s="65"/>
      <c r="HE35" s="65"/>
      <c r="HF35" s="65"/>
      <c r="HG35" s="65"/>
      <c r="HH35" s="65"/>
      <c r="HI35" s="66"/>
      <c r="HJ35" s="66"/>
      <c r="HK35" s="63"/>
      <c r="HL35" s="64"/>
      <c r="HM35" s="64"/>
      <c r="HN35" s="64"/>
      <c r="HO35" s="64"/>
      <c r="HP35" s="64"/>
      <c r="HQ35" s="64"/>
      <c r="HR35" s="64"/>
      <c r="HS35" s="64"/>
      <c r="HT35" s="64"/>
      <c r="HU35" s="39"/>
    </row>
    <row r="36" spans="1:229" x14ac:dyDescent="0.2">
      <c r="A36" s="37">
        <v>33</v>
      </c>
      <c r="B36" s="86" t="s">
        <v>91</v>
      </c>
      <c r="C36" s="93">
        <v>16090</v>
      </c>
      <c r="D36" s="93">
        <v>16091</v>
      </c>
      <c r="E36" s="93">
        <v>15899</v>
      </c>
      <c r="F36" s="93">
        <v>16239</v>
      </c>
      <c r="G36" s="93">
        <v>16169</v>
      </c>
      <c r="H36" s="43">
        <v>15691</v>
      </c>
      <c r="I36" s="43">
        <v>60</v>
      </c>
      <c r="J36" s="43">
        <v>98</v>
      </c>
      <c r="K36" s="43">
        <v>69</v>
      </c>
      <c r="L36" s="43">
        <v>246</v>
      </c>
      <c r="M36" s="44">
        <v>6491</v>
      </c>
      <c r="N36" s="44">
        <v>6492</v>
      </c>
      <c r="O36" s="45">
        <v>6427</v>
      </c>
      <c r="P36" s="45">
        <v>6413</v>
      </c>
      <c r="Q36" s="46">
        <v>6419</v>
      </c>
      <c r="R36" s="105">
        <v>22.01766620176662</v>
      </c>
      <c r="S36" s="105">
        <v>22.443287467460021</v>
      </c>
      <c r="T36" s="105">
        <v>24.043557868362726</v>
      </c>
      <c r="U36" s="105">
        <v>25.503548820257048</v>
      </c>
      <c r="V36" s="105">
        <v>26.00577478344562</v>
      </c>
      <c r="W36" s="105">
        <v>27.587168758716874</v>
      </c>
      <c r="X36" s="105">
        <v>27.156935663815545</v>
      </c>
      <c r="Y36" s="105">
        <v>29.170280427869326</v>
      </c>
      <c r="Z36" s="105">
        <v>30.251294839823519</v>
      </c>
      <c r="AA36" s="105">
        <v>29.615014436958614</v>
      </c>
      <c r="AB36" s="105">
        <v>49.604834960483494</v>
      </c>
      <c r="AC36" s="105">
        <v>49.60022313127557</v>
      </c>
      <c r="AD36" s="105">
        <v>53.213838296232055</v>
      </c>
      <c r="AE36" s="105">
        <v>55.754843660080567</v>
      </c>
      <c r="AF36" s="105">
        <v>55.620789220404234</v>
      </c>
      <c r="AG36" s="46">
        <v>8.3711548159354514</v>
      </c>
      <c r="AH36" s="46">
        <v>10.172864071632882</v>
      </c>
      <c r="AI36" s="46">
        <v>13.544986516303016</v>
      </c>
      <c r="AJ36" s="46">
        <v>12.142857142857142</v>
      </c>
      <c r="AK36" s="45">
        <v>11.068608094768015</v>
      </c>
      <c r="AL36" s="49">
        <v>471.66666666666669</v>
      </c>
      <c r="AM36" s="49">
        <v>522.33333333333337</v>
      </c>
      <c r="AN36" s="49">
        <v>650.83333333333337</v>
      </c>
      <c r="AO36" s="49">
        <v>522.33333333333337</v>
      </c>
      <c r="AP36" s="49">
        <v>942.75</v>
      </c>
      <c r="AQ36" s="49">
        <v>30011.191614749492</v>
      </c>
      <c r="AR36" s="49">
        <v>29652.607197534926</v>
      </c>
      <c r="AS36" s="49">
        <v>29606.243204002229</v>
      </c>
      <c r="AT36" s="49">
        <v>30398.629632141769</v>
      </c>
      <c r="AU36" s="49">
        <v>30917.187210093387</v>
      </c>
      <c r="AV36" s="101">
        <v>49112.039673582774</v>
      </c>
      <c r="AW36" s="101">
        <v>47394.28988913299</v>
      </c>
      <c r="AX36" s="102">
        <v>48191.553237903012</v>
      </c>
      <c r="AY36" s="102">
        <v>44086.005626994898</v>
      </c>
      <c r="AZ36" s="102">
        <v>44691</v>
      </c>
      <c r="BA36" s="99">
        <v>11.320636117920674</v>
      </c>
      <c r="BB36" s="99">
        <v>11.435033928122644</v>
      </c>
      <c r="BC36" s="99">
        <v>11.124546553808948</v>
      </c>
      <c r="BD36" s="99">
        <v>13.575848490530658</v>
      </c>
      <c r="BE36" s="99">
        <v>14.367167919799499</v>
      </c>
      <c r="BF36" s="99">
        <v>16.248967226659321</v>
      </c>
      <c r="BG36" s="99">
        <v>16.568047337278106</v>
      </c>
      <c r="BH36" s="48">
        <v>17.634291915355398</v>
      </c>
      <c r="BI36" s="48">
        <v>20.353282362246244</v>
      </c>
      <c r="BJ36" s="48">
        <v>21.958537915984724</v>
      </c>
      <c r="BK36" s="44">
        <v>2496</v>
      </c>
      <c r="BL36" s="44">
        <v>2430</v>
      </c>
      <c r="BM36" s="44">
        <v>2403</v>
      </c>
      <c r="BN36" s="42">
        <v>2342</v>
      </c>
      <c r="BO36" s="45">
        <v>42.988782051282051</v>
      </c>
      <c r="BP36" s="45">
        <v>39.25925925925926</v>
      </c>
      <c r="BQ36" s="45">
        <v>47.648772367873491</v>
      </c>
      <c r="BR36" s="46">
        <v>46.029035012809565</v>
      </c>
      <c r="BS36" s="105">
        <v>0.1201923076923077</v>
      </c>
      <c r="BT36" s="105">
        <v>0.12345679012345678</v>
      </c>
      <c r="BU36" s="105">
        <v>0.12484394506866417</v>
      </c>
      <c r="BV36" s="105">
        <v>0</v>
      </c>
      <c r="BW36" s="45">
        <v>12.98076923076923</v>
      </c>
      <c r="BX36" s="45">
        <v>13.497942386831276</v>
      </c>
      <c r="BY36" s="45">
        <v>14.148980441115272</v>
      </c>
      <c r="BZ36" s="45">
        <v>15.627668659265584</v>
      </c>
      <c r="CA36" s="44">
        <v>83.944954128440372</v>
      </c>
      <c r="CB36" s="44">
        <v>87.5</v>
      </c>
      <c r="CC36" s="44">
        <v>87.254901960784309</v>
      </c>
      <c r="CD36" s="44">
        <v>87.1</v>
      </c>
      <c r="CE36" s="45">
        <v>7.7981651376146788</v>
      </c>
      <c r="CF36" s="45">
        <v>4.3269230769230766</v>
      </c>
      <c r="CG36" s="45">
        <v>2.9411764705882355</v>
      </c>
      <c r="CH36" s="45">
        <v>6.45</v>
      </c>
      <c r="CI36" s="48">
        <v>791</v>
      </c>
      <c r="CJ36" s="51">
        <v>822</v>
      </c>
      <c r="CK36" s="51">
        <v>904</v>
      </c>
      <c r="CL36" s="57">
        <v>864</v>
      </c>
      <c r="CM36" s="108">
        <v>11.778019327268124</v>
      </c>
      <c r="CN36" s="108">
        <v>11.275720164609053</v>
      </c>
      <c r="CO36" s="108">
        <v>11.318534099588076</v>
      </c>
      <c r="CP36" s="108">
        <v>10.734519431468044</v>
      </c>
      <c r="CQ36" s="60">
        <v>37</v>
      </c>
      <c r="CR36" s="60">
        <v>36</v>
      </c>
      <c r="CS36" s="60">
        <v>32</v>
      </c>
      <c r="CT36" s="60">
        <v>32</v>
      </c>
      <c r="CU36" s="108">
        <v>4.817708333333333</v>
      </c>
      <c r="CV36" s="108">
        <v>4.511278195488722</v>
      </c>
      <c r="CW36" s="108">
        <v>3.6866359447004609</v>
      </c>
      <c r="CX36" s="108">
        <v>3.8323353293413174</v>
      </c>
      <c r="CY36" s="61">
        <v>48</v>
      </c>
      <c r="CZ36" s="57">
        <v>48</v>
      </c>
      <c r="DA36" s="60">
        <v>48</v>
      </c>
      <c r="DB36" s="60">
        <v>47</v>
      </c>
      <c r="DC36" s="108">
        <v>6.8278805120910384</v>
      </c>
      <c r="DD36" s="108">
        <v>6.557377049180328</v>
      </c>
      <c r="DE36" s="108">
        <v>8.938547486033519</v>
      </c>
      <c r="DF36" s="108">
        <v>7.9124579124579126</v>
      </c>
      <c r="DG36" s="108">
        <v>80.890052356020945</v>
      </c>
      <c r="DH36" s="108">
        <v>81.448538754764925</v>
      </c>
      <c r="DI36" s="108">
        <v>84.882418812989926</v>
      </c>
      <c r="DJ36" s="108">
        <v>82.923976608187132</v>
      </c>
      <c r="DK36" s="108">
        <v>25.552486187845304</v>
      </c>
      <c r="DL36" s="108">
        <v>26.459627329192546</v>
      </c>
      <c r="DM36" s="108">
        <v>25.195094760312152</v>
      </c>
      <c r="DN36" s="108">
        <v>24.94199535962877</v>
      </c>
      <c r="DO36" s="108">
        <v>34.260429835651074</v>
      </c>
      <c r="DP36" s="108">
        <v>36.618004866180051</v>
      </c>
      <c r="DQ36" s="108">
        <v>35.840707964601769</v>
      </c>
      <c r="DR36" s="108">
        <v>40.393518518518519</v>
      </c>
      <c r="DS36" s="108">
        <v>40.848389630793399</v>
      </c>
      <c r="DT36" s="108">
        <v>37.171052631578945</v>
      </c>
      <c r="DU36" s="108">
        <v>32.487309644670049</v>
      </c>
      <c r="DV36" s="108">
        <v>31.164783794312427</v>
      </c>
      <c r="DW36" s="62">
        <v>139</v>
      </c>
      <c r="DX36" s="62">
        <v>1</v>
      </c>
      <c r="DY36" s="57">
        <v>2</v>
      </c>
      <c r="DZ36" s="60">
        <v>0</v>
      </c>
      <c r="EA36" s="60">
        <v>3</v>
      </c>
      <c r="EB36" s="60">
        <v>10</v>
      </c>
      <c r="EC36" s="60">
        <v>5</v>
      </c>
      <c r="ED36" s="57">
        <v>5</v>
      </c>
      <c r="EE36" s="60">
        <v>1</v>
      </c>
      <c r="EF36" s="60">
        <v>588</v>
      </c>
      <c r="EG36" s="60">
        <v>670</v>
      </c>
      <c r="EH36" s="60">
        <v>609</v>
      </c>
      <c r="EI36" s="60">
        <v>717</v>
      </c>
      <c r="EJ36" s="115">
        <v>140</v>
      </c>
      <c r="EK36" s="115">
        <v>0</v>
      </c>
      <c r="EL36" s="115">
        <v>3</v>
      </c>
      <c r="EM36" s="115">
        <v>0</v>
      </c>
      <c r="EN36" s="115">
        <v>0</v>
      </c>
      <c r="EO36" s="108">
        <v>875.5341800801084</v>
      </c>
      <c r="EP36" s="108">
        <v>919.06721536351165</v>
      </c>
      <c r="EQ36" s="108">
        <v>762.49859144348875</v>
      </c>
      <c r="ER36" s="108">
        <v>890.8160222641884</v>
      </c>
      <c r="ES36" s="108">
        <v>800.82383156368144</v>
      </c>
      <c r="ET36" s="108">
        <v>847.39117294888229</v>
      </c>
      <c r="EU36" s="108">
        <v>684.44920775042533</v>
      </c>
      <c r="EV36" s="108">
        <v>743.42657697343361</v>
      </c>
      <c r="EW36" s="108">
        <v>970.08905322239434</v>
      </c>
      <c r="EX36" s="108">
        <v>998.76062105247092</v>
      </c>
      <c r="EY36" s="108">
        <v>881.90913601810519</v>
      </c>
      <c r="EZ36" s="108">
        <v>888.65745678029953</v>
      </c>
      <c r="FA36" s="108">
        <v>652.00311774774207</v>
      </c>
      <c r="FB36" s="108">
        <v>713.69963014477571</v>
      </c>
      <c r="FC36" s="108">
        <v>545.83502340933467</v>
      </c>
      <c r="FD36" s="108">
        <v>612.52610175204632</v>
      </c>
      <c r="FE36" s="57">
        <v>133</v>
      </c>
      <c r="FF36" s="62">
        <v>168</v>
      </c>
      <c r="FG36" s="62">
        <v>168</v>
      </c>
      <c r="FH36" s="62">
        <v>186</v>
      </c>
      <c r="FI36" s="108">
        <v>179.95334784507952</v>
      </c>
      <c r="FJ36" s="108">
        <v>210.71080313170344</v>
      </c>
      <c r="FK36" s="108">
        <v>184.64722580065356</v>
      </c>
      <c r="FL36" s="108">
        <v>186.99644062168119</v>
      </c>
      <c r="FM36" s="62">
        <v>159</v>
      </c>
      <c r="FN36" s="62">
        <v>151</v>
      </c>
      <c r="FO36" s="57">
        <v>131</v>
      </c>
      <c r="FP36" s="62">
        <v>143</v>
      </c>
      <c r="FQ36" s="108">
        <v>212.2058694072866</v>
      </c>
      <c r="FR36" s="108">
        <v>189.16242102842625</v>
      </c>
      <c r="FS36" s="108">
        <v>146.62625458560478</v>
      </c>
      <c r="FT36" s="108">
        <v>147.55692123191071</v>
      </c>
      <c r="FU36" s="60">
        <v>53</v>
      </c>
      <c r="FV36" s="60">
        <v>49</v>
      </c>
      <c r="FW36" s="60">
        <v>28</v>
      </c>
      <c r="FX36" s="60">
        <v>46</v>
      </c>
      <c r="FY36" s="108">
        <v>71.2703302751367</v>
      </c>
      <c r="FZ36" s="108">
        <v>61.499620090410161</v>
      </c>
      <c r="GA36" s="108">
        <v>31.199156912547821</v>
      </c>
      <c r="GB36" s="108">
        <v>48.000334099879431</v>
      </c>
      <c r="GC36" s="63">
        <v>32</v>
      </c>
      <c r="GD36" s="64">
        <v>49</v>
      </c>
      <c r="GE36" s="63">
        <v>49</v>
      </c>
      <c r="GF36" s="63">
        <v>36</v>
      </c>
      <c r="GG36" s="112">
        <v>48.987359371013461</v>
      </c>
      <c r="GH36" s="112">
        <v>65.549511499737136</v>
      </c>
      <c r="GI36" s="112">
        <v>59.155783105907744</v>
      </c>
      <c r="GJ36" s="112">
        <v>42.379001712614439</v>
      </c>
      <c r="GK36" s="63"/>
      <c r="GL36" s="63"/>
      <c r="GM36" s="63"/>
      <c r="GN36" s="64"/>
      <c r="GO36" s="63"/>
      <c r="GP36" s="63"/>
      <c r="GQ36" s="63"/>
      <c r="GR36" s="63"/>
      <c r="GS36" s="64"/>
      <c r="GT36" s="63"/>
      <c r="GU36" s="63"/>
      <c r="GV36" s="63"/>
      <c r="GW36" s="63"/>
      <c r="GX36" s="64"/>
      <c r="GY36" s="64"/>
      <c r="GZ36" s="64"/>
      <c r="HA36" s="64"/>
      <c r="HB36" s="64"/>
      <c r="HC36" s="64"/>
      <c r="HD36" s="65"/>
      <c r="HE36" s="65"/>
      <c r="HF36" s="65"/>
      <c r="HG36" s="65"/>
      <c r="HH36" s="65"/>
      <c r="HI36" s="66"/>
      <c r="HJ36" s="66"/>
      <c r="HK36" s="63"/>
      <c r="HL36" s="64"/>
      <c r="HM36" s="64"/>
      <c r="HN36" s="64"/>
      <c r="HO36" s="64"/>
      <c r="HP36" s="64"/>
      <c r="HQ36" s="64"/>
      <c r="HR36" s="64"/>
      <c r="HS36" s="64"/>
      <c r="HT36" s="64"/>
      <c r="HU36" s="39"/>
    </row>
    <row r="37" spans="1:229" x14ac:dyDescent="0.2">
      <c r="A37" s="37">
        <v>34</v>
      </c>
      <c r="B37" s="86" t="s">
        <v>92</v>
      </c>
      <c r="C37" s="93">
        <v>40784</v>
      </c>
      <c r="D37" s="93">
        <v>40679</v>
      </c>
      <c r="E37" s="93">
        <v>41123</v>
      </c>
      <c r="F37" s="93">
        <v>42239</v>
      </c>
      <c r="G37" s="93">
        <v>42173</v>
      </c>
      <c r="H37" s="43">
        <v>40194</v>
      </c>
      <c r="I37" s="43">
        <v>1100</v>
      </c>
      <c r="J37" s="43">
        <v>184</v>
      </c>
      <c r="K37" s="43">
        <v>256</v>
      </c>
      <c r="L37" s="43">
        <v>4716</v>
      </c>
      <c r="M37" s="44">
        <v>16826</v>
      </c>
      <c r="N37" s="44">
        <v>16819</v>
      </c>
      <c r="O37" s="45">
        <v>16819</v>
      </c>
      <c r="P37" s="45">
        <v>16732</v>
      </c>
      <c r="Q37" s="46">
        <v>16769</v>
      </c>
      <c r="R37" s="105">
        <v>23.660613367493031</v>
      </c>
      <c r="S37" s="105">
        <v>24.042247122955786</v>
      </c>
      <c r="T37" s="105">
        <v>25.15358361774744</v>
      </c>
      <c r="U37" s="105">
        <v>25.22056923474473</v>
      </c>
      <c r="V37" s="105">
        <v>25.868725868725868</v>
      </c>
      <c r="W37" s="105">
        <v>29.997739431843868</v>
      </c>
      <c r="X37" s="105">
        <v>29.951544518473654</v>
      </c>
      <c r="Y37" s="105">
        <v>30.792567311338644</v>
      </c>
      <c r="Z37" s="105">
        <v>30.706190704714089</v>
      </c>
      <c r="AA37" s="105">
        <v>30.698693198693199</v>
      </c>
      <c r="AB37" s="105">
        <v>53.658352799336903</v>
      </c>
      <c r="AC37" s="105">
        <v>53.993791641429439</v>
      </c>
      <c r="AD37" s="105">
        <v>55.94615092908608</v>
      </c>
      <c r="AE37" s="105">
        <v>55.926759939458819</v>
      </c>
      <c r="AF37" s="105">
        <v>56.567419067419067</v>
      </c>
      <c r="AG37" s="46">
        <v>4.3428230480736447</v>
      </c>
      <c r="AH37" s="46">
        <v>4.9093751320292363</v>
      </c>
      <c r="AI37" s="46">
        <v>6.9499354946106786</v>
      </c>
      <c r="AJ37" s="46">
        <v>6.3473103221023148</v>
      </c>
      <c r="AK37" s="45">
        <v>5.8566541647776447</v>
      </c>
      <c r="AL37" s="49">
        <v>1205</v>
      </c>
      <c r="AM37" s="49">
        <v>1271.4166666666667</v>
      </c>
      <c r="AN37" s="49">
        <v>1658.75</v>
      </c>
      <c r="AO37" s="49">
        <v>1271.4166666666667</v>
      </c>
      <c r="AP37" s="49">
        <v>2252.5</v>
      </c>
      <c r="AQ37" s="49">
        <v>39384.494334130504</v>
      </c>
      <c r="AR37" s="49">
        <v>42861.545106572157</v>
      </c>
      <c r="AS37" s="49">
        <v>40080.512740417078</v>
      </c>
      <c r="AT37" s="49">
        <v>42287.242817379542</v>
      </c>
      <c r="AU37" s="49">
        <v>42769.331088611194</v>
      </c>
      <c r="AV37" s="101">
        <v>50051.536611009826</v>
      </c>
      <c r="AW37" s="101">
        <v>52898.062024217033</v>
      </c>
      <c r="AX37" s="102">
        <v>48774.511347692933</v>
      </c>
      <c r="AY37" s="102">
        <v>46344.102038008583</v>
      </c>
      <c r="AZ37" s="102">
        <v>49543</v>
      </c>
      <c r="BA37" s="99">
        <v>11.031672624553158</v>
      </c>
      <c r="BB37" s="99">
        <v>10.671808097753962</v>
      </c>
      <c r="BC37" s="99">
        <v>11.260837255387663</v>
      </c>
      <c r="BD37" s="99">
        <v>14.612883804936786</v>
      </c>
      <c r="BE37" s="99">
        <v>12.68136059676991</v>
      </c>
      <c r="BF37" s="99">
        <v>14.150845523394542</v>
      </c>
      <c r="BG37" s="99">
        <v>13.821223209618401</v>
      </c>
      <c r="BH37" s="48">
        <v>16.976290670224778</v>
      </c>
      <c r="BI37" s="48">
        <v>22.342142424853741</v>
      </c>
      <c r="BJ37" s="48">
        <v>18.614896014752588</v>
      </c>
      <c r="BK37" s="44">
        <v>5693</v>
      </c>
      <c r="BL37" s="44">
        <v>5648</v>
      </c>
      <c r="BM37" s="44">
        <v>5558</v>
      </c>
      <c r="BN37" s="42">
        <v>5530</v>
      </c>
      <c r="BO37" s="45">
        <v>41.524679430880028</v>
      </c>
      <c r="BP37" s="45">
        <v>44.989376770538243</v>
      </c>
      <c r="BQ37" s="45">
        <v>45.555955379632962</v>
      </c>
      <c r="BR37" s="46">
        <v>47.341772151898731</v>
      </c>
      <c r="BS37" s="105">
        <v>11.118917969436149</v>
      </c>
      <c r="BT37" s="105">
        <v>12.092776203966006</v>
      </c>
      <c r="BU37" s="105">
        <v>11.011155091759626</v>
      </c>
      <c r="BV37" s="105">
        <v>11.826401446654611</v>
      </c>
      <c r="BW37" s="45">
        <v>12.243105568241701</v>
      </c>
      <c r="BX37" s="45">
        <v>12.464589235127479</v>
      </c>
      <c r="BY37" s="45">
        <v>13.09823677581864</v>
      </c>
      <c r="BZ37" s="45">
        <v>13.743218806509946</v>
      </c>
      <c r="CA37" s="44">
        <v>70.744680851063833</v>
      </c>
      <c r="CB37" s="44">
        <v>74.248120300751879</v>
      </c>
      <c r="CC37" s="44">
        <v>69.680851063829792</v>
      </c>
      <c r="CD37" s="44">
        <v>73.7</v>
      </c>
      <c r="CE37" s="45">
        <v>5.8510638297872344</v>
      </c>
      <c r="CF37" s="45">
        <v>4.511278195488722</v>
      </c>
      <c r="CG37" s="45">
        <v>8.8652482269503547</v>
      </c>
      <c r="CH37" s="45">
        <v>10.65</v>
      </c>
      <c r="CI37" s="48">
        <v>2747</v>
      </c>
      <c r="CJ37" s="51">
        <v>2612</v>
      </c>
      <c r="CK37" s="51">
        <v>2916</v>
      </c>
      <c r="CL37" s="57">
        <v>2895</v>
      </c>
      <c r="CM37" s="108">
        <v>13.570123005483376</v>
      </c>
      <c r="CN37" s="108">
        <v>12.718879647844803</v>
      </c>
      <c r="CO37" s="108">
        <v>14.192681715971148</v>
      </c>
      <c r="CP37" s="108">
        <v>13.985642373356264</v>
      </c>
      <c r="CQ37" s="60">
        <v>96</v>
      </c>
      <c r="CR37" s="60">
        <v>88</v>
      </c>
      <c r="CS37" s="60">
        <v>114</v>
      </c>
      <c r="CT37" s="60">
        <v>127</v>
      </c>
      <c r="CU37" s="108">
        <v>3.5555555555555554</v>
      </c>
      <c r="CV37" s="108">
        <v>3.4536891679748822</v>
      </c>
      <c r="CW37" s="108">
        <v>4.0098487513190291</v>
      </c>
      <c r="CX37" s="108">
        <v>4.5405791919914193</v>
      </c>
      <c r="CY37" s="61">
        <v>159</v>
      </c>
      <c r="CZ37" s="57">
        <v>139</v>
      </c>
      <c r="DA37" s="60">
        <v>184</v>
      </c>
      <c r="DB37" s="60">
        <v>196</v>
      </c>
      <c r="DC37" s="108">
        <v>6.0410334346504557</v>
      </c>
      <c r="DD37" s="108">
        <v>5.7700290577002908</v>
      </c>
      <c r="DE37" s="108">
        <v>6.73992673992674</v>
      </c>
      <c r="DF37" s="108">
        <v>7.2673340748980353</v>
      </c>
      <c r="DG37" s="108">
        <v>78.579315421420688</v>
      </c>
      <c r="DH37" s="108">
        <v>82.42564696794129</v>
      </c>
      <c r="DI37" s="108">
        <v>84.784853700516351</v>
      </c>
      <c r="DJ37" s="108">
        <v>85.060658578856149</v>
      </c>
      <c r="DK37" s="108">
        <v>10.988607129731717</v>
      </c>
      <c r="DL37" s="108">
        <v>10.871241326137239</v>
      </c>
      <c r="DM37" s="108">
        <v>9.0971743625086141</v>
      </c>
      <c r="DN37" s="108">
        <v>11.207194742303701</v>
      </c>
      <c r="DO37" s="108">
        <v>28.613032398980707</v>
      </c>
      <c r="DP37" s="108">
        <v>28.905053598774884</v>
      </c>
      <c r="DQ37" s="108">
        <v>34.476843910806174</v>
      </c>
      <c r="DR37" s="108">
        <v>39.322736696613681</v>
      </c>
      <c r="DS37" s="108">
        <v>43.766578249336867</v>
      </c>
      <c r="DT37" s="108">
        <v>37.281736668239738</v>
      </c>
      <c r="DU37" s="108">
        <v>45.436428856117978</v>
      </c>
      <c r="DV37" s="108">
        <v>41.302841302841301</v>
      </c>
      <c r="DW37" s="62">
        <v>495</v>
      </c>
      <c r="DX37" s="62">
        <v>53</v>
      </c>
      <c r="DY37" s="57">
        <v>2</v>
      </c>
      <c r="DZ37" s="60">
        <v>4</v>
      </c>
      <c r="EA37" s="60">
        <v>114</v>
      </c>
      <c r="EB37" s="60">
        <v>19</v>
      </c>
      <c r="EC37" s="60">
        <v>22</v>
      </c>
      <c r="ED37" s="57">
        <v>6</v>
      </c>
      <c r="EE37" s="60">
        <v>15</v>
      </c>
      <c r="EF37" s="60">
        <v>1804</v>
      </c>
      <c r="EG37" s="60">
        <v>1812</v>
      </c>
      <c r="EH37" s="60">
        <v>1828</v>
      </c>
      <c r="EI37" s="60">
        <v>1802</v>
      </c>
      <c r="EJ37" s="115">
        <v>377</v>
      </c>
      <c r="EK37" s="115">
        <v>0</v>
      </c>
      <c r="EL37" s="115">
        <v>0</v>
      </c>
      <c r="EM37" s="115">
        <v>2</v>
      </c>
      <c r="EN37" s="115">
        <v>6</v>
      </c>
      <c r="EO37" s="108">
        <v>891.17225707652028</v>
      </c>
      <c r="EP37" s="108">
        <v>882.33575504957048</v>
      </c>
      <c r="EQ37" s="108">
        <v>889.71955338804037</v>
      </c>
      <c r="ER37" s="108">
        <v>870.53981197885969</v>
      </c>
      <c r="ES37" s="108">
        <v>764.01432752670917</v>
      </c>
      <c r="ET37" s="108">
        <v>727.10834425778182</v>
      </c>
      <c r="EU37" s="108">
        <v>670.00139245084665</v>
      </c>
      <c r="EV37" s="108">
        <v>624.96294870465613</v>
      </c>
      <c r="EW37" s="108">
        <v>950.33311166129874</v>
      </c>
      <c r="EX37" s="108">
        <v>851.07318657982114</v>
      </c>
      <c r="EY37" s="108">
        <v>803.1717725660875</v>
      </c>
      <c r="EZ37" s="108">
        <v>738.7100593095164</v>
      </c>
      <c r="FA37" s="108">
        <v>628.08322035377989</v>
      </c>
      <c r="FB37" s="108">
        <v>622.92856153277296</v>
      </c>
      <c r="FC37" s="108">
        <v>561.2743942954969</v>
      </c>
      <c r="FD37" s="108">
        <v>529.64878017086357</v>
      </c>
      <c r="FE37" s="57">
        <v>409</v>
      </c>
      <c r="FF37" s="62">
        <v>420</v>
      </c>
      <c r="FG37" s="62">
        <v>419</v>
      </c>
      <c r="FH37" s="62">
        <v>406</v>
      </c>
      <c r="FI37" s="108">
        <v>183.09138464408267</v>
      </c>
      <c r="FJ37" s="108">
        <v>178.38777936026494</v>
      </c>
      <c r="FK37" s="108">
        <v>163.53270213793616</v>
      </c>
      <c r="FL37" s="108">
        <v>150.23607650312636</v>
      </c>
      <c r="FM37" s="62">
        <v>529</v>
      </c>
      <c r="FN37" s="62">
        <v>489</v>
      </c>
      <c r="FO37" s="57">
        <v>380</v>
      </c>
      <c r="FP37" s="62">
        <v>384</v>
      </c>
      <c r="FQ37" s="108">
        <v>215.42439435410404</v>
      </c>
      <c r="FR37" s="108">
        <v>191.67059318603003</v>
      </c>
      <c r="FS37" s="108">
        <v>135.26284690857193</v>
      </c>
      <c r="FT37" s="108">
        <v>123.70420022644376</v>
      </c>
      <c r="FU37" s="60">
        <v>149</v>
      </c>
      <c r="FV37" s="60">
        <v>136</v>
      </c>
      <c r="FW37" s="60">
        <v>162</v>
      </c>
      <c r="FX37" s="60">
        <v>123</v>
      </c>
      <c r="FY37" s="108">
        <v>59.608645752233485</v>
      </c>
      <c r="FZ37" s="108">
        <v>51.163927881434944</v>
      </c>
      <c r="GA37" s="108">
        <v>56.723417039714597</v>
      </c>
      <c r="GB37" s="108">
        <v>39.330863678051237</v>
      </c>
      <c r="GC37" s="63">
        <v>98</v>
      </c>
      <c r="GD37" s="64">
        <v>73</v>
      </c>
      <c r="GE37" s="63">
        <v>118</v>
      </c>
      <c r="GF37" s="63">
        <v>94</v>
      </c>
      <c r="GG37" s="112">
        <v>46.648157057790158</v>
      </c>
      <c r="GH37" s="112">
        <v>32.411606277539015</v>
      </c>
      <c r="GI37" s="112">
        <v>50.633965889404095</v>
      </c>
      <c r="GJ37" s="112">
        <v>38.096835650025604</v>
      </c>
      <c r="GK37" s="63"/>
      <c r="GL37" s="63"/>
      <c r="GM37" s="63"/>
      <c r="GN37" s="64"/>
      <c r="GO37" s="63"/>
      <c r="GP37" s="63"/>
      <c r="GQ37" s="63"/>
      <c r="GR37" s="63"/>
      <c r="GS37" s="64"/>
      <c r="GT37" s="63"/>
      <c r="GU37" s="63"/>
      <c r="GV37" s="63"/>
      <c r="GW37" s="63"/>
      <c r="GX37" s="64"/>
      <c r="GY37" s="64"/>
      <c r="GZ37" s="64"/>
      <c r="HA37" s="64"/>
      <c r="HB37" s="64"/>
      <c r="HC37" s="64"/>
      <c r="HD37" s="65"/>
      <c r="HE37" s="65"/>
      <c r="HF37" s="65"/>
      <c r="HG37" s="65"/>
      <c r="HH37" s="65"/>
      <c r="HI37" s="66"/>
      <c r="HJ37" s="66"/>
      <c r="HK37" s="63"/>
      <c r="HL37" s="64"/>
      <c r="HM37" s="64"/>
      <c r="HN37" s="64"/>
      <c r="HO37" s="64"/>
      <c r="HP37" s="64"/>
      <c r="HQ37" s="64"/>
      <c r="HR37" s="64"/>
      <c r="HS37" s="64"/>
      <c r="HT37" s="64"/>
      <c r="HU37" s="39"/>
    </row>
    <row r="38" spans="1:229" x14ac:dyDescent="0.2">
      <c r="A38" s="37">
        <v>35</v>
      </c>
      <c r="B38" s="86" t="s">
        <v>93</v>
      </c>
      <c r="C38" s="93">
        <v>4505</v>
      </c>
      <c r="D38" s="93">
        <v>4462</v>
      </c>
      <c r="E38" s="93">
        <v>4374</v>
      </c>
      <c r="F38" s="93">
        <v>4552</v>
      </c>
      <c r="G38" s="93">
        <v>4515</v>
      </c>
      <c r="H38" s="43">
        <v>4453</v>
      </c>
      <c r="I38" s="43">
        <v>11</v>
      </c>
      <c r="J38" s="43">
        <v>13</v>
      </c>
      <c r="K38" s="43">
        <v>18</v>
      </c>
      <c r="L38" s="43">
        <v>82</v>
      </c>
      <c r="M38" s="44">
        <v>1999</v>
      </c>
      <c r="N38" s="44">
        <v>1989</v>
      </c>
      <c r="O38" s="45">
        <v>1949</v>
      </c>
      <c r="P38" s="45">
        <v>1986</v>
      </c>
      <c r="Q38" s="46">
        <v>1984</v>
      </c>
      <c r="R38" s="105">
        <v>38.628026412325752</v>
      </c>
      <c r="S38" s="105">
        <v>38.956714761376247</v>
      </c>
      <c r="T38" s="105">
        <v>39.320200849748936</v>
      </c>
      <c r="U38" s="105">
        <v>37.789203084832906</v>
      </c>
      <c r="V38" s="105">
        <v>37.412458532989312</v>
      </c>
      <c r="W38" s="105">
        <v>26.632428466617753</v>
      </c>
      <c r="X38" s="105">
        <v>26.119126896041436</v>
      </c>
      <c r="Y38" s="105">
        <v>29.625337968327539</v>
      </c>
      <c r="Z38" s="105">
        <v>29.379360998898274</v>
      </c>
      <c r="AA38" s="105">
        <v>29.008477699963141</v>
      </c>
      <c r="AB38" s="105">
        <v>65.260454878943506</v>
      </c>
      <c r="AC38" s="105">
        <v>65.075841657417683</v>
      </c>
      <c r="AD38" s="105">
        <v>68.945538818076471</v>
      </c>
      <c r="AE38" s="105">
        <v>67.168564083731184</v>
      </c>
      <c r="AF38" s="105">
        <v>66.420936232952457</v>
      </c>
      <c r="AG38" s="46">
        <v>5.7854560064282845</v>
      </c>
      <c r="AH38" s="46">
        <v>5.5913113435237332</v>
      </c>
      <c r="AI38" s="46">
        <v>7.4733096085409256</v>
      </c>
      <c r="AJ38" s="46">
        <v>7.2220099350401226</v>
      </c>
      <c r="AK38" s="45">
        <v>6.8604651162790695</v>
      </c>
      <c r="AL38" s="49">
        <v>62.583333333333336</v>
      </c>
      <c r="AM38" s="49">
        <v>64.083333333333329</v>
      </c>
      <c r="AN38" s="49">
        <v>67.333333333333329</v>
      </c>
      <c r="AO38" s="49">
        <v>64.083333333333329</v>
      </c>
      <c r="AP38" s="49">
        <v>97.666666666666671</v>
      </c>
      <c r="AQ38" s="49">
        <v>38077.280784263152</v>
      </c>
      <c r="AR38" s="49">
        <v>51354.919612176855</v>
      </c>
      <c r="AS38" s="49">
        <v>39564.305110943533</v>
      </c>
      <c r="AT38" s="49">
        <v>43283.989258780239</v>
      </c>
      <c r="AU38" s="49">
        <v>43914.064230343298</v>
      </c>
      <c r="AV38" s="101">
        <v>42951.066108169107</v>
      </c>
      <c r="AW38" s="101">
        <v>45328.808205180605</v>
      </c>
      <c r="AX38" s="102">
        <v>47605.449670686168</v>
      </c>
      <c r="AY38" s="102">
        <v>45368.241277470006</v>
      </c>
      <c r="AZ38" s="102">
        <v>45740</v>
      </c>
      <c r="BA38" s="99">
        <v>9.8805147058823533</v>
      </c>
      <c r="BB38" s="99">
        <v>10.464037122969838</v>
      </c>
      <c r="BC38" s="99">
        <v>10.049774828158331</v>
      </c>
      <c r="BD38" s="99">
        <v>10.013531799729364</v>
      </c>
      <c r="BE38" s="99">
        <v>10.710233719083277</v>
      </c>
      <c r="BF38" s="99">
        <v>14.786418400876233</v>
      </c>
      <c r="BG38" s="99">
        <v>13.972286374133949</v>
      </c>
      <c r="BH38" s="48">
        <v>15.608180839612487</v>
      </c>
      <c r="BI38" s="48">
        <v>14.532520325203253</v>
      </c>
      <c r="BJ38" s="48">
        <v>15.589743589743589</v>
      </c>
      <c r="BK38" s="44">
        <v>738</v>
      </c>
      <c r="BL38" s="44">
        <v>715</v>
      </c>
      <c r="BM38" s="44">
        <v>719</v>
      </c>
      <c r="BN38" s="42">
        <v>682</v>
      </c>
      <c r="BO38" s="45">
        <v>38.482384823848236</v>
      </c>
      <c r="BP38" s="45">
        <v>40.27972027972028</v>
      </c>
      <c r="BQ38" s="45">
        <v>39.916550764951324</v>
      </c>
      <c r="BR38" s="46">
        <v>37.829912023460409</v>
      </c>
      <c r="BS38" s="105">
        <v>0</v>
      </c>
      <c r="BT38" s="105">
        <v>0</v>
      </c>
      <c r="BU38" s="105">
        <v>0</v>
      </c>
      <c r="BV38" s="105">
        <v>0</v>
      </c>
      <c r="BW38" s="45">
        <v>18.56368563685637</v>
      </c>
      <c r="BX38" s="45">
        <v>17.762237762237763</v>
      </c>
      <c r="BY38" s="45">
        <v>16.82892906815021</v>
      </c>
      <c r="BZ38" s="45">
        <v>16.422287390029325</v>
      </c>
      <c r="CA38" s="44">
        <v>95.774647887323937</v>
      </c>
      <c r="CB38" s="44">
        <v>96.296296296296291</v>
      </c>
      <c r="CC38" s="44">
        <v>91.666666666666671</v>
      </c>
      <c r="CD38" s="44">
        <v>96.55</v>
      </c>
      <c r="CE38" s="45">
        <v>0</v>
      </c>
      <c r="CF38" s="45">
        <v>3.7037037037037037</v>
      </c>
      <c r="CG38" s="45">
        <v>2.0833333333333335</v>
      </c>
      <c r="CH38" s="45"/>
      <c r="CI38" s="48">
        <v>285</v>
      </c>
      <c r="CJ38" s="51">
        <v>278</v>
      </c>
      <c r="CK38" s="51">
        <v>206</v>
      </c>
      <c r="CL38" s="57">
        <v>218</v>
      </c>
      <c r="CM38" s="108">
        <v>10.34445210700156</v>
      </c>
      <c r="CN38" s="108">
        <v>10.5679312704326</v>
      </c>
      <c r="CO38" s="108">
        <v>8.4669132757912049</v>
      </c>
      <c r="CP38" s="108">
        <v>9.728668332738307</v>
      </c>
      <c r="CQ38" s="60">
        <v>12</v>
      </c>
      <c r="CR38" s="60">
        <v>13</v>
      </c>
      <c r="CS38" s="60">
        <v>11</v>
      </c>
      <c r="CT38" s="60">
        <v>7</v>
      </c>
      <c r="CU38" s="108">
        <v>4.4280442804428048</v>
      </c>
      <c r="CV38" s="108">
        <v>4.9056603773584904</v>
      </c>
      <c r="CW38" s="108">
        <v>5.5</v>
      </c>
      <c r="CX38" s="108">
        <v>3.3018867924528301</v>
      </c>
      <c r="CY38" s="61">
        <v>14</v>
      </c>
      <c r="CZ38" s="57">
        <v>15</v>
      </c>
      <c r="DA38" s="60">
        <v>11</v>
      </c>
      <c r="DB38" s="60">
        <v>15</v>
      </c>
      <c r="DC38" s="108">
        <v>5.957446808510638</v>
      </c>
      <c r="DD38" s="108">
        <v>6.1475409836065573</v>
      </c>
      <c r="DE38" s="108">
        <v>5.7894736842105265</v>
      </c>
      <c r="DF38" s="108">
        <v>8.8235294117647065</v>
      </c>
      <c r="DG38" s="108">
        <v>77.859778597785976</v>
      </c>
      <c r="DH38" s="108">
        <v>80.297397769516735</v>
      </c>
      <c r="DI38" s="108">
        <v>84.313725490196077</v>
      </c>
      <c r="DJ38" s="108">
        <v>83.060109289617486</v>
      </c>
      <c r="DK38" s="108">
        <v>10.638297872340425</v>
      </c>
      <c r="DL38" s="108">
        <v>11.721611721611721</v>
      </c>
      <c r="DM38" s="108">
        <v>7.8048780487804876</v>
      </c>
      <c r="DN38" s="108">
        <v>13.084112149532711</v>
      </c>
      <c r="DO38" s="108">
        <v>16.140350877192983</v>
      </c>
      <c r="DP38" s="108">
        <v>19.784172661870503</v>
      </c>
      <c r="DQ38" s="108">
        <v>16.50485436893204</v>
      </c>
      <c r="DR38" s="108">
        <v>18.348623853211009</v>
      </c>
      <c r="DS38" s="108">
        <v>27.060270602706026</v>
      </c>
      <c r="DT38" s="108" t="s">
        <v>39</v>
      </c>
      <c r="DU38" s="108" t="s">
        <v>39</v>
      </c>
      <c r="DV38" s="108" t="s">
        <v>39</v>
      </c>
      <c r="DW38" s="62">
        <v>43</v>
      </c>
      <c r="DX38" s="62">
        <v>22</v>
      </c>
      <c r="DY38" s="57">
        <v>0</v>
      </c>
      <c r="DZ38" s="60">
        <v>0</v>
      </c>
      <c r="EA38" s="60">
        <v>0</v>
      </c>
      <c r="EB38" s="60">
        <v>4</v>
      </c>
      <c r="EC38" s="60">
        <v>2</v>
      </c>
      <c r="ED38" s="57">
        <v>1</v>
      </c>
      <c r="EE38" s="60">
        <v>0</v>
      </c>
      <c r="EF38" s="60">
        <v>447</v>
      </c>
      <c r="EG38" s="60">
        <v>370</v>
      </c>
      <c r="EH38" s="60">
        <v>358</v>
      </c>
      <c r="EI38" s="60">
        <v>339</v>
      </c>
      <c r="EJ38" s="115">
        <v>53</v>
      </c>
      <c r="EK38" s="115">
        <v>0</v>
      </c>
      <c r="EL38" s="115">
        <v>0</v>
      </c>
      <c r="EM38" s="115">
        <v>0</v>
      </c>
      <c r="EN38" s="115">
        <v>0</v>
      </c>
      <c r="EO38" s="108">
        <v>1622.4456462560343</v>
      </c>
      <c r="EP38" s="108">
        <v>1406.5232266403102</v>
      </c>
      <c r="EQ38" s="108">
        <v>1471.4344430743938</v>
      </c>
      <c r="ER38" s="108">
        <v>1512.8525526597643</v>
      </c>
      <c r="ES38" s="108">
        <v>962.07551591243043</v>
      </c>
      <c r="ET38" s="108">
        <v>811.37039305470944</v>
      </c>
      <c r="EU38" s="108">
        <v>765.51248465327467</v>
      </c>
      <c r="EV38" s="108">
        <v>715.70138264943103</v>
      </c>
      <c r="EW38" s="108">
        <v>1159.0677393851909</v>
      </c>
      <c r="EX38" s="108">
        <v>941.71472399838308</v>
      </c>
      <c r="EY38" s="108">
        <v>987.00108419188734</v>
      </c>
      <c r="EZ38" s="108">
        <v>948.40425927791375</v>
      </c>
      <c r="FA38" s="108">
        <v>796.213941552915</v>
      </c>
      <c r="FB38" s="108">
        <v>695.99506522031652</v>
      </c>
      <c r="FC38" s="108">
        <v>582.19973023772729</v>
      </c>
      <c r="FD38" s="108">
        <v>531.24264512986122</v>
      </c>
      <c r="FE38" s="57">
        <v>89</v>
      </c>
      <c r="FF38" s="62">
        <v>77</v>
      </c>
      <c r="FG38" s="62">
        <v>62</v>
      </c>
      <c r="FH38" s="62">
        <v>69</v>
      </c>
      <c r="FI38" s="108">
        <v>213.17410987891719</v>
      </c>
      <c r="FJ38" s="108">
        <v>185.22168696442623</v>
      </c>
      <c r="FK38" s="108">
        <v>153.19282116546879</v>
      </c>
      <c r="FL38" s="108">
        <v>162.83713931258751</v>
      </c>
      <c r="FM38" s="62">
        <v>164</v>
      </c>
      <c r="FN38" s="62">
        <v>129</v>
      </c>
      <c r="FO38" s="57">
        <v>119</v>
      </c>
      <c r="FP38" s="62">
        <v>78</v>
      </c>
      <c r="FQ38" s="108">
        <v>329.08069348508127</v>
      </c>
      <c r="FR38" s="108">
        <v>272.29338098880544</v>
      </c>
      <c r="FS38" s="108">
        <v>230.27084230432104</v>
      </c>
      <c r="FT38" s="108">
        <v>162.84154510486965</v>
      </c>
      <c r="FU38" s="60">
        <v>41</v>
      </c>
      <c r="FV38" s="60">
        <v>28</v>
      </c>
      <c r="FW38" s="60">
        <v>39</v>
      </c>
      <c r="FX38" s="60">
        <v>18</v>
      </c>
      <c r="FY38" s="108">
        <v>76.341632348485888</v>
      </c>
      <c r="FZ38" s="108">
        <v>49.487685437608008</v>
      </c>
      <c r="GA38" s="108">
        <v>68.202058573502043</v>
      </c>
      <c r="GB38" s="108" t="s">
        <v>39</v>
      </c>
      <c r="GC38" s="63">
        <v>13</v>
      </c>
      <c r="GD38" s="64">
        <v>10</v>
      </c>
      <c r="GE38" s="63">
        <v>18</v>
      </c>
      <c r="GF38" s="63">
        <v>13</v>
      </c>
      <c r="GG38" s="112" t="s">
        <v>39</v>
      </c>
      <c r="GH38" s="112" t="s">
        <v>39</v>
      </c>
      <c r="GI38" s="112" t="s">
        <v>39</v>
      </c>
      <c r="GJ38" s="112" t="s">
        <v>39</v>
      </c>
      <c r="GK38" s="63"/>
      <c r="GL38" s="63"/>
      <c r="GM38" s="63"/>
      <c r="GN38" s="64"/>
      <c r="GO38" s="63"/>
      <c r="GP38" s="63"/>
      <c r="GQ38" s="63"/>
      <c r="GR38" s="63"/>
      <c r="GS38" s="64"/>
      <c r="GT38" s="63"/>
      <c r="GU38" s="63"/>
      <c r="GV38" s="63"/>
      <c r="GW38" s="63"/>
      <c r="GX38" s="64"/>
      <c r="GY38" s="64"/>
      <c r="GZ38" s="64"/>
      <c r="HA38" s="64"/>
      <c r="HB38" s="64"/>
      <c r="HC38" s="64"/>
      <c r="HD38" s="65"/>
      <c r="HE38" s="65"/>
      <c r="HF38" s="65"/>
      <c r="HG38" s="65"/>
      <c r="HH38" s="65"/>
      <c r="HI38" s="66"/>
      <c r="HJ38" s="66"/>
      <c r="HK38" s="63"/>
      <c r="HL38" s="64"/>
      <c r="HM38" s="64"/>
      <c r="HN38" s="64"/>
      <c r="HO38" s="64"/>
      <c r="HP38" s="64"/>
      <c r="HQ38" s="64"/>
      <c r="HR38" s="64"/>
      <c r="HS38" s="64"/>
      <c r="HT38" s="64"/>
      <c r="HU38" s="39"/>
    </row>
    <row r="39" spans="1:229" x14ac:dyDescent="0.2">
      <c r="A39" s="37">
        <v>36</v>
      </c>
      <c r="B39" s="86" t="s">
        <v>94</v>
      </c>
      <c r="C39" s="93">
        <v>13459</v>
      </c>
      <c r="D39" s="93">
        <v>13251</v>
      </c>
      <c r="E39" s="93">
        <v>13128</v>
      </c>
      <c r="F39" s="93">
        <v>13311</v>
      </c>
      <c r="G39" s="93">
        <v>13213</v>
      </c>
      <c r="H39" s="43">
        <v>12499</v>
      </c>
      <c r="I39" s="43">
        <v>102</v>
      </c>
      <c r="J39" s="43">
        <v>321</v>
      </c>
      <c r="K39" s="43">
        <v>61</v>
      </c>
      <c r="L39" s="43">
        <v>164</v>
      </c>
      <c r="M39" s="44">
        <v>6026</v>
      </c>
      <c r="N39" s="44">
        <v>5975</v>
      </c>
      <c r="O39" s="45">
        <v>5937</v>
      </c>
      <c r="P39" s="45">
        <v>5874</v>
      </c>
      <c r="Q39" s="46">
        <v>5859</v>
      </c>
      <c r="R39" s="105">
        <v>30.521949533356377</v>
      </c>
      <c r="S39" s="105">
        <v>31.329113924050635</v>
      </c>
      <c r="T39" s="105">
        <v>32.185015658877376</v>
      </c>
      <c r="U39" s="105">
        <v>30.700306531478425</v>
      </c>
      <c r="V39" s="105">
        <v>30.385433908725467</v>
      </c>
      <c r="W39" s="105">
        <v>24.553519990782348</v>
      </c>
      <c r="X39" s="105">
        <v>23.980309423347396</v>
      </c>
      <c r="Y39" s="105">
        <v>25.945555287882438</v>
      </c>
      <c r="Z39" s="105">
        <v>26.232020749823153</v>
      </c>
      <c r="AA39" s="105">
        <v>25.83353038543391</v>
      </c>
      <c r="AB39" s="105">
        <v>55.075469524138725</v>
      </c>
      <c r="AC39" s="105">
        <v>55.309423347398031</v>
      </c>
      <c r="AD39" s="105">
        <v>58.130570946759818</v>
      </c>
      <c r="AE39" s="105">
        <v>56.932327281301582</v>
      </c>
      <c r="AF39" s="105">
        <v>56.218964294159377</v>
      </c>
      <c r="AG39" s="46">
        <v>7.0618872549019605</v>
      </c>
      <c r="AH39" s="46">
        <v>7.6266015863331296</v>
      </c>
      <c r="AI39" s="46">
        <v>9.785202863961814</v>
      </c>
      <c r="AJ39" s="46">
        <v>8.7778429073856969</v>
      </c>
      <c r="AK39" s="45">
        <v>8.3441418071768272</v>
      </c>
      <c r="AL39" s="49">
        <v>500.58333333333331</v>
      </c>
      <c r="AM39" s="49">
        <v>502.16666666666669</v>
      </c>
      <c r="AN39" s="49">
        <v>577.83333333333337</v>
      </c>
      <c r="AO39" s="49">
        <v>502.16666666666669</v>
      </c>
      <c r="AP39" s="49">
        <v>771.75</v>
      </c>
      <c r="AQ39" s="49">
        <v>34447.501361784329</v>
      </c>
      <c r="AR39" s="49">
        <v>34179.030954414571</v>
      </c>
      <c r="AS39" s="49">
        <v>34848.253366668017</v>
      </c>
      <c r="AT39" s="49">
        <v>36169.117523625609</v>
      </c>
      <c r="AU39" s="49">
        <v>35855.218345568755</v>
      </c>
      <c r="AV39" s="101">
        <v>45525.461295830079</v>
      </c>
      <c r="AW39" s="101">
        <v>40881.283911510756</v>
      </c>
      <c r="AX39" s="102">
        <v>42391.329742655107</v>
      </c>
      <c r="AY39" s="102">
        <v>43011.114599002089</v>
      </c>
      <c r="AZ39" s="102">
        <v>42771</v>
      </c>
      <c r="BA39" s="99">
        <v>13.211274025678037</v>
      </c>
      <c r="BB39" s="99">
        <v>13.017979782390617</v>
      </c>
      <c r="BC39" s="99">
        <v>12.891660171473109</v>
      </c>
      <c r="BD39" s="99">
        <v>14.625928478443985</v>
      </c>
      <c r="BE39" s="99">
        <v>14.046461372231226</v>
      </c>
      <c r="BF39" s="99">
        <v>19.045844204248976</v>
      </c>
      <c r="BG39" s="99">
        <v>18.7984496124031</v>
      </c>
      <c r="BH39" s="48">
        <v>19.022556390977442</v>
      </c>
      <c r="BI39" s="48">
        <v>22.035753374680773</v>
      </c>
      <c r="BJ39" s="48">
        <v>21.482035928143713</v>
      </c>
      <c r="BK39" s="44">
        <v>1998</v>
      </c>
      <c r="BL39" s="44">
        <v>1970</v>
      </c>
      <c r="BM39" s="44">
        <v>1974</v>
      </c>
      <c r="BN39" s="42">
        <v>1917</v>
      </c>
      <c r="BO39" s="45">
        <v>38.138138138138139</v>
      </c>
      <c r="BP39" s="45">
        <v>38.730964467005073</v>
      </c>
      <c r="BQ39" s="45">
        <v>40.476190476190474</v>
      </c>
      <c r="BR39" s="46">
        <v>38.393322900365156</v>
      </c>
      <c r="BS39" s="105">
        <v>0.10010010010010011</v>
      </c>
      <c r="BT39" s="105">
        <v>0.25380710659898476</v>
      </c>
      <c r="BU39" s="105">
        <v>0.303951367781155</v>
      </c>
      <c r="BV39" s="105">
        <v>0.36515388628064682</v>
      </c>
      <c r="BW39" s="45">
        <v>15.365365365365365</v>
      </c>
      <c r="BX39" s="45">
        <v>14.619289340101522</v>
      </c>
      <c r="BY39" s="45">
        <v>14.539007092198581</v>
      </c>
      <c r="BZ39" s="45">
        <v>15.753781950965049</v>
      </c>
      <c r="CA39" s="44">
        <v>83.333333333333329</v>
      </c>
      <c r="CB39" s="44">
        <v>80.459770114942529</v>
      </c>
      <c r="CC39" s="44">
        <v>81.538461538461533</v>
      </c>
      <c r="CD39" s="44">
        <v>81.88</v>
      </c>
      <c r="CE39" s="45">
        <v>3.763440860215054</v>
      </c>
      <c r="CF39" s="45">
        <v>6.3218390804597702</v>
      </c>
      <c r="CG39" s="45">
        <v>4.1025641025641022</v>
      </c>
      <c r="CH39" s="45">
        <v>7.5</v>
      </c>
      <c r="CI39" s="48">
        <v>813</v>
      </c>
      <c r="CJ39" s="51">
        <v>756</v>
      </c>
      <c r="CK39" s="51">
        <v>617</v>
      </c>
      <c r="CL39" s="57">
        <v>606</v>
      </c>
      <c r="CM39" s="108">
        <v>10.129831294076602</v>
      </c>
      <c r="CN39" s="108">
        <v>10.13608634443923</v>
      </c>
      <c r="CO39" s="108">
        <v>8.8874164554044714</v>
      </c>
      <c r="CP39" s="108">
        <v>9.1317320153099661</v>
      </c>
      <c r="CQ39" s="60">
        <v>40</v>
      </c>
      <c r="CR39" s="60">
        <v>41</v>
      </c>
      <c r="CS39" s="60">
        <v>25</v>
      </c>
      <c r="CT39" s="60">
        <v>20</v>
      </c>
      <c r="CU39" s="108">
        <v>5</v>
      </c>
      <c r="CV39" s="108">
        <v>5.5555555555555554</v>
      </c>
      <c r="CW39" s="108">
        <v>4.1597337770382694</v>
      </c>
      <c r="CX39" s="108">
        <v>3.4482758620689653</v>
      </c>
      <c r="CY39" s="61">
        <v>47</v>
      </c>
      <c r="CZ39" s="57">
        <v>41</v>
      </c>
      <c r="DA39" s="60">
        <v>48</v>
      </c>
      <c r="DB39" s="60">
        <v>36</v>
      </c>
      <c r="DC39" s="108">
        <v>9.1439688715953302</v>
      </c>
      <c r="DD39" s="108">
        <v>6.7880794701986753</v>
      </c>
      <c r="DE39" s="108">
        <v>8.8560885608856097</v>
      </c>
      <c r="DF39" s="108">
        <v>7.5949367088607591</v>
      </c>
      <c r="DG39" s="108">
        <v>74.954954954954957</v>
      </c>
      <c r="DH39" s="108">
        <v>88.125894134477832</v>
      </c>
      <c r="DI39" s="108">
        <v>77.614379084967325</v>
      </c>
      <c r="DJ39" s="108">
        <v>78.875638841567294</v>
      </c>
      <c r="DK39" s="108">
        <v>15.912636505460219</v>
      </c>
      <c r="DL39" s="108">
        <v>11.812080536912752</v>
      </c>
      <c r="DM39" s="108">
        <v>19.064124783362217</v>
      </c>
      <c r="DN39" s="108">
        <v>24.040066777963272</v>
      </c>
      <c r="DO39" s="108">
        <v>32.305795314426632</v>
      </c>
      <c r="DP39" s="108">
        <v>30.687830687830687</v>
      </c>
      <c r="DQ39" s="108">
        <v>39.222042139384115</v>
      </c>
      <c r="DR39" s="108">
        <v>44.958677685950413</v>
      </c>
      <c r="DS39" s="108">
        <v>34.879539733908665</v>
      </c>
      <c r="DT39" s="108">
        <v>30.158146377344611</v>
      </c>
      <c r="DU39" s="108">
        <v>26.540710751237068</v>
      </c>
      <c r="DV39" s="108">
        <v>30.089327691584391</v>
      </c>
      <c r="DW39" s="62">
        <v>113</v>
      </c>
      <c r="DX39" s="62">
        <v>1</v>
      </c>
      <c r="DY39" s="57">
        <v>9</v>
      </c>
      <c r="DZ39" s="60">
        <v>1</v>
      </c>
      <c r="EA39" s="60">
        <v>2</v>
      </c>
      <c r="EB39" s="60">
        <v>9</v>
      </c>
      <c r="EC39" s="60">
        <v>6</v>
      </c>
      <c r="ED39" s="57">
        <v>6</v>
      </c>
      <c r="EE39" s="60">
        <v>1</v>
      </c>
      <c r="EF39" s="60">
        <v>840</v>
      </c>
      <c r="EG39" s="60">
        <v>805</v>
      </c>
      <c r="EH39" s="60">
        <v>782</v>
      </c>
      <c r="EI39" s="60">
        <v>793</v>
      </c>
      <c r="EJ39" s="115">
        <v>148</v>
      </c>
      <c r="EK39" s="115">
        <v>0</v>
      </c>
      <c r="EL39" s="115">
        <v>3</v>
      </c>
      <c r="EM39" s="115">
        <v>0</v>
      </c>
      <c r="EN39" s="115">
        <v>0</v>
      </c>
      <c r="EO39" s="108">
        <v>1046.6246355503501</v>
      </c>
      <c r="EP39" s="108">
        <v>1079.3054903801033</v>
      </c>
      <c r="EQ39" s="108">
        <v>1126.4116155796266</v>
      </c>
      <c r="ER39" s="108">
        <v>1194.9609716403966</v>
      </c>
      <c r="ES39" s="108">
        <v>946.67474633094685</v>
      </c>
      <c r="ET39" s="108">
        <v>853.0729307351495</v>
      </c>
      <c r="EU39" s="108">
        <v>767.67797425230003</v>
      </c>
      <c r="EV39" s="108">
        <v>752.03690952114925</v>
      </c>
      <c r="EW39" s="108">
        <v>1198.4460256977072</v>
      </c>
      <c r="EX39" s="108">
        <v>989.35815093219526</v>
      </c>
      <c r="EY39" s="108">
        <v>942.83529709600748</v>
      </c>
      <c r="EZ39" s="108">
        <v>932.66631067022945</v>
      </c>
      <c r="FA39" s="108">
        <v>739.30741941740268</v>
      </c>
      <c r="FB39" s="108">
        <v>738.1215759979226</v>
      </c>
      <c r="FC39" s="108">
        <v>630.52071660788965</v>
      </c>
      <c r="FD39" s="108">
        <v>608.09126882360579</v>
      </c>
      <c r="FE39" s="57">
        <v>202</v>
      </c>
      <c r="FF39" s="62">
        <v>178</v>
      </c>
      <c r="FG39" s="62">
        <v>206</v>
      </c>
      <c r="FH39" s="62">
        <v>197</v>
      </c>
      <c r="FI39" s="108">
        <v>221.01900746605381</v>
      </c>
      <c r="FJ39" s="108">
        <v>187.68030558294981</v>
      </c>
      <c r="FK39" s="108">
        <v>204.00226362347345</v>
      </c>
      <c r="FL39" s="108">
        <v>186.67894585917287</v>
      </c>
      <c r="FM39" s="62">
        <v>283</v>
      </c>
      <c r="FN39" s="62">
        <v>254</v>
      </c>
      <c r="FO39" s="57">
        <v>198</v>
      </c>
      <c r="FP39" s="62">
        <v>162</v>
      </c>
      <c r="FQ39" s="108">
        <v>318.88611153442059</v>
      </c>
      <c r="FR39" s="108">
        <v>263.77607471909704</v>
      </c>
      <c r="FS39" s="108">
        <v>189.67272028358204</v>
      </c>
      <c r="FT39" s="108">
        <v>148.36164947755486</v>
      </c>
      <c r="FU39" s="60">
        <v>76</v>
      </c>
      <c r="FV39" s="60">
        <v>64</v>
      </c>
      <c r="FW39" s="60">
        <v>69</v>
      </c>
      <c r="FX39" s="60">
        <v>49</v>
      </c>
      <c r="FY39" s="108">
        <v>86.246217535410338</v>
      </c>
      <c r="FZ39" s="108">
        <v>66.81573081334308</v>
      </c>
      <c r="GA39" s="108">
        <v>61.183819663575953</v>
      </c>
      <c r="GB39" s="108">
        <v>44.563662681650094</v>
      </c>
      <c r="GC39" s="63">
        <v>39</v>
      </c>
      <c r="GD39" s="64">
        <v>32</v>
      </c>
      <c r="GE39" s="63">
        <v>36</v>
      </c>
      <c r="GF39" s="63">
        <v>41</v>
      </c>
      <c r="GG39" s="112">
        <v>48.152163417409461</v>
      </c>
      <c r="GH39" s="112">
        <v>38.152381764372336</v>
      </c>
      <c r="GI39" s="112">
        <v>45.692889170561983</v>
      </c>
      <c r="GJ39" s="112">
        <v>46.549650590949696</v>
      </c>
      <c r="GK39" s="63"/>
      <c r="GL39" s="63"/>
      <c r="GM39" s="63"/>
      <c r="GN39" s="64"/>
      <c r="GO39" s="63"/>
      <c r="GP39" s="63"/>
      <c r="GQ39" s="63"/>
      <c r="GR39" s="63"/>
      <c r="GS39" s="64"/>
      <c r="GT39" s="63"/>
      <c r="GU39" s="63"/>
      <c r="GV39" s="63"/>
      <c r="GW39" s="63"/>
      <c r="GX39" s="64"/>
      <c r="GY39" s="64"/>
      <c r="GZ39" s="64"/>
      <c r="HA39" s="64"/>
      <c r="HB39" s="64"/>
      <c r="HC39" s="64"/>
      <c r="HD39" s="65"/>
      <c r="HE39" s="65"/>
      <c r="HF39" s="65"/>
      <c r="HG39" s="65"/>
      <c r="HH39" s="65"/>
      <c r="HI39" s="66"/>
      <c r="HJ39" s="66"/>
      <c r="HK39" s="63"/>
      <c r="HL39" s="64"/>
      <c r="HM39" s="64"/>
      <c r="HN39" s="64"/>
      <c r="HO39" s="64"/>
      <c r="HP39" s="64"/>
      <c r="HQ39" s="64"/>
      <c r="HR39" s="64"/>
      <c r="HS39" s="64"/>
      <c r="HT39" s="64"/>
      <c r="HU39" s="39"/>
    </row>
    <row r="40" spans="1:229" ht="21" customHeight="1" x14ac:dyDescent="0.2">
      <c r="A40" s="37">
        <v>37</v>
      </c>
      <c r="B40" s="86" t="s">
        <v>95</v>
      </c>
      <c r="C40" s="93">
        <v>7258</v>
      </c>
      <c r="D40" s="93">
        <v>7165</v>
      </c>
      <c r="E40" s="93">
        <v>7110</v>
      </c>
      <c r="F40" s="93">
        <v>7259</v>
      </c>
      <c r="G40" s="93">
        <v>7193</v>
      </c>
      <c r="H40" s="43">
        <v>7049</v>
      </c>
      <c r="I40" s="43">
        <v>26</v>
      </c>
      <c r="J40" s="43">
        <v>23</v>
      </c>
      <c r="K40" s="43">
        <v>42</v>
      </c>
      <c r="L40" s="43">
        <v>122</v>
      </c>
      <c r="M40" s="44">
        <v>3186</v>
      </c>
      <c r="N40" s="44">
        <v>3176</v>
      </c>
      <c r="O40" s="45">
        <v>3162</v>
      </c>
      <c r="P40" s="45">
        <v>3155</v>
      </c>
      <c r="Q40" s="46">
        <v>3145</v>
      </c>
      <c r="R40" s="105">
        <v>36.548336682295158</v>
      </c>
      <c r="S40" s="105">
        <v>36.453868711933225</v>
      </c>
      <c r="T40" s="105">
        <v>37.316561844863735</v>
      </c>
      <c r="U40" s="105">
        <v>40.158213122382506</v>
      </c>
      <c r="V40" s="105">
        <v>39.236676751221779</v>
      </c>
      <c r="W40" s="105">
        <v>25.496762670238894</v>
      </c>
      <c r="X40" s="105">
        <v>25.174825174825173</v>
      </c>
      <c r="Y40" s="105">
        <v>28.30188679245283</v>
      </c>
      <c r="Z40" s="105">
        <v>28.734295020939971</v>
      </c>
      <c r="AA40" s="105">
        <v>28.159180823830578</v>
      </c>
      <c r="AB40" s="105">
        <v>62.045099352534045</v>
      </c>
      <c r="AC40" s="105">
        <v>61.628693886758406</v>
      </c>
      <c r="AD40" s="105">
        <v>65.618448637316561</v>
      </c>
      <c r="AE40" s="105">
        <v>68.892508143322473</v>
      </c>
      <c r="AF40" s="105">
        <v>67.395857575052361</v>
      </c>
      <c r="AG40" s="46">
        <v>4.2107855208076828</v>
      </c>
      <c r="AH40" s="46">
        <v>4.7711310244611287</v>
      </c>
      <c r="AI40" s="46">
        <v>6.3550541100621691</v>
      </c>
      <c r="AJ40" s="46">
        <v>5.8784530386740332</v>
      </c>
      <c r="AK40" s="45">
        <v>5.1953721894782801</v>
      </c>
      <c r="AL40" s="49">
        <v>88.416666666666671</v>
      </c>
      <c r="AM40" s="49">
        <v>93.166666666666671</v>
      </c>
      <c r="AN40" s="49">
        <v>137.33333333333334</v>
      </c>
      <c r="AO40" s="49">
        <v>93.166666666666671</v>
      </c>
      <c r="AP40" s="49">
        <v>221.66666666666666</v>
      </c>
      <c r="AQ40" s="49">
        <v>37179.626621770731</v>
      </c>
      <c r="AR40" s="49">
        <v>40452.330798366427</v>
      </c>
      <c r="AS40" s="49">
        <v>42959.487574949242</v>
      </c>
      <c r="AT40" s="49">
        <v>47751.075795095203</v>
      </c>
      <c r="AU40" s="49">
        <v>47448.352564993744</v>
      </c>
      <c r="AV40" s="101">
        <v>43712.644456984111</v>
      </c>
      <c r="AW40" s="101">
        <v>45274.480917590561</v>
      </c>
      <c r="AX40" s="102">
        <v>46953.291497503924</v>
      </c>
      <c r="AY40" s="102">
        <v>46267.766206845947</v>
      </c>
      <c r="AZ40" s="102">
        <v>49670</v>
      </c>
      <c r="BA40" s="99">
        <v>10.596590909090908</v>
      </c>
      <c r="BB40" s="99">
        <v>8.8933659519355306</v>
      </c>
      <c r="BC40" s="99">
        <v>8.8388969521044984</v>
      </c>
      <c r="BD40" s="99">
        <v>9.8008755825448386</v>
      </c>
      <c r="BE40" s="99">
        <v>10.405117270788912</v>
      </c>
      <c r="BF40" s="99">
        <v>12.405237767057201</v>
      </c>
      <c r="BG40" s="99">
        <v>11.142857142857142</v>
      </c>
      <c r="BH40" s="48">
        <v>12.104909213180902</v>
      </c>
      <c r="BI40" s="48">
        <v>14.627659574468085</v>
      </c>
      <c r="BJ40" s="48">
        <v>14.604462474645031</v>
      </c>
      <c r="BK40" s="44">
        <v>1461</v>
      </c>
      <c r="BL40" s="44">
        <v>1363</v>
      </c>
      <c r="BM40" s="44">
        <v>1337</v>
      </c>
      <c r="BN40" s="42">
        <v>1308</v>
      </c>
      <c r="BO40" s="45">
        <v>37.9192334017796</v>
      </c>
      <c r="BP40" s="45">
        <v>38.738077769625825</v>
      </c>
      <c r="BQ40" s="45">
        <v>39.715781600598355</v>
      </c>
      <c r="BR40" s="46">
        <v>40.978593272171253</v>
      </c>
      <c r="BS40" s="105">
        <v>2.1218343600273784</v>
      </c>
      <c r="BT40" s="105">
        <v>2.5678650036683788</v>
      </c>
      <c r="BU40" s="105">
        <v>1.9446522064323111</v>
      </c>
      <c r="BV40" s="105">
        <v>1.9877675840978593</v>
      </c>
      <c r="BW40" s="45">
        <v>15.331964407939767</v>
      </c>
      <c r="BX40" s="45">
        <v>15.920763022743948</v>
      </c>
      <c r="BY40" s="45">
        <v>16.454749439042633</v>
      </c>
      <c r="BZ40" s="45">
        <v>17.813455657492355</v>
      </c>
      <c r="CA40" s="44">
        <v>89.230769230769226</v>
      </c>
      <c r="CB40" s="44">
        <v>98.165137614678898</v>
      </c>
      <c r="CC40" s="44">
        <v>93.07692307692308</v>
      </c>
      <c r="CD40" s="44">
        <v>89.11</v>
      </c>
      <c r="CE40" s="45">
        <v>1.5384615384615385</v>
      </c>
      <c r="CF40" s="45">
        <v>0</v>
      </c>
      <c r="CG40" s="45">
        <v>0.76923076923076927</v>
      </c>
      <c r="CH40" s="45">
        <v>0.99</v>
      </c>
      <c r="CI40" s="48">
        <v>418</v>
      </c>
      <c r="CJ40" s="51">
        <v>374</v>
      </c>
      <c r="CK40" s="51">
        <v>341</v>
      </c>
      <c r="CL40" s="57">
        <v>353</v>
      </c>
      <c r="CM40" s="108">
        <v>9.8489668009707589</v>
      </c>
      <c r="CN40" s="108">
        <v>9.360062066721726</v>
      </c>
      <c r="CO40" s="108">
        <v>8.8289361261424535</v>
      </c>
      <c r="CP40" s="108">
        <v>9.8096429067667081</v>
      </c>
      <c r="CQ40" s="60">
        <v>13</v>
      </c>
      <c r="CR40" s="60">
        <v>8</v>
      </c>
      <c r="CS40" s="60">
        <v>15</v>
      </c>
      <c r="CT40" s="60">
        <v>11</v>
      </c>
      <c r="CU40" s="108">
        <v>3.1862745098039214</v>
      </c>
      <c r="CV40" s="108">
        <v>2.1917808219178081</v>
      </c>
      <c r="CW40" s="108">
        <v>4.5454545454545459</v>
      </c>
      <c r="CX40" s="108">
        <v>3.1609195402298851</v>
      </c>
      <c r="CY40" s="61">
        <v>29</v>
      </c>
      <c r="CZ40" s="57">
        <v>16</v>
      </c>
      <c r="DA40" s="60">
        <v>26</v>
      </c>
      <c r="DB40" s="60">
        <v>21</v>
      </c>
      <c r="DC40" s="108">
        <v>7.9234972677595632</v>
      </c>
      <c r="DD40" s="108">
        <v>4.5197740112994351</v>
      </c>
      <c r="DE40" s="108">
        <v>8.5245901639344268</v>
      </c>
      <c r="DF40" s="108">
        <v>6.8852459016393439</v>
      </c>
      <c r="DG40" s="108">
        <v>85.607940446650119</v>
      </c>
      <c r="DH40" s="108">
        <v>86.956521739130437</v>
      </c>
      <c r="DI40" s="108">
        <v>87.987987987987992</v>
      </c>
      <c r="DJ40" s="108">
        <v>88.955223880597018</v>
      </c>
      <c r="DK40" s="108">
        <v>12.977099236641221</v>
      </c>
      <c r="DL40" s="108">
        <v>14.24731182795699</v>
      </c>
      <c r="DM40" s="108">
        <v>12.462908011869436</v>
      </c>
      <c r="DN40" s="108">
        <v>17.714285714285715</v>
      </c>
      <c r="DO40" s="108">
        <v>10.76555023923445</v>
      </c>
      <c r="DP40" s="108">
        <v>18.71657754010695</v>
      </c>
      <c r="DQ40" s="108">
        <v>24.411764705882351</v>
      </c>
      <c r="DR40" s="108">
        <v>32.577903682719544</v>
      </c>
      <c r="DS40" s="108">
        <v>15.898251192368839</v>
      </c>
      <c r="DT40" s="108">
        <v>21.598272138228943</v>
      </c>
      <c r="DU40" s="108">
        <v>18.39587932303164</v>
      </c>
      <c r="DV40" s="108" t="s">
        <v>39</v>
      </c>
      <c r="DW40" s="62">
        <v>72</v>
      </c>
      <c r="DX40" s="62">
        <v>2</v>
      </c>
      <c r="DY40" s="57">
        <v>1</v>
      </c>
      <c r="DZ40" s="60">
        <v>1</v>
      </c>
      <c r="EA40" s="60">
        <v>4</v>
      </c>
      <c r="EB40" s="60">
        <v>1</v>
      </c>
      <c r="EC40" s="60">
        <v>1</v>
      </c>
      <c r="ED40" s="57">
        <v>2</v>
      </c>
      <c r="EE40" s="60">
        <v>3</v>
      </c>
      <c r="EF40" s="60">
        <v>582</v>
      </c>
      <c r="EG40" s="60">
        <v>600</v>
      </c>
      <c r="EH40" s="60">
        <v>526</v>
      </c>
      <c r="EI40" s="60">
        <v>489</v>
      </c>
      <c r="EJ40" s="115">
        <v>99</v>
      </c>
      <c r="EK40" s="115">
        <v>0</v>
      </c>
      <c r="EL40" s="115">
        <v>0</v>
      </c>
      <c r="EM40" s="115">
        <v>1</v>
      </c>
      <c r="EN40" s="115">
        <v>0</v>
      </c>
      <c r="EO40" s="108">
        <v>1371.315473245211</v>
      </c>
      <c r="EP40" s="108">
        <v>1501.6142353029506</v>
      </c>
      <c r="EQ40" s="108">
        <v>1361.8828159386894</v>
      </c>
      <c r="ER40" s="108">
        <v>1358.8995414756148</v>
      </c>
      <c r="ES40" s="108">
        <v>762.47892100453214</v>
      </c>
      <c r="ET40" s="108">
        <v>768.22519850013964</v>
      </c>
      <c r="EU40" s="108">
        <v>684.06096394438259</v>
      </c>
      <c r="EV40" s="108">
        <v>648.81686172243008</v>
      </c>
      <c r="EW40" s="108">
        <v>996.85550128337991</v>
      </c>
      <c r="EX40" s="108">
        <v>897.54580233680781</v>
      </c>
      <c r="EY40" s="108">
        <v>834.54852925502405</v>
      </c>
      <c r="EZ40" s="108">
        <v>800.63595210568496</v>
      </c>
      <c r="FA40" s="108">
        <v>554.01660863827976</v>
      </c>
      <c r="FB40" s="108">
        <v>650.56862650224775</v>
      </c>
      <c r="FC40" s="108">
        <v>542.66966336061125</v>
      </c>
      <c r="FD40" s="108">
        <v>522.73028756042584</v>
      </c>
      <c r="FE40" s="57">
        <v>128</v>
      </c>
      <c r="FF40" s="62">
        <v>146</v>
      </c>
      <c r="FG40" s="62">
        <v>120</v>
      </c>
      <c r="FH40" s="62">
        <v>100</v>
      </c>
      <c r="FI40" s="108">
        <v>174.72314851189685</v>
      </c>
      <c r="FJ40" s="108">
        <v>214.22738505988065</v>
      </c>
      <c r="FK40" s="108">
        <v>169.27062405091112</v>
      </c>
      <c r="FL40" s="108">
        <v>147.43874656902216</v>
      </c>
      <c r="FM40" s="62">
        <v>203</v>
      </c>
      <c r="FN40" s="62">
        <v>161</v>
      </c>
      <c r="FO40" s="57">
        <v>155</v>
      </c>
      <c r="FP40" s="62">
        <v>153</v>
      </c>
      <c r="FQ40" s="108">
        <v>251.52840605433414</v>
      </c>
      <c r="FR40" s="108">
        <v>192.72070953730557</v>
      </c>
      <c r="FS40" s="108">
        <v>179.53865508120327</v>
      </c>
      <c r="FT40" s="108">
        <v>184.69402868218484</v>
      </c>
      <c r="FU40" s="60">
        <v>54</v>
      </c>
      <c r="FV40" s="60">
        <v>34</v>
      </c>
      <c r="FW40" s="60">
        <v>20</v>
      </c>
      <c r="FX40" s="60">
        <v>23</v>
      </c>
      <c r="FY40" s="108">
        <v>61.393588900285494</v>
      </c>
      <c r="FZ40" s="108">
        <v>39.374482220521813</v>
      </c>
      <c r="GA40" s="108">
        <v>25.948573494429937</v>
      </c>
      <c r="GB40" s="108">
        <v>29.747571042174847</v>
      </c>
      <c r="GC40" s="63">
        <v>26</v>
      </c>
      <c r="GD40" s="64">
        <v>24</v>
      </c>
      <c r="GE40" s="63">
        <v>37</v>
      </c>
      <c r="GF40" s="63">
        <v>23</v>
      </c>
      <c r="GG40" s="112">
        <v>55.907540348550263</v>
      </c>
      <c r="GH40" s="112">
        <v>49.401213002113266</v>
      </c>
      <c r="GI40" s="112">
        <v>66.791258051195001</v>
      </c>
      <c r="GJ40" s="112">
        <v>41.779371491236702</v>
      </c>
      <c r="GK40" s="63"/>
      <c r="GL40" s="63"/>
      <c r="GM40" s="63"/>
      <c r="GN40" s="64"/>
      <c r="GO40" s="63"/>
      <c r="GP40" s="63"/>
      <c r="GQ40" s="63"/>
      <c r="GR40" s="63"/>
      <c r="GS40" s="64"/>
      <c r="GT40" s="63"/>
      <c r="GU40" s="63"/>
      <c r="GV40" s="63"/>
      <c r="GW40" s="63"/>
      <c r="GX40" s="64"/>
      <c r="GY40" s="64"/>
      <c r="GZ40" s="64"/>
      <c r="HA40" s="64"/>
      <c r="HB40" s="64"/>
      <c r="HC40" s="64"/>
      <c r="HD40" s="65"/>
      <c r="HE40" s="65"/>
      <c r="HF40" s="65"/>
      <c r="HG40" s="65"/>
      <c r="HH40" s="65"/>
      <c r="HI40" s="66"/>
      <c r="HJ40" s="66"/>
      <c r="HK40" s="63"/>
      <c r="HL40" s="64"/>
      <c r="HM40" s="64"/>
      <c r="HN40" s="64"/>
      <c r="HO40" s="64"/>
      <c r="HP40" s="64"/>
      <c r="HQ40" s="64"/>
      <c r="HR40" s="64"/>
      <c r="HS40" s="64"/>
      <c r="HT40" s="64"/>
      <c r="HU40" s="39"/>
    </row>
    <row r="41" spans="1:229" x14ac:dyDescent="0.2">
      <c r="A41" s="37">
        <v>38</v>
      </c>
      <c r="B41" s="86" t="s">
        <v>96</v>
      </c>
      <c r="C41" s="93">
        <v>10741</v>
      </c>
      <c r="D41" s="93">
        <v>10609</v>
      </c>
      <c r="E41" s="93">
        <v>10610</v>
      </c>
      <c r="F41" s="93">
        <v>10866</v>
      </c>
      <c r="G41" s="93">
        <v>10824</v>
      </c>
      <c r="H41" s="43">
        <v>10572</v>
      </c>
      <c r="I41" s="43">
        <v>26</v>
      </c>
      <c r="J41" s="43">
        <v>55</v>
      </c>
      <c r="K41" s="43">
        <v>37</v>
      </c>
      <c r="L41" s="43">
        <v>80</v>
      </c>
      <c r="M41" s="44">
        <v>4816</v>
      </c>
      <c r="N41" s="44">
        <v>4808</v>
      </c>
      <c r="O41" s="45">
        <v>4782</v>
      </c>
      <c r="P41" s="45">
        <v>4825</v>
      </c>
      <c r="Q41" s="46">
        <v>4831</v>
      </c>
      <c r="R41" s="105">
        <v>31.892438918606331</v>
      </c>
      <c r="S41" s="105">
        <v>32.141810723703486</v>
      </c>
      <c r="T41" s="105">
        <v>32.849391406364568</v>
      </c>
      <c r="U41" s="105">
        <v>35.970370370370368</v>
      </c>
      <c r="V41" s="105">
        <v>36.804415933164258</v>
      </c>
      <c r="W41" s="105">
        <v>23.391643776203555</v>
      </c>
      <c r="X41" s="105">
        <v>23.278640492235571</v>
      </c>
      <c r="Y41" s="105">
        <v>22.745270567531897</v>
      </c>
      <c r="Z41" s="105">
        <v>25.007407407407406</v>
      </c>
      <c r="AA41" s="105">
        <v>24.675518424586006</v>
      </c>
      <c r="AB41" s="105">
        <v>55.284082694809889</v>
      </c>
      <c r="AC41" s="105">
        <v>55.420451215939053</v>
      </c>
      <c r="AD41" s="105">
        <v>55.594661973896464</v>
      </c>
      <c r="AE41" s="105">
        <v>60.977777777777774</v>
      </c>
      <c r="AF41" s="105">
        <v>61.47993435775026</v>
      </c>
      <c r="AG41" s="46">
        <v>4.5447141228213068</v>
      </c>
      <c r="AH41" s="46">
        <v>5.2317132246084288</v>
      </c>
      <c r="AI41" s="46">
        <v>9.4096831269100853</v>
      </c>
      <c r="AJ41" s="46">
        <v>7.6103977450673348</v>
      </c>
      <c r="AK41" s="45">
        <v>6.3655980271270041</v>
      </c>
      <c r="AL41" s="49">
        <v>189.16666666666666</v>
      </c>
      <c r="AM41" s="49">
        <v>195.83333333333334</v>
      </c>
      <c r="AN41" s="49">
        <v>265.91666666666669</v>
      </c>
      <c r="AO41" s="49">
        <v>195.83333333333334</v>
      </c>
      <c r="AP41" s="49">
        <v>350.58333333333331</v>
      </c>
      <c r="AQ41" s="49">
        <v>29742.966399089884</v>
      </c>
      <c r="AR41" s="49">
        <v>32611.912280185847</v>
      </c>
      <c r="AS41" s="49">
        <v>30588.140658608463</v>
      </c>
      <c r="AT41" s="49">
        <v>31431.35019567535</v>
      </c>
      <c r="AU41" s="49">
        <v>33091.090591464934</v>
      </c>
      <c r="AV41" s="101">
        <v>50452.938304829702</v>
      </c>
      <c r="AW41" s="101">
        <v>51922.260358657339</v>
      </c>
      <c r="AX41" s="102">
        <v>51059.161925448752</v>
      </c>
      <c r="AY41" s="102">
        <v>48998.319518839198</v>
      </c>
      <c r="AZ41" s="102">
        <v>48683</v>
      </c>
      <c r="BA41" s="99">
        <v>8.535772125369153</v>
      </c>
      <c r="BB41" s="99">
        <v>9.7231600270087775</v>
      </c>
      <c r="BC41" s="99">
        <v>11.443458124276342</v>
      </c>
      <c r="BD41" s="99">
        <v>11.157953906689151</v>
      </c>
      <c r="BE41" s="99">
        <v>10.489707679293167</v>
      </c>
      <c r="BF41" s="99">
        <v>13.143428285857071</v>
      </c>
      <c r="BG41" s="99">
        <v>13.978494623655914</v>
      </c>
      <c r="BH41" s="48">
        <v>16.004130098089831</v>
      </c>
      <c r="BI41" s="48">
        <v>15.828402366863905</v>
      </c>
      <c r="BJ41" s="48">
        <v>16.983016983016984</v>
      </c>
      <c r="BK41" s="44">
        <v>1435</v>
      </c>
      <c r="BL41" s="44">
        <v>1421</v>
      </c>
      <c r="BM41" s="44">
        <v>1389</v>
      </c>
      <c r="BN41" s="42">
        <v>1406</v>
      </c>
      <c r="BO41" s="45">
        <v>30.243902439024389</v>
      </c>
      <c r="BP41" s="45">
        <v>34.975369458128078</v>
      </c>
      <c r="BQ41" s="45">
        <v>32.829373650107989</v>
      </c>
      <c r="BR41" s="46">
        <v>34.210526315789473</v>
      </c>
      <c r="BS41" s="105">
        <v>0</v>
      </c>
      <c r="BT41" s="105">
        <v>0</v>
      </c>
      <c r="BU41" s="105">
        <v>0</v>
      </c>
      <c r="BV41" s="105">
        <v>0</v>
      </c>
      <c r="BW41" s="45">
        <v>15.470383275261325</v>
      </c>
      <c r="BX41" s="45">
        <v>17.311752287121745</v>
      </c>
      <c r="BY41" s="45">
        <v>18.286537077033838</v>
      </c>
      <c r="BZ41" s="45">
        <v>18.776671408250355</v>
      </c>
      <c r="CA41" s="44">
        <v>85</v>
      </c>
      <c r="CB41" s="44">
        <v>82.758620689655174</v>
      </c>
      <c r="CC41" s="44">
        <v>88.495575221238937</v>
      </c>
      <c r="CD41" s="44">
        <v>85.53</v>
      </c>
      <c r="CE41" s="45">
        <v>6.4285714285714288</v>
      </c>
      <c r="CF41" s="45">
        <v>7.5862068965517242</v>
      </c>
      <c r="CG41" s="45">
        <v>3.5398230088495577</v>
      </c>
      <c r="CH41" s="45">
        <v>9.8699999999999992</v>
      </c>
      <c r="CI41" s="48">
        <v>477</v>
      </c>
      <c r="CJ41" s="51">
        <v>524</v>
      </c>
      <c r="CK41" s="51">
        <v>496</v>
      </c>
      <c r="CL41" s="57">
        <v>585</v>
      </c>
      <c r="CM41" s="108">
        <v>9.0166723375297728</v>
      </c>
      <c r="CN41" s="108">
        <v>9.6698591965158975</v>
      </c>
      <c r="CO41" s="108">
        <v>8.9218260963413325</v>
      </c>
      <c r="CP41" s="108">
        <v>10.904007455731593</v>
      </c>
      <c r="CQ41" s="60">
        <v>14</v>
      </c>
      <c r="CR41" s="60">
        <v>21</v>
      </c>
      <c r="CS41" s="60">
        <v>22</v>
      </c>
      <c r="CT41" s="60">
        <v>32</v>
      </c>
      <c r="CU41" s="108">
        <v>2.9978586723768736</v>
      </c>
      <c r="CV41" s="108">
        <v>4.1015625</v>
      </c>
      <c r="CW41" s="108">
        <v>4.6218487394957979</v>
      </c>
      <c r="CX41" s="108">
        <v>5.7553956834532372</v>
      </c>
      <c r="CY41" s="61">
        <v>27</v>
      </c>
      <c r="CZ41" s="57">
        <v>35</v>
      </c>
      <c r="DA41" s="60">
        <v>35</v>
      </c>
      <c r="DB41" s="60">
        <v>62</v>
      </c>
      <c r="DC41" s="108">
        <v>6.4285714285714288</v>
      </c>
      <c r="DD41" s="108">
        <v>7.1428571428571432</v>
      </c>
      <c r="DE41" s="108">
        <v>7.7262693156732896</v>
      </c>
      <c r="DF41" s="108">
        <v>11.610486891385769</v>
      </c>
      <c r="DG41" s="108">
        <v>86.521739130434781</v>
      </c>
      <c r="DH41" s="108">
        <v>82.318271119842834</v>
      </c>
      <c r="DI41" s="108">
        <v>87.34693877551021</v>
      </c>
      <c r="DJ41" s="108">
        <v>84.191829484902314</v>
      </c>
      <c r="DK41" s="108">
        <v>21.006564551422318</v>
      </c>
      <c r="DL41" s="108">
        <v>20.345489443378121</v>
      </c>
      <c r="DM41" s="108">
        <v>20.162932790224033</v>
      </c>
      <c r="DN41" s="108">
        <v>14.43661971830986</v>
      </c>
      <c r="DO41" s="108">
        <v>23.949579831932773</v>
      </c>
      <c r="DP41" s="108">
        <v>25.381679389312978</v>
      </c>
      <c r="DQ41" s="108">
        <v>27.822580645161292</v>
      </c>
      <c r="DR41" s="108">
        <v>30.5982905982906</v>
      </c>
      <c r="DS41" s="108">
        <v>29.18781725888325</v>
      </c>
      <c r="DT41" s="108">
        <v>28.538812785388128</v>
      </c>
      <c r="DU41" s="108">
        <v>21.205357142857142</v>
      </c>
      <c r="DV41" s="108">
        <v>35.225048923679061</v>
      </c>
      <c r="DW41" s="62">
        <v>109</v>
      </c>
      <c r="DX41" s="62">
        <v>1</v>
      </c>
      <c r="DY41" s="57">
        <v>1</v>
      </c>
      <c r="DZ41" s="60">
        <v>1</v>
      </c>
      <c r="EA41" s="60">
        <v>0</v>
      </c>
      <c r="EB41" s="60">
        <v>1</v>
      </c>
      <c r="EC41" s="60">
        <v>2</v>
      </c>
      <c r="ED41" s="57">
        <v>6</v>
      </c>
      <c r="EE41" s="60">
        <v>5</v>
      </c>
      <c r="EF41" s="60">
        <v>607</v>
      </c>
      <c r="EG41" s="60">
        <v>640</v>
      </c>
      <c r="EH41" s="60">
        <v>721</v>
      </c>
      <c r="EI41" s="60">
        <v>675</v>
      </c>
      <c r="EJ41" s="115">
        <v>116</v>
      </c>
      <c r="EK41" s="115">
        <v>0</v>
      </c>
      <c r="EL41" s="115">
        <v>0</v>
      </c>
      <c r="EM41" s="115">
        <v>0</v>
      </c>
      <c r="EN41" s="115">
        <v>0</v>
      </c>
      <c r="EO41" s="108">
        <v>1147.4046349854448</v>
      </c>
      <c r="EP41" s="108">
        <v>1181.0515049179724</v>
      </c>
      <c r="EQ41" s="108">
        <v>1296.9025434399396</v>
      </c>
      <c r="ER41" s="108">
        <v>1258.1547064305685</v>
      </c>
      <c r="ES41" s="108">
        <v>910.1225373302359</v>
      </c>
      <c r="ET41" s="108">
        <v>834.08153283066713</v>
      </c>
      <c r="EU41" s="108">
        <v>843.09764723763749</v>
      </c>
      <c r="EV41" s="108">
        <v>748.5024074658786</v>
      </c>
      <c r="EW41" s="108">
        <v>1154.4889806466117</v>
      </c>
      <c r="EX41" s="108">
        <v>1026.4575155475823</v>
      </c>
      <c r="EY41" s="108">
        <v>1072.297857796342</v>
      </c>
      <c r="EZ41" s="108">
        <v>957.01319379433448</v>
      </c>
      <c r="FA41" s="108">
        <v>728.23753109140011</v>
      </c>
      <c r="FB41" s="108">
        <v>673.98890227297215</v>
      </c>
      <c r="FC41" s="108">
        <v>663.88906745500924</v>
      </c>
      <c r="FD41" s="108">
        <v>561.80112514046118</v>
      </c>
      <c r="FE41" s="57">
        <v>173</v>
      </c>
      <c r="FF41" s="62">
        <v>153</v>
      </c>
      <c r="FG41" s="62">
        <v>145</v>
      </c>
      <c r="FH41" s="62">
        <v>160</v>
      </c>
      <c r="FI41" s="108">
        <v>245.47099353936628</v>
      </c>
      <c r="FJ41" s="108">
        <v>196.19469410832966</v>
      </c>
      <c r="FK41" s="108">
        <v>168.15796023280916</v>
      </c>
      <c r="FL41" s="108">
        <v>178.89102470954168</v>
      </c>
      <c r="FM41" s="62">
        <v>171</v>
      </c>
      <c r="FN41" s="62">
        <v>142</v>
      </c>
      <c r="FO41" s="57">
        <v>158</v>
      </c>
      <c r="FP41" s="62">
        <v>118</v>
      </c>
      <c r="FQ41" s="108">
        <v>254.56799725098583</v>
      </c>
      <c r="FR41" s="108">
        <v>182.41566099203806</v>
      </c>
      <c r="FS41" s="108">
        <v>184.47363747326688</v>
      </c>
      <c r="FT41" s="108">
        <v>124.79569103393283</v>
      </c>
      <c r="FU41" s="60">
        <v>44</v>
      </c>
      <c r="FV41" s="60">
        <v>61</v>
      </c>
      <c r="FW41" s="60">
        <v>51</v>
      </c>
      <c r="FX41" s="60">
        <v>33</v>
      </c>
      <c r="FY41" s="108">
        <v>67.10233744090479</v>
      </c>
      <c r="FZ41" s="108">
        <v>78.07392910660613</v>
      </c>
      <c r="GA41" s="108">
        <v>56.527746294184375</v>
      </c>
      <c r="GB41" s="108">
        <v>33.069111930955437</v>
      </c>
      <c r="GC41" s="63">
        <v>13</v>
      </c>
      <c r="GD41" s="64">
        <v>18</v>
      </c>
      <c r="GE41" s="63">
        <v>26</v>
      </c>
      <c r="GF41" s="63">
        <v>28</v>
      </c>
      <c r="GG41" s="112" t="s">
        <v>39</v>
      </c>
      <c r="GH41" s="112" t="s">
        <v>39</v>
      </c>
      <c r="GI41" s="112">
        <v>39.718440224553625</v>
      </c>
      <c r="GJ41" s="112">
        <v>39.461103838763947</v>
      </c>
      <c r="GK41" s="63"/>
      <c r="GL41" s="63"/>
      <c r="GM41" s="63"/>
      <c r="GN41" s="64"/>
      <c r="GO41" s="63"/>
      <c r="GP41" s="63"/>
      <c r="GQ41" s="63"/>
      <c r="GR41" s="63"/>
      <c r="GS41" s="64"/>
      <c r="GT41" s="63"/>
      <c r="GU41" s="63"/>
      <c r="GV41" s="63"/>
      <c r="GW41" s="63"/>
      <c r="GX41" s="64"/>
      <c r="GY41" s="64"/>
      <c r="GZ41" s="64"/>
      <c r="HA41" s="64"/>
      <c r="HB41" s="64"/>
      <c r="HC41" s="64"/>
      <c r="HD41" s="65"/>
      <c r="HE41" s="65"/>
      <c r="HF41" s="65"/>
      <c r="HG41" s="65"/>
      <c r="HH41" s="65"/>
      <c r="HI41" s="66"/>
      <c r="HJ41" s="66"/>
      <c r="HK41" s="63"/>
      <c r="HL41" s="64"/>
      <c r="HM41" s="64"/>
      <c r="HN41" s="64"/>
      <c r="HO41" s="64"/>
      <c r="HP41" s="64"/>
      <c r="HQ41" s="64"/>
      <c r="HR41" s="64"/>
      <c r="HS41" s="64"/>
      <c r="HT41" s="64"/>
      <c r="HU41" s="39"/>
    </row>
    <row r="42" spans="1:229" x14ac:dyDescent="0.2">
      <c r="A42" s="37">
        <v>39</v>
      </c>
      <c r="B42" s="86" t="s">
        <v>97</v>
      </c>
      <c r="C42" s="93">
        <v>4095</v>
      </c>
      <c r="D42" s="93">
        <v>3985</v>
      </c>
      <c r="E42" s="93">
        <v>3880</v>
      </c>
      <c r="F42" s="93">
        <v>4045</v>
      </c>
      <c r="G42" s="93">
        <v>4007</v>
      </c>
      <c r="H42" s="43">
        <v>3848</v>
      </c>
      <c r="I42" s="43">
        <v>16</v>
      </c>
      <c r="J42" s="43">
        <v>29</v>
      </c>
      <c r="K42" s="43">
        <v>34</v>
      </c>
      <c r="L42" s="43">
        <v>47</v>
      </c>
      <c r="M42" s="44">
        <v>1892</v>
      </c>
      <c r="N42" s="44">
        <v>1888</v>
      </c>
      <c r="O42" s="45">
        <v>1851</v>
      </c>
      <c r="P42" s="45">
        <v>1784</v>
      </c>
      <c r="Q42" s="46">
        <v>1777</v>
      </c>
      <c r="R42" s="105">
        <v>32.14149866869532</v>
      </c>
      <c r="S42" s="105">
        <v>33.359344518142798</v>
      </c>
      <c r="T42" s="105">
        <v>34.869494290375201</v>
      </c>
      <c r="U42" s="105">
        <v>31.760154738878143</v>
      </c>
      <c r="V42" s="105">
        <v>31.444099378881987</v>
      </c>
      <c r="W42" s="105">
        <v>23.621148725751237</v>
      </c>
      <c r="X42" s="105">
        <v>22.122512680452594</v>
      </c>
      <c r="Y42" s="105">
        <v>23.368678629690049</v>
      </c>
      <c r="Z42" s="105">
        <v>24.719535783365572</v>
      </c>
      <c r="AA42" s="105">
        <v>24.107142857142858</v>
      </c>
      <c r="AB42" s="105">
        <v>55.76264739444656</v>
      </c>
      <c r="AC42" s="105">
        <v>55.481857198595399</v>
      </c>
      <c r="AD42" s="105">
        <v>58.238172920065253</v>
      </c>
      <c r="AE42" s="105">
        <v>56.479690522243715</v>
      </c>
      <c r="AF42" s="105">
        <v>55.551242236024848</v>
      </c>
      <c r="AG42" s="46">
        <v>5.1259774109470024</v>
      </c>
      <c r="AH42" s="46">
        <v>5.9622972380534849</v>
      </c>
      <c r="AI42" s="46">
        <v>7.8543220710838089</v>
      </c>
      <c r="AJ42" s="46">
        <v>6.3867016622922135</v>
      </c>
      <c r="AK42" s="45">
        <v>6.3596491228070171</v>
      </c>
      <c r="AL42" s="49">
        <v>60.25</v>
      </c>
      <c r="AM42" s="49">
        <v>69.833333333333329</v>
      </c>
      <c r="AN42" s="49">
        <v>107.25</v>
      </c>
      <c r="AO42" s="49">
        <v>69.833333333333329</v>
      </c>
      <c r="AP42" s="49">
        <v>153</v>
      </c>
      <c r="AQ42" s="49">
        <v>39417.716555050174</v>
      </c>
      <c r="AR42" s="49">
        <v>39848.217496343103</v>
      </c>
      <c r="AS42" s="49">
        <v>38643.626387527351</v>
      </c>
      <c r="AT42" s="49">
        <v>40347.939820923966</v>
      </c>
      <c r="AU42" s="49">
        <v>41504.896526237986</v>
      </c>
      <c r="AV42" s="101">
        <v>43867.780787298281</v>
      </c>
      <c r="AW42" s="101">
        <v>42244.689878914833</v>
      </c>
      <c r="AX42" s="102">
        <v>42063.153684446035</v>
      </c>
      <c r="AY42" s="102">
        <v>40634.388180100526</v>
      </c>
      <c r="AZ42" s="102">
        <v>39777</v>
      </c>
      <c r="BA42" s="99">
        <v>11.232063334982682</v>
      </c>
      <c r="BB42" s="99">
        <v>12.102720569539791</v>
      </c>
      <c r="BC42" s="99">
        <v>11.680167232819441</v>
      </c>
      <c r="BD42" s="99">
        <v>11.670020120724345</v>
      </c>
      <c r="BE42" s="99">
        <v>12.756784174486432</v>
      </c>
      <c r="BF42" s="99">
        <v>15.262515262515263</v>
      </c>
      <c r="BG42" s="99">
        <v>18.013245033112582</v>
      </c>
      <c r="BH42" s="48">
        <v>16.599190283400809</v>
      </c>
      <c r="BI42" s="48">
        <v>19.101123595505619</v>
      </c>
      <c r="BJ42" s="48">
        <v>18.146718146718147</v>
      </c>
      <c r="BK42" s="44">
        <v>536</v>
      </c>
      <c r="BL42" s="44">
        <v>551</v>
      </c>
      <c r="BM42" s="44">
        <v>523</v>
      </c>
      <c r="BN42" s="42">
        <v>504</v>
      </c>
      <c r="BO42" s="45">
        <v>43.28358208955224</v>
      </c>
      <c r="BP42" s="45">
        <v>48.820326678765881</v>
      </c>
      <c r="BQ42" s="45">
        <v>48.948374760994263</v>
      </c>
      <c r="BR42" s="46">
        <v>50.992063492063494</v>
      </c>
      <c r="BS42" s="105">
        <v>0</v>
      </c>
      <c r="BT42" s="105">
        <v>0</v>
      </c>
      <c r="BU42" s="105">
        <v>0</v>
      </c>
      <c r="BV42" s="105">
        <v>0</v>
      </c>
      <c r="BW42" s="45">
        <v>15.671641791044776</v>
      </c>
      <c r="BX42" s="45">
        <v>15.789473684210526</v>
      </c>
      <c r="BY42" s="45">
        <v>16.061185468451242</v>
      </c>
      <c r="BZ42" s="45">
        <v>13.69047619047619</v>
      </c>
      <c r="CA42" s="44">
        <v>94</v>
      </c>
      <c r="CB42" s="44">
        <v>98.181818181818187</v>
      </c>
      <c r="CC42" s="44">
        <v>85.714285714285708</v>
      </c>
      <c r="CD42" s="44">
        <v>90.91</v>
      </c>
      <c r="CE42" s="45">
        <v>2</v>
      </c>
      <c r="CF42" s="45">
        <v>0</v>
      </c>
      <c r="CG42" s="45">
        <v>0</v>
      </c>
      <c r="CH42" s="45">
        <v>3.64</v>
      </c>
      <c r="CI42" s="48">
        <v>255</v>
      </c>
      <c r="CJ42" s="51">
        <v>184</v>
      </c>
      <c r="CK42" s="51">
        <v>203</v>
      </c>
      <c r="CL42" s="57">
        <v>185</v>
      </c>
      <c r="CM42" s="108">
        <v>11.553098948894528</v>
      </c>
      <c r="CN42" s="108">
        <v>8.1039418630257654</v>
      </c>
      <c r="CO42" s="108">
        <v>9.2605264358377806</v>
      </c>
      <c r="CP42" s="108">
        <v>9.244453328003198</v>
      </c>
      <c r="CQ42" s="60">
        <v>6</v>
      </c>
      <c r="CR42" s="60">
        <v>4</v>
      </c>
      <c r="CS42" s="60">
        <v>14</v>
      </c>
      <c r="CT42" s="60">
        <v>4</v>
      </c>
      <c r="CU42" s="108">
        <v>2.4096385542168677</v>
      </c>
      <c r="CV42" s="108">
        <v>2.3255813953488373</v>
      </c>
      <c r="CW42" s="108">
        <v>6.9651741293532341</v>
      </c>
      <c r="CX42" s="108">
        <v>2.2598870056497176</v>
      </c>
      <c r="CY42" s="61">
        <v>16</v>
      </c>
      <c r="CZ42" s="57">
        <v>7</v>
      </c>
      <c r="DA42" s="60">
        <v>19</v>
      </c>
      <c r="DB42" s="60">
        <v>10</v>
      </c>
      <c r="DC42" s="108">
        <v>6.6945606694560666</v>
      </c>
      <c r="DD42" s="108">
        <v>4.294478527607362</v>
      </c>
      <c r="DE42" s="108">
        <v>10.919540229885058</v>
      </c>
      <c r="DF42" s="108">
        <v>6.2893081761006293</v>
      </c>
      <c r="DG42" s="108">
        <v>85.2</v>
      </c>
      <c r="DH42" s="108">
        <v>82.777777777777771</v>
      </c>
      <c r="DI42" s="108">
        <v>80.710659898477161</v>
      </c>
      <c r="DJ42" s="108">
        <v>75.543478260869563</v>
      </c>
      <c r="DK42" s="108">
        <v>10.599078341013826</v>
      </c>
      <c r="DL42" s="108">
        <v>6.0975609756097562</v>
      </c>
      <c r="DM42" s="108">
        <v>15.841584158415841</v>
      </c>
      <c r="DN42" s="108">
        <v>16.304347826086957</v>
      </c>
      <c r="DO42" s="108">
        <v>24.705882352941178</v>
      </c>
      <c r="DP42" s="108">
        <v>26.630434782608695</v>
      </c>
      <c r="DQ42" s="108">
        <v>33.497536945812811</v>
      </c>
      <c r="DR42" s="108">
        <v>29.72972972972973</v>
      </c>
      <c r="DS42" s="108">
        <v>33.485540334855401</v>
      </c>
      <c r="DT42" s="108">
        <v>31.486146095717885</v>
      </c>
      <c r="DU42" s="108" t="s">
        <v>39</v>
      </c>
      <c r="DV42" s="108" t="s">
        <v>39</v>
      </c>
      <c r="DW42" s="62">
        <v>37</v>
      </c>
      <c r="DX42" s="62">
        <v>5</v>
      </c>
      <c r="DY42" s="57">
        <v>0</v>
      </c>
      <c r="DZ42" s="60">
        <v>3</v>
      </c>
      <c r="EA42" s="60">
        <v>1</v>
      </c>
      <c r="EB42" s="60">
        <v>2</v>
      </c>
      <c r="EC42" s="60">
        <v>0</v>
      </c>
      <c r="ED42" s="57">
        <v>3</v>
      </c>
      <c r="EE42" s="60">
        <v>2</v>
      </c>
      <c r="EF42" s="60">
        <v>214</v>
      </c>
      <c r="EG42" s="60">
        <v>219</v>
      </c>
      <c r="EH42" s="60">
        <v>227</v>
      </c>
      <c r="EI42" s="60">
        <v>229</v>
      </c>
      <c r="EJ42" s="115">
        <v>58</v>
      </c>
      <c r="EK42" s="115">
        <v>0</v>
      </c>
      <c r="EL42" s="115">
        <v>2</v>
      </c>
      <c r="EM42" s="115">
        <v>0</v>
      </c>
      <c r="EN42" s="115">
        <v>0</v>
      </c>
      <c r="EO42" s="108">
        <v>969.55418629938379</v>
      </c>
      <c r="EP42" s="108">
        <v>964.54525434926222</v>
      </c>
      <c r="EQ42" s="108">
        <v>1035.5366999680671</v>
      </c>
      <c r="ER42" s="108">
        <v>1144.3134119528283</v>
      </c>
      <c r="ES42" s="108">
        <v>807.00472191057986</v>
      </c>
      <c r="ET42" s="108">
        <v>766.58740973663794</v>
      </c>
      <c r="EU42" s="108">
        <v>704.58696620431829</v>
      </c>
      <c r="EV42" s="108">
        <v>692.75751185943</v>
      </c>
      <c r="EW42" s="108">
        <v>983.76815042075964</v>
      </c>
      <c r="EX42" s="108">
        <v>853.07686227749377</v>
      </c>
      <c r="EY42" s="108">
        <v>884.66432104280079</v>
      </c>
      <c r="EZ42" s="108">
        <v>799.0866389215596</v>
      </c>
      <c r="FA42" s="108">
        <v>658.50509055323244</v>
      </c>
      <c r="FB42" s="108">
        <v>676.28036163187573</v>
      </c>
      <c r="FC42" s="108">
        <v>542.71812387823718</v>
      </c>
      <c r="FD42" s="108">
        <v>598.34449095137802</v>
      </c>
      <c r="FE42" s="57">
        <v>53</v>
      </c>
      <c r="FF42" s="62">
        <v>55</v>
      </c>
      <c r="FG42" s="62">
        <v>61</v>
      </c>
      <c r="FH42" s="62">
        <v>53</v>
      </c>
      <c r="FI42" s="108">
        <v>195.23964087707898</v>
      </c>
      <c r="FJ42" s="108">
        <v>191.26170269571327</v>
      </c>
      <c r="FK42" s="108">
        <v>189.11683913252142</v>
      </c>
      <c r="FL42" s="108">
        <v>158.9497525862985</v>
      </c>
      <c r="FM42" s="62">
        <v>73</v>
      </c>
      <c r="FN42" s="62">
        <v>48</v>
      </c>
      <c r="FO42" s="57">
        <v>64</v>
      </c>
      <c r="FP42" s="62">
        <v>55</v>
      </c>
      <c r="FQ42" s="108">
        <v>270.34356710921185</v>
      </c>
      <c r="FR42" s="108">
        <v>164.58494310922845</v>
      </c>
      <c r="FS42" s="108">
        <v>183.92356793724241</v>
      </c>
      <c r="FT42" s="108">
        <v>159.66929289090717</v>
      </c>
      <c r="FU42" s="60">
        <v>16</v>
      </c>
      <c r="FV42" s="60">
        <v>25</v>
      </c>
      <c r="FW42" s="60">
        <v>19</v>
      </c>
      <c r="FX42" s="60">
        <v>14</v>
      </c>
      <c r="FY42" s="108" t="s">
        <v>39</v>
      </c>
      <c r="FZ42" s="108">
        <v>82.787342810019155</v>
      </c>
      <c r="GA42" s="108" t="s">
        <v>39</v>
      </c>
      <c r="GB42" s="108" t="s">
        <v>39</v>
      </c>
      <c r="GC42" s="63">
        <v>11</v>
      </c>
      <c r="GD42" s="64">
        <v>13</v>
      </c>
      <c r="GE42" s="63">
        <v>14</v>
      </c>
      <c r="GF42" s="63">
        <v>18</v>
      </c>
      <c r="GG42" s="112" t="s">
        <v>39</v>
      </c>
      <c r="GH42" s="112" t="s">
        <v>39</v>
      </c>
      <c r="GI42" s="112" t="s">
        <v>39</v>
      </c>
      <c r="GJ42" s="112" t="s">
        <v>39</v>
      </c>
      <c r="GK42" s="63"/>
      <c r="GL42" s="63"/>
      <c r="GM42" s="63"/>
      <c r="GN42" s="64"/>
      <c r="GO42" s="63"/>
      <c r="GP42" s="63"/>
      <c r="GQ42" s="63"/>
      <c r="GR42" s="63"/>
      <c r="GS42" s="64"/>
      <c r="GT42" s="63"/>
      <c r="GU42" s="63"/>
      <c r="GV42" s="63"/>
      <c r="GW42" s="63"/>
      <c r="GX42" s="64"/>
      <c r="GY42" s="64"/>
      <c r="GZ42" s="64"/>
      <c r="HA42" s="64"/>
      <c r="HB42" s="64"/>
      <c r="HC42" s="64"/>
      <c r="HD42" s="65"/>
      <c r="HE42" s="65"/>
      <c r="HF42" s="65"/>
      <c r="HG42" s="65"/>
      <c r="HH42" s="65"/>
      <c r="HI42" s="66"/>
      <c r="HJ42" s="66"/>
      <c r="HK42" s="63"/>
      <c r="HL42" s="64"/>
      <c r="HM42" s="64"/>
      <c r="HN42" s="64"/>
      <c r="HO42" s="64"/>
      <c r="HP42" s="64"/>
      <c r="HQ42" s="64"/>
      <c r="HR42" s="64"/>
      <c r="HS42" s="64"/>
      <c r="HT42" s="64"/>
      <c r="HU42" s="39"/>
    </row>
    <row r="43" spans="1:229" x14ac:dyDescent="0.2">
      <c r="A43" s="37">
        <v>40</v>
      </c>
      <c r="B43" s="86" t="s">
        <v>98</v>
      </c>
      <c r="C43" s="93">
        <v>28034</v>
      </c>
      <c r="D43" s="93">
        <v>28042</v>
      </c>
      <c r="E43" s="93">
        <v>28059</v>
      </c>
      <c r="F43" s="93">
        <v>27703</v>
      </c>
      <c r="G43" s="93">
        <v>27656</v>
      </c>
      <c r="H43" s="43">
        <v>26985</v>
      </c>
      <c r="I43" s="43">
        <v>133</v>
      </c>
      <c r="J43" s="43">
        <v>93</v>
      </c>
      <c r="K43" s="43">
        <v>185</v>
      </c>
      <c r="L43" s="43">
        <v>1506</v>
      </c>
      <c r="M43" s="44">
        <v>10991</v>
      </c>
      <c r="N43" s="44">
        <v>11034</v>
      </c>
      <c r="O43" s="45">
        <v>11055</v>
      </c>
      <c r="P43" s="45">
        <v>10758</v>
      </c>
      <c r="Q43" s="46">
        <v>10772</v>
      </c>
      <c r="R43" s="105">
        <v>20.762485295690301</v>
      </c>
      <c r="S43" s="105">
        <v>21.305326331582897</v>
      </c>
      <c r="T43" s="105">
        <v>22.24950884086444</v>
      </c>
      <c r="U43" s="105">
        <v>22.238380222607528</v>
      </c>
      <c r="V43" s="105">
        <v>22.153486039123891</v>
      </c>
      <c r="W43" s="105">
        <v>29.135921291840443</v>
      </c>
      <c r="X43" s="105">
        <v>28.957239309827457</v>
      </c>
      <c r="Y43" s="105">
        <v>30.877537655533725</v>
      </c>
      <c r="Z43" s="105">
        <v>32.708764472285921</v>
      </c>
      <c r="AA43" s="105">
        <v>31.979044752828401</v>
      </c>
      <c r="AB43" s="105">
        <v>49.898406587530744</v>
      </c>
      <c r="AC43" s="105">
        <v>50.262565641410355</v>
      </c>
      <c r="AD43" s="105">
        <v>53.127046496398165</v>
      </c>
      <c r="AE43" s="105">
        <v>54.947144694893453</v>
      </c>
      <c r="AF43" s="105">
        <v>54.132530791952291</v>
      </c>
      <c r="AG43" s="46">
        <v>6.2368013515416019</v>
      </c>
      <c r="AH43" s="46">
        <v>7.2910163024627126</v>
      </c>
      <c r="AI43" s="46">
        <v>11.002208724461623</v>
      </c>
      <c r="AJ43" s="46">
        <v>9.6698762035763419</v>
      </c>
      <c r="AK43" s="45">
        <v>8.4511876973774545</v>
      </c>
      <c r="AL43" s="49">
        <v>376.66666666666669</v>
      </c>
      <c r="AM43" s="49">
        <v>409.25</v>
      </c>
      <c r="AN43" s="49">
        <v>504.33333333333331</v>
      </c>
      <c r="AO43" s="49">
        <v>409.25</v>
      </c>
      <c r="AP43" s="49">
        <v>777</v>
      </c>
      <c r="AQ43" s="49">
        <v>35438.289942068084</v>
      </c>
      <c r="AR43" s="49">
        <v>37329.615400315284</v>
      </c>
      <c r="AS43" s="49">
        <v>35899.163463584446</v>
      </c>
      <c r="AT43" s="49">
        <v>36621.796770429573</v>
      </c>
      <c r="AU43" s="49">
        <v>37607.752386462249</v>
      </c>
      <c r="AV43" s="101">
        <v>60735.330883274975</v>
      </c>
      <c r="AW43" s="101">
        <v>59295.100137945134</v>
      </c>
      <c r="AX43" s="102">
        <v>55793.075352969412</v>
      </c>
      <c r="AY43" s="102">
        <v>57711.951489525629</v>
      </c>
      <c r="AZ43" s="102">
        <v>54468</v>
      </c>
      <c r="BA43" s="99">
        <v>7.459939367691641</v>
      </c>
      <c r="BB43" s="99">
        <v>7.689810640216411</v>
      </c>
      <c r="BC43" s="99">
        <v>8.3904480196234044</v>
      </c>
      <c r="BD43" s="99">
        <v>9.1701305330708092</v>
      </c>
      <c r="BE43" s="99">
        <v>8.992293363526791</v>
      </c>
      <c r="BF43" s="99">
        <v>9.0633983961264946</v>
      </c>
      <c r="BG43" s="99">
        <v>9.8192401960784306</v>
      </c>
      <c r="BH43" s="48">
        <v>10.730560047038072</v>
      </c>
      <c r="BI43" s="48">
        <v>11.684392066685829</v>
      </c>
      <c r="BJ43" s="48">
        <v>11.195445920303605</v>
      </c>
      <c r="BK43" s="44">
        <v>4388</v>
      </c>
      <c r="BL43" s="44">
        <v>4364</v>
      </c>
      <c r="BM43" s="44">
        <v>4314</v>
      </c>
      <c r="BN43" s="42">
        <v>4333</v>
      </c>
      <c r="BO43" s="45">
        <v>27.438468550592525</v>
      </c>
      <c r="BP43" s="45">
        <v>32.057745187901006</v>
      </c>
      <c r="BQ43" s="45">
        <v>32.985628187297173</v>
      </c>
      <c r="BR43" s="46">
        <v>35.541195476575119</v>
      </c>
      <c r="BS43" s="105">
        <v>5.469462169553327</v>
      </c>
      <c r="BT43" s="105">
        <v>5.3391384051329052</v>
      </c>
      <c r="BU43" s="105">
        <v>4.6824292999536397</v>
      </c>
      <c r="BV43" s="105">
        <v>5.1465497345949691</v>
      </c>
      <c r="BW43" s="45">
        <v>16.522333637192343</v>
      </c>
      <c r="BX43" s="45">
        <v>15.284142988084326</v>
      </c>
      <c r="BY43" s="45">
        <v>15.136764024107556</v>
      </c>
      <c r="BZ43" s="45">
        <v>15.231940918532194</v>
      </c>
      <c r="CA43" s="44">
        <v>81.389578163771716</v>
      </c>
      <c r="CB43" s="44">
        <v>76.811594202898547</v>
      </c>
      <c r="CC43" s="44">
        <v>84.514435695538054</v>
      </c>
      <c r="CD43" s="44">
        <v>85.63</v>
      </c>
      <c r="CE43" s="45">
        <v>5.2109181141439205</v>
      </c>
      <c r="CF43" s="45">
        <v>5.5072463768115938</v>
      </c>
      <c r="CG43" s="45">
        <v>3.4120734908136483</v>
      </c>
      <c r="CH43" s="45">
        <v>3.74</v>
      </c>
      <c r="CI43" s="48">
        <v>1604</v>
      </c>
      <c r="CJ43" s="51">
        <v>1564</v>
      </c>
      <c r="CK43" s="51">
        <v>1751</v>
      </c>
      <c r="CL43" s="57">
        <v>1751</v>
      </c>
      <c r="CM43" s="108">
        <v>13.286174592261879</v>
      </c>
      <c r="CN43" s="108">
        <v>12.329717457114027</v>
      </c>
      <c r="CO43" s="108">
        <v>12.939794116125599</v>
      </c>
      <c r="CP43" s="108">
        <v>12.552511219120536</v>
      </c>
      <c r="CQ43" s="60">
        <v>58</v>
      </c>
      <c r="CR43" s="60">
        <v>56</v>
      </c>
      <c r="CS43" s="60">
        <v>81</v>
      </c>
      <c r="CT43" s="60">
        <v>78</v>
      </c>
      <c r="CU43" s="108">
        <v>3.7419354838709675</v>
      </c>
      <c r="CV43" s="108">
        <v>3.6842105263157894</v>
      </c>
      <c r="CW43" s="108">
        <v>4.7340736411455291</v>
      </c>
      <c r="CX43" s="108">
        <v>4.5828437132784963</v>
      </c>
      <c r="CY43" s="61">
        <v>95</v>
      </c>
      <c r="CZ43" s="57">
        <v>104</v>
      </c>
      <c r="DA43" s="60">
        <v>140</v>
      </c>
      <c r="DB43" s="60">
        <v>117</v>
      </c>
      <c r="DC43" s="108">
        <v>6.8100358422939067</v>
      </c>
      <c r="DD43" s="108">
        <v>7.60233918128655</v>
      </c>
      <c r="DE43" s="108">
        <v>8.827238335435057</v>
      </c>
      <c r="DF43" s="108">
        <v>7.1779141104294482</v>
      </c>
      <c r="DG43" s="108">
        <v>82.825664290343482</v>
      </c>
      <c r="DH43" s="108">
        <v>82.389502762430936</v>
      </c>
      <c r="DI43" s="108">
        <v>86.682107701215983</v>
      </c>
      <c r="DJ43" s="108">
        <v>88.025331030512376</v>
      </c>
      <c r="DK43" s="108">
        <v>13.306719893546241</v>
      </c>
      <c r="DL43" s="108">
        <v>14.900888585099111</v>
      </c>
      <c r="DM43" s="108">
        <v>10.547785547785548</v>
      </c>
      <c r="DN43" s="108">
        <v>10.818546078992558</v>
      </c>
      <c r="DO43" s="108">
        <v>21.785268414481898</v>
      </c>
      <c r="DP43" s="108">
        <v>24.680306905370845</v>
      </c>
      <c r="DQ43" s="108">
        <v>28.041119360365506</v>
      </c>
      <c r="DR43" s="108">
        <v>31.581953169617361</v>
      </c>
      <c r="DS43" s="108">
        <v>31.226765799256505</v>
      </c>
      <c r="DT43" s="108">
        <v>29.485570890840652</v>
      </c>
      <c r="DU43" s="108">
        <v>24.211153006548919</v>
      </c>
      <c r="DV43" s="108">
        <v>22.99591661293789</v>
      </c>
      <c r="DW43" s="62">
        <v>325</v>
      </c>
      <c r="DX43" s="62">
        <v>2</v>
      </c>
      <c r="DY43" s="57">
        <v>2</v>
      </c>
      <c r="DZ43" s="60">
        <v>2</v>
      </c>
      <c r="EA43" s="60">
        <v>27</v>
      </c>
      <c r="EB43" s="60">
        <v>10</v>
      </c>
      <c r="EC43" s="60">
        <v>4</v>
      </c>
      <c r="ED43" s="57">
        <v>6</v>
      </c>
      <c r="EE43" s="60">
        <v>5</v>
      </c>
      <c r="EF43" s="60">
        <v>1060</v>
      </c>
      <c r="EG43" s="60">
        <v>1094</v>
      </c>
      <c r="EH43" s="60">
        <v>1015</v>
      </c>
      <c r="EI43" s="60">
        <v>1010</v>
      </c>
      <c r="EJ43" s="115">
        <v>185</v>
      </c>
      <c r="EK43" s="115">
        <v>0</v>
      </c>
      <c r="EL43" s="115">
        <v>0</v>
      </c>
      <c r="EM43" s="115">
        <v>0</v>
      </c>
      <c r="EN43" s="115">
        <v>1</v>
      </c>
      <c r="EO43" s="108">
        <v>878.01403165820409</v>
      </c>
      <c r="EP43" s="108">
        <v>862.44954591321903</v>
      </c>
      <c r="EQ43" s="108">
        <v>750.07944191133549</v>
      </c>
      <c r="ER43" s="108">
        <v>724.04547865858035</v>
      </c>
      <c r="ES43" s="108">
        <v>746.51020374053655</v>
      </c>
      <c r="ET43" s="108">
        <v>724.94948629750706</v>
      </c>
      <c r="EU43" s="108">
        <v>630.54463936733214</v>
      </c>
      <c r="EV43" s="108">
        <v>606.08592285976476</v>
      </c>
      <c r="EW43" s="108">
        <v>940.54122343649988</v>
      </c>
      <c r="EX43" s="108">
        <v>902.0672824562605</v>
      </c>
      <c r="EY43" s="108">
        <v>789.36396859675619</v>
      </c>
      <c r="EZ43" s="108">
        <v>771.44214944734824</v>
      </c>
      <c r="FA43" s="108">
        <v>596.63598901500529</v>
      </c>
      <c r="FB43" s="108">
        <v>578.87882387009881</v>
      </c>
      <c r="FC43" s="108">
        <v>507.03027000596933</v>
      </c>
      <c r="FD43" s="108">
        <v>478.90891502555144</v>
      </c>
      <c r="FE43" s="57">
        <v>252</v>
      </c>
      <c r="FF43" s="62">
        <v>274</v>
      </c>
      <c r="FG43" s="62">
        <v>251</v>
      </c>
      <c r="FH43" s="62">
        <v>268</v>
      </c>
      <c r="FI43" s="108">
        <v>182.1604657511362</v>
      </c>
      <c r="FJ43" s="108">
        <v>189.22327113926795</v>
      </c>
      <c r="FK43" s="108">
        <v>163.83318185078551</v>
      </c>
      <c r="FL43" s="108">
        <v>164.55995586936078</v>
      </c>
      <c r="FM43" s="62">
        <v>334</v>
      </c>
      <c r="FN43" s="62">
        <v>289</v>
      </c>
      <c r="FO43" s="57">
        <v>255</v>
      </c>
      <c r="FP43" s="62">
        <v>239</v>
      </c>
      <c r="FQ43" s="108">
        <v>230.22681080748129</v>
      </c>
      <c r="FR43" s="108">
        <v>187.65453432595456</v>
      </c>
      <c r="FS43" s="108">
        <v>152.73721326973964</v>
      </c>
      <c r="FT43" s="108">
        <v>140.28329008856494</v>
      </c>
      <c r="FU43" s="60">
        <v>90</v>
      </c>
      <c r="FV43" s="60">
        <v>79</v>
      </c>
      <c r="FW43" s="60">
        <v>56</v>
      </c>
      <c r="FX43" s="60">
        <v>55</v>
      </c>
      <c r="FY43" s="108">
        <v>60.428360646669304</v>
      </c>
      <c r="FZ43" s="108">
        <v>49.30345056277811</v>
      </c>
      <c r="GA43" s="108">
        <v>32.301573735719231</v>
      </c>
      <c r="GB43" s="108">
        <v>31.625151194695434</v>
      </c>
      <c r="GC43" s="63">
        <v>52</v>
      </c>
      <c r="GD43" s="64">
        <v>57</v>
      </c>
      <c r="GE43" s="63">
        <v>54</v>
      </c>
      <c r="GF43" s="63">
        <v>43</v>
      </c>
      <c r="GG43" s="112">
        <v>40.869627265607981</v>
      </c>
      <c r="GH43" s="112">
        <v>41.295691811968936</v>
      </c>
      <c r="GI43" s="112">
        <v>36.679901755030734</v>
      </c>
      <c r="GJ43" s="112">
        <v>28.767885326229081</v>
      </c>
      <c r="GK43" s="63"/>
      <c r="GL43" s="63"/>
      <c r="GM43" s="63"/>
      <c r="GN43" s="64"/>
      <c r="GO43" s="63"/>
      <c r="GP43" s="63"/>
      <c r="GQ43" s="63"/>
      <c r="GR43" s="63"/>
      <c r="GS43" s="64"/>
      <c r="GT43" s="63"/>
      <c r="GU43" s="63"/>
      <c r="GV43" s="63"/>
      <c r="GW43" s="63"/>
      <c r="GX43" s="64"/>
      <c r="GY43" s="64"/>
      <c r="GZ43" s="64"/>
      <c r="HA43" s="64"/>
      <c r="HB43" s="64"/>
      <c r="HC43" s="64"/>
      <c r="HD43" s="65"/>
      <c r="HE43" s="65"/>
      <c r="HF43" s="65"/>
      <c r="HG43" s="65"/>
      <c r="HH43" s="65"/>
      <c r="HI43" s="66"/>
      <c r="HJ43" s="66"/>
      <c r="HK43" s="63"/>
      <c r="HL43" s="64"/>
      <c r="HM43" s="64"/>
      <c r="HN43" s="64"/>
      <c r="HO43" s="64"/>
      <c r="HP43" s="64"/>
      <c r="HQ43" s="64"/>
      <c r="HR43" s="64"/>
      <c r="HS43" s="64"/>
      <c r="HT43" s="64"/>
      <c r="HU43" s="39"/>
    </row>
    <row r="44" spans="1:229" x14ac:dyDescent="0.2">
      <c r="A44" s="37">
        <v>41</v>
      </c>
      <c r="B44" s="86" t="s">
        <v>99</v>
      </c>
      <c r="C44" s="93">
        <v>5877</v>
      </c>
      <c r="D44" s="93">
        <v>5837</v>
      </c>
      <c r="E44" s="93">
        <v>5723</v>
      </c>
      <c r="F44" s="93">
        <v>5896</v>
      </c>
      <c r="G44" s="93">
        <v>5820</v>
      </c>
      <c r="H44" s="43">
        <v>5733</v>
      </c>
      <c r="I44" s="43">
        <v>8</v>
      </c>
      <c r="J44" s="43">
        <v>14</v>
      </c>
      <c r="K44" s="43">
        <v>19</v>
      </c>
      <c r="L44" s="43">
        <v>98</v>
      </c>
      <c r="M44" s="44">
        <v>2581</v>
      </c>
      <c r="N44" s="44">
        <v>2570</v>
      </c>
      <c r="O44" s="45">
        <v>2556</v>
      </c>
      <c r="P44" s="45">
        <v>2574</v>
      </c>
      <c r="Q44" s="46">
        <v>2552</v>
      </c>
      <c r="R44" s="105">
        <v>42.798714577855684</v>
      </c>
      <c r="S44" s="105">
        <v>43.465405085748081</v>
      </c>
      <c r="T44" s="105">
        <v>43.8039457459926</v>
      </c>
      <c r="U44" s="105">
        <v>43.078758949880665</v>
      </c>
      <c r="V44" s="105">
        <v>43.275914173466305</v>
      </c>
      <c r="W44" s="105">
        <v>28.892784107508035</v>
      </c>
      <c r="X44" s="105">
        <v>29.124778237729153</v>
      </c>
      <c r="Y44" s="105">
        <v>32.614056720098645</v>
      </c>
      <c r="Z44" s="105">
        <v>32.816229116945109</v>
      </c>
      <c r="AA44" s="105">
        <v>32.608038682381384</v>
      </c>
      <c r="AB44" s="105">
        <v>71.691498685363712</v>
      </c>
      <c r="AC44" s="105">
        <v>72.590183323477234</v>
      </c>
      <c r="AD44" s="105">
        <v>76.418002466091252</v>
      </c>
      <c r="AE44" s="105">
        <v>75.894988066825775</v>
      </c>
      <c r="AF44" s="105">
        <v>75.883952855847681</v>
      </c>
      <c r="AG44" s="46">
        <v>4.63452566096423</v>
      </c>
      <c r="AH44" s="46">
        <v>5.0122249388753053</v>
      </c>
      <c r="AI44" s="46">
        <v>6.0579196217494093</v>
      </c>
      <c r="AJ44" s="46">
        <v>5.23943661971831</v>
      </c>
      <c r="AK44" s="45">
        <v>5.0363738108561833</v>
      </c>
      <c r="AL44" s="49">
        <v>82.333333333333329</v>
      </c>
      <c r="AM44" s="49">
        <v>82.25</v>
      </c>
      <c r="AN44" s="49">
        <v>84.25</v>
      </c>
      <c r="AO44" s="49">
        <v>82.25</v>
      </c>
      <c r="AP44" s="49">
        <v>125.41666666666667</v>
      </c>
      <c r="AQ44" s="49">
        <v>34821.409562280824</v>
      </c>
      <c r="AR44" s="49">
        <v>37018.343890676355</v>
      </c>
      <c r="AS44" s="49">
        <v>37052.904810710621</v>
      </c>
      <c r="AT44" s="49">
        <v>39649.159980252225</v>
      </c>
      <c r="AU44" s="49">
        <v>41558.591065292094</v>
      </c>
      <c r="AV44" s="101">
        <v>41346.544202332378</v>
      </c>
      <c r="AW44" s="101">
        <v>44924.487814846987</v>
      </c>
      <c r="AX44" s="102">
        <v>43263.669935722035</v>
      </c>
      <c r="AY44" s="102">
        <v>44726.607669589466</v>
      </c>
      <c r="AZ44" s="102">
        <v>43996</v>
      </c>
      <c r="BA44" s="99">
        <v>12.502197995428169</v>
      </c>
      <c r="BB44" s="99">
        <v>10.049539985845719</v>
      </c>
      <c r="BC44" s="99">
        <v>9.2157571376942542</v>
      </c>
      <c r="BD44" s="99">
        <v>9.9982671980592617</v>
      </c>
      <c r="BE44" s="99">
        <v>9.8104598104598111</v>
      </c>
      <c r="BF44" s="99">
        <v>14.273995077932732</v>
      </c>
      <c r="BG44" s="99">
        <v>13.090306545153272</v>
      </c>
      <c r="BH44" s="48">
        <v>12.678288431061807</v>
      </c>
      <c r="BI44" s="48">
        <v>14.47067783701447</v>
      </c>
      <c r="BJ44" s="48">
        <v>12.714508580343214</v>
      </c>
      <c r="BK44" s="44">
        <v>983</v>
      </c>
      <c r="BL44" s="44">
        <v>950</v>
      </c>
      <c r="BM44" s="44">
        <v>944</v>
      </c>
      <c r="BN44" s="42">
        <v>947</v>
      </c>
      <c r="BO44" s="45">
        <v>38.453713123092577</v>
      </c>
      <c r="BP44" s="45">
        <v>39.368421052631582</v>
      </c>
      <c r="BQ44" s="45">
        <v>39.08898305084746</v>
      </c>
      <c r="BR44" s="46">
        <v>38.542766631467792</v>
      </c>
      <c r="BS44" s="105">
        <v>0.71210579857578837</v>
      </c>
      <c r="BT44" s="105">
        <v>0.73684210526315785</v>
      </c>
      <c r="BU44" s="105">
        <v>0</v>
      </c>
      <c r="BV44" s="105">
        <v>0.42238648363252373</v>
      </c>
      <c r="BW44" s="45">
        <v>14.547304170905392</v>
      </c>
      <c r="BX44" s="45">
        <v>15.473684210526315</v>
      </c>
      <c r="BY44" s="45">
        <v>15.572033898305085</v>
      </c>
      <c r="BZ44" s="45">
        <v>14.466737064413939</v>
      </c>
      <c r="CA44" s="44">
        <v>81.012658227848107</v>
      </c>
      <c r="CB44" s="44">
        <v>73.19587628865979</v>
      </c>
      <c r="CC44" s="44">
        <v>81.17647058823529</v>
      </c>
      <c r="CD44" s="44">
        <v>82.05</v>
      </c>
      <c r="CE44" s="45">
        <v>2.5316455696202533</v>
      </c>
      <c r="CF44" s="45">
        <v>0</v>
      </c>
      <c r="CG44" s="45">
        <v>4.7058823529411766</v>
      </c>
      <c r="CH44" s="45">
        <v>3.85</v>
      </c>
      <c r="CI44" s="48">
        <v>362</v>
      </c>
      <c r="CJ44" s="51">
        <v>311</v>
      </c>
      <c r="CK44" s="51">
        <v>355</v>
      </c>
      <c r="CL44" s="57">
        <v>339</v>
      </c>
      <c r="CM44" s="108">
        <v>10.648311566066596</v>
      </c>
      <c r="CN44" s="108">
        <v>9.6613855234544896</v>
      </c>
      <c r="CO44" s="108">
        <v>11.608135504545157</v>
      </c>
      <c r="CP44" s="108">
        <v>11.62830583473399</v>
      </c>
      <c r="CQ44" s="60">
        <v>17</v>
      </c>
      <c r="CR44" s="60">
        <v>21</v>
      </c>
      <c r="CS44" s="60">
        <v>21</v>
      </c>
      <c r="CT44" s="60">
        <v>15</v>
      </c>
      <c r="CU44" s="108">
        <v>4.8295454545454541</v>
      </c>
      <c r="CV44" s="108">
        <v>6.9306930693069306</v>
      </c>
      <c r="CW44" s="108">
        <v>6.0344827586206895</v>
      </c>
      <c r="CX44" s="108">
        <v>4.7021943573667713</v>
      </c>
      <c r="CY44" s="61">
        <v>18</v>
      </c>
      <c r="CZ44" s="57">
        <v>28</v>
      </c>
      <c r="DA44" s="60">
        <v>29</v>
      </c>
      <c r="DB44" s="60">
        <v>33</v>
      </c>
      <c r="DC44" s="108">
        <v>5.5384615384615383</v>
      </c>
      <c r="DD44" s="108">
        <v>10.071942446043165</v>
      </c>
      <c r="DE44" s="108">
        <v>9.0342679127725862</v>
      </c>
      <c r="DF44" s="108">
        <v>11.301369863013699</v>
      </c>
      <c r="DG44" s="108">
        <v>85.507246376811594</v>
      </c>
      <c r="DH44" s="108">
        <v>81.418918918918919</v>
      </c>
      <c r="DI44" s="108">
        <v>84.659090909090907</v>
      </c>
      <c r="DJ44" s="108">
        <v>81.355932203389827</v>
      </c>
      <c r="DK44" s="108">
        <v>15.895953757225433</v>
      </c>
      <c r="DL44" s="108">
        <v>16.666666666666668</v>
      </c>
      <c r="DM44" s="108">
        <v>13.27683615819209</v>
      </c>
      <c r="DN44" s="108">
        <v>15.929203539823009</v>
      </c>
      <c r="DO44" s="108">
        <v>16.574585635359117</v>
      </c>
      <c r="DP44" s="108">
        <v>16.774193548387096</v>
      </c>
      <c r="DQ44" s="108">
        <v>14.366197183098592</v>
      </c>
      <c r="DR44" s="108">
        <v>21.238938053097346</v>
      </c>
      <c r="DS44" s="108">
        <v>21.071115013169447</v>
      </c>
      <c r="DT44" s="108">
        <v>18.78736122971819</v>
      </c>
      <c r="DU44" s="108" t="s">
        <v>39</v>
      </c>
      <c r="DV44" s="108" t="s">
        <v>39</v>
      </c>
      <c r="DW44" s="62">
        <v>76</v>
      </c>
      <c r="DX44" s="62">
        <v>5</v>
      </c>
      <c r="DY44" s="57">
        <v>0</v>
      </c>
      <c r="DZ44" s="60">
        <v>0</v>
      </c>
      <c r="EA44" s="60">
        <v>1</v>
      </c>
      <c r="EB44" s="60">
        <v>1</v>
      </c>
      <c r="EC44" s="60">
        <v>0</v>
      </c>
      <c r="ED44" s="57">
        <v>1</v>
      </c>
      <c r="EE44" s="60">
        <v>0</v>
      </c>
      <c r="EF44" s="60">
        <v>559</v>
      </c>
      <c r="EG44" s="60">
        <v>487</v>
      </c>
      <c r="EH44" s="60">
        <v>496</v>
      </c>
      <c r="EI44" s="60">
        <v>439</v>
      </c>
      <c r="EJ44" s="115">
        <v>79</v>
      </c>
      <c r="EK44" s="115">
        <v>0</v>
      </c>
      <c r="EL44" s="115">
        <v>0</v>
      </c>
      <c r="EM44" s="115">
        <v>0</v>
      </c>
      <c r="EN44" s="115">
        <v>0</v>
      </c>
      <c r="EO44" s="108">
        <v>1644.311095422991</v>
      </c>
      <c r="EP44" s="108">
        <v>1512.8922025473751</v>
      </c>
      <c r="EQ44" s="108">
        <v>1621.869073311098</v>
      </c>
      <c r="ER44" s="108">
        <v>1505.84845470449</v>
      </c>
      <c r="ES44" s="108">
        <v>864.56477140020718</v>
      </c>
      <c r="ET44" s="108">
        <v>726.79054938292052</v>
      </c>
      <c r="EU44" s="108">
        <v>767.41904511161772</v>
      </c>
      <c r="EV44" s="108">
        <v>668.70627843846046</v>
      </c>
      <c r="EW44" s="108">
        <v>1096.983863337646</v>
      </c>
      <c r="EX44" s="108">
        <v>880.52696238576027</v>
      </c>
      <c r="EY44" s="108">
        <v>1008.8807123570299</v>
      </c>
      <c r="EZ44" s="108">
        <v>857.17602997010101</v>
      </c>
      <c r="FA44" s="108">
        <v>675.16824782733204</v>
      </c>
      <c r="FB44" s="108">
        <v>609.88498583098067</v>
      </c>
      <c r="FC44" s="108">
        <v>586.65139339178302</v>
      </c>
      <c r="FD44" s="108">
        <v>514.4633211961908</v>
      </c>
      <c r="FE44" s="57">
        <v>161</v>
      </c>
      <c r="FF44" s="62">
        <v>103</v>
      </c>
      <c r="FG44" s="62">
        <v>106</v>
      </c>
      <c r="FH44" s="62">
        <v>95</v>
      </c>
      <c r="FI44" s="108">
        <v>273.04875975660775</v>
      </c>
      <c r="FJ44" s="108">
        <v>169.26021917988052</v>
      </c>
      <c r="FK44" s="108">
        <v>189.07343173954527</v>
      </c>
      <c r="FL44" s="108">
        <v>155.64943197585575</v>
      </c>
      <c r="FM44" s="62">
        <v>148</v>
      </c>
      <c r="FN44" s="62">
        <v>132</v>
      </c>
      <c r="FO44" s="57">
        <v>113</v>
      </c>
      <c r="FP44" s="62">
        <v>112</v>
      </c>
      <c r="FQ44" s="108">
        <v>211.68177529767371</v>
      </c>
      <c r="FR44" s="108">
        <v>193.10087417892268</v>
      </c>
      <c r="FS44" s="108">
        <v>157.26211199179494</v>
      </c>
      <c r="FT44" s="108">
        <v>162.7370095593642</v>
      </c>
      <c r="FU44" s="60">
        <v>59</v>
      </c>
      <c r="FV44" s="60">
        <v>66</v>
      </c>
      <c r="FW44" s="60">
        <v>46</v>
      </c>
      <c r="FX44" s="60">
        <v>34</v>
      </c>
      <c r="FY44" s="108">
        <v>73.342420240679047</v>
      </c>
      <c r="FZ44" s="108">
        <v>88.421198561619292</v>
      </c>
      <c r="GA44" s="108">
        <v>61.294756901420996</v>
      </c>
      <c r="GB44" s="108">
        <v>43.865618172922808</v>
      </c>
      <c r="GC44" s="63">
        <v>23</v>
      </c>
      <c r="GD44" s="64">
        <v>24</v>
      </c>
      <c r="GE44" s="63">
        <v>30</v>
      </c>
      <c r="GF44" s="63">
        <v>17</v>
      </c>
      <c r="GG44" s="112">
        <v>61.980854956048844</v>
      </c>
      <c r="GH44" s="112">
        <v>53.257667159523891</v>
      </c>
      <c r="GI44" s="112">
        <v>67.335066575656782</v>
      </c>
      <c r="GJ44" s="112" t="s">
        <v>39</v>
      </c>
      <c r="GK44" s="63"/>
      <c r="GL44" s="63"/>
      <c r="GM44" s="63"/>
      <c r="GN44" s="64"/>
      <c r="GO44" s="63"/>
      <c r="GP44" s="63"/>
      <c r="GQ44" s="63"/>
      <c r="GR44" s="63"/>
      <c r="GS44" s="64"/>
      <c r="GT44" s="63"/>
      <c r="GU44" s="63"/>
      <c r="GV44" s="63"/>
      <c r="GW44" s="63"/>
      <c r="GX44" s="64"/>
      <c r="GY44" s="64"/>
      <c r="GZ44" s="64"/>
      <c r="HA44" s="64"/>
      <c r="HB44" s="64"/>
      <c r="HC44" s="64"/>
      <c r="HD44" s="65"/>
      <c r="HE44" s="65"/>
      <c r="HF44" s="65"/>
      <c r="HG44" s="65"/>
      <c r="HH44" s="65"/>
      <c r="HI44" s="66"/>
      <c r="HJ44" s="66"/>
      <c r="HK44" s="63"/>
      <c r="HL44" s="64"/>
      <c r="HM44" s="64"/>
      <c r="HN44" s="64"/>
      <c r="HO44" s="64"/>
      <c r="HP44" s="64"/>
      <c r="HQ44" s="64"/>
      <c r="HR44" s="64"/>
      <c r="HS44" s="64"/>
      <c r="HT44" s="64"/>
      <c r="HU44" s="39"/>
    </row>
    <row r="45" spans="1:229" ht="21" customHeight="1" x14ac:dyDescent="0.2">
      <c r="A45" s="37">
        <v>42</v>
      </c>
      <c r="B45" s="86" t="s">
        <v>100</v>
      </c>
      <c r="C45" s="93">
        <v>24695</v>
      </c>
      <c r="D45" s="93">
        <v>24844</v>
      </c>
      <c r="E45" s="93">
        <v>25074</v>
      </c>
      <c r="F45" s="93">
        <v>25857</v>
      </c>
      <c r="G45" s="93">
        <v>25891</v>
      </c>
      <c r="H45" s="43">
        <v>23980</v>
      </c>
      <c r="I45" s="43">
        <v>641</v>
      </c>
      <c r="J45" s="43">
        <v>158</v>
      </c>
      <c r="K45" s="43">
        <v>736</v>
      </c>
      <c r="L45" s="43">
        <v>1549</v>
      </c>
      <c r="M45" s="44">
        <v>9933</v>
      </c>
      <c r="N45" s="44">
        <v>9943</v>
      </c>
      <c r="O45" s="45">
        <v>10055</v>
      </c>
      <c r="P45" s="45">
        <v>10227</v>
      </c>
      <c r="Q45" s="46">
        <v>10265</v>
      </c>
      <c r="R45" s="105">
        <v>22.247369708832885</v>
      </c>
      <c r="S45" s="105">
        <v>22.565320665083135</v>
      </c>
      <c r="T45" s="105">
        <v>22.135179449808707</v>
      </c>
      <c r="U45" s="105">
        <v>20.563314439315139</v>
      </c>
      <c r="V45" s="105">
        <v>20.806036499766027</v>
      </c>
      <c r="W45" s="105">
        <v>28.810863714215806</v>
      </c>
      <c r="X45" s="105">
        <v>28.747183141482427</v>
      </c>
      <c r="Y45" s="105">
        <v>30.132993259245765</v>
      </c>
      <c r="Z45" s="105">
        <v>30.532343832174369</v>
      </c>
      <c r="AA45" s="105">
        <v>30.638745905474966</v>
      </c>
      <c r="AB45" s="105">
        <v>51.058233423048691</v>
      </c>
      <c r="AC45" s="105">
        <v>51.312503806565566</v>
      </c>
      <c r="AD45" s="105">
        <v>52.268172709054475</v>
      </c>
      <c r="AE45" s="105">
        <v>51.095658271489512</v>
      </c>
      <c r="AF45" s="105">
        <v>51.444782405240993</v>
      </c>
      <c r="AG45" s="46">
        <v>3.8695411829740189</v>
      </c>
      <c r="AH45" s="46">
        <v>4.3793622553715617</v>
      </c>
      <c r="AI45" s="46">
        <v>6.0298789968228217</v>
      </c>
      <c r="AJ45" s="46">
        <v>5.5233139883930358</v>
      </c>
      <c r="AK45" s="45">
        <v>5.4151866496883585</v>
      </c>
      <c r="AL45" s="49">
        <v>502.08333333333331</v>
      </c>
      <c r="AM45" s="49">
        <v>531.5</v>
      </c>
      <c r="AN45" s="49">
        <v>704.58333333333337</v>
      </c>
      <c r="AO45" s="49">
        <v>531.5</v>
      </c>
      <c r="AP45" s="49">
        <v>985.16666666666663</v>
      </c>
      <c r="AQ45" s="49">
        <v>38521.043484131726</v>
      </c>
      <c r="AR45" s="49">
        <v>39798.561787335952</v>
      </c>
      <c r="AS45" s="49">
        <v>38025.107039856171</v>
      </c>
      <c r="AT45" s="49">
        <v>39821.546115129706</v>
      </c>
      <c r="AU45" s="49">
        <v>40342.512842300413</v>
      </c>
      <c r="AV45" s="101">
        <v>51253.571953583931</v>
      </c>
      <c r="AW45" s="101">
        <v>48042.038318091254</v>
      </c>
      <c r="AX45" s="102">
        <v>49051.311601262249</v>
      </c>
      <c r="AY45" s="102">
        <v>50771.580245441539</v>
      </c>
      <c r="AZ45" s="102">
        <v>50031</v>
      </c>
      <c r="BA45" s="99">
        <v>11.348180890853451</v>
      </c>
      <c r="BB45" s="99">
        <v>10.479905036459217</v>
      </c>
      <c r="BC45" s="99">
        <v>11.679200100827627</v>
      </c>
      <c r="BD45" s="99">
        <v>11.39733954908974</v>
      </c>
      <c r="BE45" s="99">
        <v>12.102959482793239</v>
      </c>
      <c r="BF45" s="99">
        <v>11.752397558849172</v>
      </c>
      <c r="BG45" s="99">
        <v>11.475409836065573</v>
      </c>
      <c r="BH45" s="48">
        <v>13.450787735049975</v>
      </c>
      <c r="BI45" s="48">
        <v>13.967382528661393</v>
      </c>
      <c r="BJ45" s="48">
        <v>16.27080303764744</v>
      </c>
      <c r="BK45" s="44">
        <v>4326</v>
      </c>
      <c r="BL45" s="44">
        <v>4312</v>
      </c>
      <c r="BM45" s="44">
        <v>4318</v>
      </c>
      <c r="BN45" s="42">
        <v>4325</v>
      </c>
      <c r="BO45" s="45">
        <v>34.766527970411467</v>
      </c>
      <c r="BP45" s="45">
        <v>38.659554730983302</v>
      </c>
      <c r="BQ45" s="45">
        <v>40.134321445113478</v>
      </c>
      <c r="BR45" s="46">
        <v>40.300578034682083</v>
      </c>
      <c r="BS45" s="105">
        <v>8.8534442903374941</v>
      </c>
      <c r="BT45" s="105">
        <v>8.9749536178107601</v>
      </c>
      <c r="BU45" s="105">
        <v>10.3056970819824</v>
      </c>
      <c r="BV45" s="105">
        <v>9.3872832369942198</v>
      </c>
      <c r="BW45" s="45">
        <v>14.771151178918169</v>
      </c>
      <c r="BX45" s="45">
        <v>16.025046382189238</v>
      </c>
      <c r="BY45" s="45">
        <v>17.438628994905049</v>
      </c>
      <c r="BZ45" s="45">
        <v>17.179190751445088</v>
      </c>
      <c r="CA45" s="44">
        <v>87.096774193548384</v>
      </c>
      <c r="CB45" s="44">
        <v>88.235294117647058</v>
      </c>
      <c r="CC45" s="44">
        <v>84.905660377358487</v>
      </c>
      <c r="CD45" s="44">
        <v>85.11</v>
      </c>
      <c r="CE45" s="45">
        <v>3.4739454094292803</v>
      </c>
      <c r="CF45" s="45">
        <v>2.5575447570332481</v>
      </c>
      <c r="CG45" s="45">
        <v>3.2345013477088949</v>
      </c>
      <c r="CH45" s="45">
        <v>5.34</v>
      </c>
      <c r="CI45" s="48">
        <v>1770</v>
      </c>
      <c r="CJ45" s="51">
        <v>1700</v>
      </c>
      <c r="CK45" s="51">
        <v>1644</v>
      </c>
      <c r="CL45" s="57">
        <v>1855</v>
      </c>
      <c r="CM45" s="108">
        <v>14.242836336130937</v>
      </c>
      <c r="CN45" s="108">
        <v>13.71576102303441</v>
      </c>
      <c r="CO45" s="108">
        <v>13.284633783696425</v>
      </c>
      <c r="CP45" s="108">
        <v>14.680162391877241</v>
      </c>
      <c r="CQ45" s="60">
        <v>55</v>
      </c>
      <c r="CR45" s="60">
        <v>74</v>
      </c>
      <c r="CS45" s="60">
        <v>62</v>
      </c>
      <c r="CT45" s="60">
        <v>93</v>
      </c>
      <c r="CU45" s="108">
        <v>3.2201405152224822</v>
      </c>
      <c r="CV45" s="108">
        <v>4.4875682231655549</v>
      </c>
      <c r="CW45" s="108">
        <v>3.8461538461538463</v>
      </c>
      <c r="CX45" s="108">
        <v>5.1609322974472809</v>
      </c>
      <c r="CY45" s="61">
        <v>117</v>
      </c>
      <c r="CZ45" s="57">
        <v>149</v>
      </c>
      <c r="DA45" s="60">
        <v>122</v>
      </c>
      <c r="DB45" s="60">
        <v>150</v>
      </c>
      <c r="DC45" s="108">
        <v>7.7432164129715417</v>
      </c>
      <c r="DD45" s="108">
        <v>10.354412786657401</v>
      </c>
      <c r="DE45" s="108">
        <v>8.821402747650037</v>
      </c>
      <c r="DF45" s="108">
        <v>9.1519219035997565</v>
      </c>
      <c r="DG45" s="108">
        <v>81.961030798240103</v>
      </c>
      <c r="DH45" s="108">
        <v>80.659767141009056</v>
      </c>
      <c r="DI45" s="108">
        <v>81.627620221948206</v>
      </c>
      <c r="DJ45" s="108">
        <v>83.259423503325948</v>
      </c>
      <c r="DK45" s="108">
        <v>10.214741729541498</v>
      </c>
      <c r="DL45" s="108">
        <v>12.537136066547831</v>
      </c>
      <c r="DM45" s="108">
        <v>11.477411477411477</v>
      </c>
      <c r="DN45" s="108">
        <v>11.710739341608203</v>
      </c>
      <c r="DO45" s="108">
        <v>22.033898305084747</v>
      </c>
      <c r="DP45" s="108">
        <v>24.838140082401413</v>
      </c>
      <c r="DQ45" s="108">
        <v>25.24330900243309</v>
      </c>
      <c r="DR45" s="108">
        <v>33.045822102425873</v>
      </c>
      <c r="DS45" s="108">
        <v>33.967391304347828</v>
      </c>
      <c r="DT45" s="108">
        <v>28.759098171489438</v>
      </c>
      <c r="DU45" s="108">
        <v>20.093896713615024</v>
      </c>
      <c r="DV45" s="108">
        <v>23.318042813455659</v>
      </c>
      <c r="DW45" s="62">
        <v>291</v>
      </c>
      <c r="DX45" s="62">
        <v>19</v>
      </c>
      <c r="DY45" s="57">
        <v>0</v>
      </c>
      <c r="DZ45" s="60">
        <v>29</v>
      </c>
      <c r="EA45" s="60">
        <v>42</v>
      </c>
      <c r="EB45" s="60">
        <v>5</v>
      </c>
      <c r="EC45" s="60">
        <v>8</v>
      </c>
      <c r="ED45" s="57">
        <v>11</v>
      </c>
      <c r="EE45" s="60">
        <v>12</v>
      </c>
      <c r="EF45" s="60">
        <v>1149</v>
      </c>
      <c r="EG45" s="60">
        <v>1188</v>
      </c>
      <c r="EH45" s="60">
        <v>1132</v>
      </c>
      <c r="EI45" s="60">
        <v>1113</v>
      </c>
      <c r="EJ45" s="115">
        <v>192</v>
      </c>
      <c r="EK45" s="115">
        <v>6</v>
      </c>
      <c r="EL45" s="115">
        <v>0</v>
      </c>
      <c r="EM45" s="115">
        <v>1</v>
      </c>
      <c r="EN45" s="115">
        <v>6</v>
      </c>
      <c r="EO45" s="108">
        <v>924.57734182002525</v>
      </c>
      <c r="EP45" s="108">
        <v>958.48965266852235</v>
      </c>
      <c r="EQ45" s="108">
        <v>914.73269118882922</v>
      </c>
      <c r="ER45" s="108">
        <v>880.80974351263444</v>
      </c>
      <c r="ES45" s="108">
        <v>751.17385651771451</v>
      </c>
      <c r="ET45" s="108">
        <v>744.68692811860274</v>
      </c>
      <c r="EU45" s="108">
        <v>683.68467866414369</v>
      </c>
      <c r="EV45" s="108">
        <v>677.28009453198342</v>
      </c>
      <c r="EW45" s="108">
        <v>963.6708082805942</v>
      </c>
      <c r="EX45" s="108">
        <v>951.60365584666079</v>
      </c>
      <c r="EY45" s="108">
        <v>860.08539079780053</v>
      </c>
      <c r="EZ45" s="108">
        <v>782.90571906394734</v>
      </c>
      <c r="FA45" s="108">
        <v>600.52482563121362</v>
      </c>
      <c r="FB45" s="108">
        <v>595.83076005952887</v>
      </c>
      <c r="FC45" s="108">
        <v>547.4000743708873</v>
      </c>
      <c r="FD45" s="108">
        <v>605.10340599501706</v>
      </c>
      <c r="FE45" s="57">
        <v>257</v>
      </c>
      <c r="FF45" s="62">
        <v>246</v>
      </c>
      <c r="FG45" s="62">
        <v>270</v>
      </c>
      <c r="FH45" s="62">
        <v>269</v>
      </c>
      <c r="FI45" s="108">
        <v>181.19017995267507</v>
      </c>
      <c r="FJ45" s="108">
        <v>165.3100849913599</v>
      </c>
      <c r="FK45" s="108">
        <v>176.15178377925474</v>
      </c>
      <c r="FL45" s="108">
        <v>178.98191084788212</v>
      </c>
      <c r="FM45" s="62">
        <v>385</v>
      </c>
      <c r="FN45" s="62">
        <v>387</v>
      </c>
      <c r="FO45" s="57">
        <v>291</v>
      </c>
      <c r="FP45" s="62">
        <v>226</v>
      </c>
      <c r="FQ45" s="108">
        <v>240.96854178957818</v>
      </c>
      <c r="FR45" s="108">
        <v>233.41811374679006</v>
      </c>
      <c r="FS45" s="108">
        <v>165.67636097256013</v>
      </c>
      <c r="FT45" s="108">
        <v>126.36812279069815</v>
      </c>
      <c r="FU45" s="60">
        <v>120</v>
      </c>
      <c r="FV45" s="60">
        <v>132</v>
      </c>
      <c r="FW45" s="60">
        <v>93</v>
      </c>
      <c r="FX45" s="60">
        <v>69</v>
      </c>
      <c r="FY45" s="108">
        <v>71.022620756167299</v>
      </c>
      <c r="FZ45" s="108">
        <v>73.86147317879832</v>
      </c>
      <c r="GA45" s="108">
        <v>49.662123978699391</v>
      </c>
      <c r="GB45" s="108">
        <v>38.602644376877876</v>
      </c>
      <c r="GC45" s="63">
        <v>71</v>
      </c>
      <c r="GD45" s="64">
        <v>62</v>
      </c>
      <c r="GE45" s="63">
        <v>52</v>
      </c>
      <c r="GF45" s="63">
        <v>50</v>
      </c>
      <c r="GG45" s="112">
        <v>54.962377214867423</v>
      </c>
      <c r="GH45" s="112">
        <v>45.551389433310312</v>
      </c>
      <c r="GI45" s="112">
        <v>35.136833176529308</v>
      </c>
      <c r="GJ45" s="112">
        <v>36.440129635003892</v>
      </c>
      <c r="GK45" s="63"/>
      <c r="GL45" s="63"/>
      <c r="GM45" s="63"/>
      <c r="GN45" s="64"/>
      <c r="GO45" s="63"/>
      <c r="GP45" s="63"/>
      <c r="GQ45" s="63"/>
      <c r="GR45" s="63"/>
      <c r="GS45" s="64"/>
      <c r="GT45" s="63"/>
      <c r="GU45" s="63"/>
      <c r="GV45" s="63"/>
      <c r="GW45" s="63"/>
      <c r="GX45" s="64"/>
      <c r="GY45" s="64"/>
      <c r="GZ45" s="64"/>
      <c r="HA45" s="64"/>
      <c r="HB45" s="64"/>
      <c r="HC45" s="64"/>
      <c r="HD45" s="65"/>
      <c r="HE45" s="65"/>
      <c r="HF45" s="65"/>
      <c r="HG45" s="65"/>
      <c r="HH45" s="65"/>
      <c r="HI45" s="66"/>
      <c r="HJ45" s="66"/>
      <c r="HK45" s="63"/>
      <c r="HL45" s="64"/>
      <c r="HM45" s="64"/>
      <c r="HN45" s="64"/>
      <c r="HO45" s="64"/>
      <c r="HP45" s="64"/>
      <c r="HQ45" s="64"/>
      <c r="HR45" s="64"/>
      <c r="HS45" s="64"/>
      <c r="HT45" s="64"/>
      <c r="HU45" s="39"/>
    </row>
    <row r="46" spans="1:229" x14ac:dyDescent="0.2">
      <c r="A46" s="37">
        <v>43</v>
      </c>
      <c r="B46" s="86" t="s">
        <v>101</v>
      </c>
      <c r="C46" s="93">
        <v>37220</v>
      </c>
      <c r="D46" s="93">
        <v>37165</v>
      </c>
      <c r="E46" s="93">
        <v>36939</v>
      </c>
      <c r="F46" s="93">
        <v>36651</v>
      </c>
      <c r="G46" s="93">
        <v>36432</v>
      </c>
      <c r="H46" s="43">
        <v>35465</v>
      </c>
      <c r="I46" s="43">
        <v>218</v>
      </c>
      <c r="J46" s="43">
        <v>113</v>
      </c>
      <c r="K46" s="43">
        <v>300</v>
      </c>
      <c r="L46" s="43">
        <v>1870</v>
      </c>
      <c r="M46" s="44">
        <v>14784</v>
      </c>
      <c r="N46" s="44">
        <v>14791</v>
      </c>
      <c r="O46" s="45">
        <v>14729</v>
      </c>
      <c r="P46" s="45">
        <v>14639</v>
      </c>
      <c r="Q46" s="46">
        <v>14628</v>
      </c>
      <c r="R46" s="105">
        <v>21.373447237010442</v>
      </c>
      <c r="S46" s="105">
        <v>21.991615125980658</v>
      </c>
      <c r="T46" s="105">
        <v>22.552078940710128</v>
      </c>
      <c r="U46" s="105">
        <v>23.982365278431708</v>
      </c>
      <c r="V46" s="105">
        <v>24.83490871423022</v>
      </c>
      <c r="W46" s="105">
        <v>32.231439065659693</v>
      </c>
      <c r="X46" s="105">
        <v>32.277614046739444</v>
      </c>
      <c r="Y46" s="105">
        <v>33.216665261027238</v>
      </c>
      <c r="Z46" s="105">
        <v>32.893892051534479</v>
      </c>
      <c r="AA46" s="105">
        <v>32.409685355431826</v>
      </c>
      <c r="AB46" s="105">
        <v>53.604886302670131</v>
      </c>
      <c r="AC46" s="105">
        <v>54.269229172720102</v>
      </c>
      <c r="AD46" s="105">
        <v>55.76874420173737</v>
      </c>
      <c r="AE46" s="105">
        <v>56.876257329966187</v>
      </c>
      <c r="AF46" s="105">
        <v>57.24459406966205</v>
      </c>
      <c r="AG46" s="46">
        <v>5.083998628593819</v>
      </c>
      <c r="AH46" s="46">
        <v>5.9855220327454699</v>
      </c>
      <c r="AI46" s="46">
        <v>9.8754448398576518</v>
      </c>
      <c r="AJ46" s="46">
        <v>9.0165559631208492</v>
      </c>
      <c r="AK46" s="45">
        <v>8.0214173864726988</v>
      </c>
      <c r="AL46" s="49">
        <v>475.5</v>
      </c>
      <c r="AM46" s="49">
        <v>548.08333333333337</v>
      </c>
      <c r="AN46" s="49">
        <v>769.5</v>
      </c>
      <c r="AO46" s="49">
        <v>548.08333333333337</v>
      </c>
      <c r="AP46" s="49">
        <v>1119</v>
      </c>
      <c r="AQ46" s="49">
        <v>35323.226952935067</v>
      </c>
      <c r="AR46" s="49">
        <v>36724.358239905581</v>
      </c>
      <c r="AS46" s="49">
        <v>35294.808692597406</v>
      </c>
      <c r="AT46" s="49">
        <v>35801.103455404445</v>
      </c>
      <c r="AU46" s="49">
        <v>36359.10737812912</v>
      </c>
      <c r="AV46" s="101">
        <v>62222.686889294011</v>
      </c>
      <c r="AW46" s="101">
        <v>58486.459357277883</v>
      </c>
      <c r="AX46" s="102">
        <v>55900.020905484831</v>
      </c>
      <c r="AY46" s="102">
        <v>55112.406968852039</v>
      </c>
      <c r="AZ46" s="102">
        <v>52120</v>
      </c>
      <c r="BA46" s="99">
        <v>6.2292674968731303</v>
      </c>
      <c r="BB46" s="99">
        <v>6.5523342861031715</v>
      </c>
      <c r="BC46" s="99">
        <v>8.0058104478430074</v>
      </c>
      <c r="BD46" s="99">
        <v>8.5340617498551445</v>
      </c>
      <c r="BE46" s="99">
        <v>8.2463349622390041</v>
      </c>
      <c r="BF46" s="99">
        <v>8.0911316938145426</v>
      </c>
      <c r="BG46" s="99">
        <v>8.0596369922212627</v>
      </c>
      <c r="BH46" s="48">
        <v>10.391145497528477</v>
      </c>
      <c r="BI46" s="48">
        <v>11.71960569550931</v>
      </c>
      <c r="BJ46" s="48">
        <v>11.221527467619474</v>
      </c>
      <c r="BK46" s="44">
        <v>5627</v>
      </c>
      <c r="BL46" s="44">
        <v>5450</v>
      </c>
      <c r="BM46" s="44">
        <v>5446</v>
      </c>
      <c r="BN46" s="42">
        <v>5357</v>
      </c>
      <c r="BO46" s="45">
        <v>31.526568331259995</v>
      </c>
      <c r="BP46" s="45">
        <v>32</v>
      </c>
      <c r="BQ46" s="45">
        <v>33.217040029379362</v>
      </c>
      <c r="BR46" s="46">
        <v>32.480866156430835</v>
      </c>
      <c r="BS46" s="105">
        <v>4.0163497423138441</v>
      </c>
      <c r="BT46" s="105">
        <v>3.7981651376146788</v>
      </c>
      <c r="BU46" s="105">
        <v>3.5071612192434816</v>
      </c>
      <c r="BV46" s="105">
        <v>3.6027627403397422</v>
      </c>
      <c r="BW46" s="45">
        <v>12.742136129376222</v>
      </c>
      <c r="BX46" s="45">
        <v>13.834862385321101</v>
      </c>
      <c r="BY46" s="45">
        <v>13.918472273228057</v>
      </c>
      <c r="BZ46" s="45">
        <v>14.149710658950905</v>
      </c>
      <c r="CA46" s="44">
        <v>80.194174757281559</v>
      </c>
      <c r="CB46" s="44">
        <v>79.633401221995925</v>
      </c>
      <c r="CC46" s="44">
        <v>83.920704845814981</v>
      </c>
      <c r="CD46" s="44">
        <v>86.98</v>
      </c>
      <c r="CE46" s="45">
        <v>4.2718446601941746</v>
      </c>
      <c r="CF46" s="45">
        <v>5.7026476578411405</v>
      </c>
      <c r="CG46" s="45">
        <v>5.9471365638766516</v>
      </c>
      <c r="CH46" s="45">
        <v>3.49</v>
      </c>
      <c r="CI46" s="48">
        <v>2263</v>
      </c>
      <c r="CJ46" s="51">
        <v>2405</v>
      </c>
      <c r="CK46" s="51">
        <v>2640</v>
      </c>
      <c r="CL46" s="57">
        <v>2333</v>
      </c>
      <c r="CM46" s="108">
        <v>13.699625273175251</v>
      </c>
      <c r="CN46" s="108">
        <v>13.95626842459553</v>
      </c>
      <c r="CO46" s="108">
        <v>14.555719736232716</v>
      </c>
      <c r="CP46" s="108">
        <v>12.651363559951628</v>
      </c>
      <c r="CQ46" s="60">
        <v>79</v>
      </c>
      <c r="CR46" s="60">
        <v>71</v>
      </c>
      <c r="CS46" s="60">
        <v>97</v>
      </c>
      <c r="CT46" s="60">
        <v>97</v>
      </c>
      <c r="CU46" s="108">
        <v>3.5974499089253187</v>
      </c>
      <c r="CV46" s="108">
        <v>3.0445969125214409</v>
      </c>
      <c r="CW46" s="108">
        <v>3.7757882444530946</v>
      </c>
      <c r="CX46" s="108">
        <v>4.2825607064017657</v>
      </c>
      <c r="CY46" s="61">
        <v>178</v>
      </c>
      <c r="CZ46" s="57">
        <v>148</v>
      </c>
      <c r="DA46" s="60">
        <v>191</v>
      </c>
      <c r="DB46" s="60">
        <v>170</v>
      </c>
      <c r="DC46" s="108">
        <v>8.4600760456273765</v>
      </c>
      <c r="DD46" s="108">
        <v>6.5807025344597596</v>
      </c>
      <c r="DE46" s="108">
        <v>8.038720538720538</v>
      </c>
      <c r="DF46" s="108">
        <v>8.2085948816996623</v>
      </c>
      <c r="DG46" s="108">
        <v>87.840290381125229</v>
      </c>
      <c r="DH46" s="108">
        <v>87.144675434874841</v>
      </c>
      <c r="DI46" s="108">
        <v>88.964992389649922</v>
      </c>
      <c r="DJ46" s="108">
        <v>89.100346020761251</v>
      </c>
      <c r="DK46" s="108">
        <v>11.467268623024831</v>
      </c>
      <c r="DL46" s="108">
        <v>10.563973063973064</v>
      </c>
      <c r="DM46" s="108">
        <v>11.386138613861386</v>
      </c>
      <c r="DN46" s="108">
        <v>12.548345509239365</v>
      </c>
      <c r="DO46" s="108">
        <v>19.575784357048168</v>
      </c>
      <c r="DP46" s="108">
        <v>23.128119800332779</v>
      </c>
      <c r="DQ46" s="108">
        <v>26.780303030303031</v>
      </c>
      <c r="DR46" s="108">
        <v>30.604372053150449</v>
      </c>
      <c r="DS46" s="108">
        <v>36.016567621105708</v>
      </c>
      <c r="DT46" s="108">
        <v>33.695652173913047</v>
      </c>
      <c r="DU46" s="108">
        <v>32.822085889570552</v>
      </c>
      <c r="DV46" s="108">
        <v>27.848966342046815</v>
      </c>
      <c r="DW46" s="62">
        <v>376</v>
      </c>
      <c r="DX46" s="62">
        <v>3</v>
      </c>
      <c r="DY46" s="57">
        <v>1</v>
      </c>
      <c r="DZ46" s="60">
        <v>4</v>
      </c>
      <c r="EA46" s="60">
        <v>31</v>
      </c>
      <c r="EB46" s="60">
        <v>15</v>
      </c>
      <c r="EC46" s="60">
        <v>18</v>
      </c>
      <c r="ED46" s="57">
        <v>14</v>
      </c>
      <c r="EE46" s="60">
        <v>5</v>
      </c>
      <c r="EF46" s="60">
        <v>1520</v>
      </c>
      <c r="EG46" s="60">
        <v>1468</v>
      </c>
      <c r="EH46" s="60">
        <v>1478</v>
      </c>
      <c r="EI46" s="60">
        <v>1463</v>
      </c>
      <c r="EJ46" s="115">
        <v>310</v>
      </c>
      <c r="EK46" s="115">
        <v>1</v>
      </c>
      <c r="EL46" s="115">
        <v>1</v>
      </c>
      <c r="EM46" s="115">
        <v>0</v>
      </c>
      <c r="EN46" s="115">
        <v>1</v>
      </c>
      <c r="EO46" s="108">
        <v>920.16926271437831</v>
      </c>
      <c r="EP46" s="108">
        <v>851.88366101065435</v>
      </c>
      <c r="EQ46" s="108">
        <v>814.89976402090736</v>
      </c>
      <c r="ER46" s="108">
        <v>793.35383147060577</v>
      </c>
      <c r="ES46" s="108">
        <v>777.81091911297699</v>
      </c>
      <c r="ET46" s="108">
        <v>714.78643491046012</v>
      </c>
      <c r="EU46" s="108">
        <v>672.46278316452117</v>
      </c>
      <c r="EV46" s="108">
        <v>621.66986696043432</v>
      </c>
      <c r="EW46" s="108">
        <v>1040.5312589531968</v>
      </c>
      <c r="EX46" s="108">
        <v>856.9597315566059</v>
      </c>
      <c r="EY46" s="108">
        <v>855.99693199369494</v>
      </c>
      <c r="EZ46" s="108">
        <v>764.20747930510163</v>
      </c>
      <c r="FA46" s="108">
        <v>593.20602879457863</v>
      </c>
      <c r="FB46" s="108">
        <v>601.63198445886985</v>
      </c>
      <c r="FC46" s="108">
        <v>532.56836538128493</v>
      </c>
      <c r="FD46" s="108">
        <v>514.7871372124664</v>
      </c>
      <c r="FE46" s="57">
        <v>313</v>
      </c>
      <c r="FF46" s="62">
        <v>293</v>
      </c>
      <c r="FG46" s="62">
        <v>324</v>
      </c>
      <c r="FH46" s="62">
        <v>362</v>
      </c>
      <c r="FI46" s="108">
        <v>168.92142597821049</v>
      </c>
      <c r="FJ46" s="108">
        <v>152.08650944438068</v>
      </c>
      <c r="FK46" s="108">
        <v>158.96934022067637</v>
      </c>
      <c r="FL46" s="108">
        <v>164.31379399373967</v>
      </c>
      <c r="FM46" s="62">
        <v>462</v>
      </c>
      <c r="FN46" s="62">
        <v>406</v>
      </c>
      <c r="FO46" s="57">
        <v>355</v>
      </c>
      <c r="FP46" s="62">
        <v>324</v>
      </c>
      <c r="FQ46" s="108">
        <v>231.81524104119489</v>
      </c>
      <c r="FR46" s="108">
        <v>193.30445190199544</v>
      </c>
      <c r="FS46" s="108">
        <v>153.99216221804039</v>
      </c>
      <c r="FT46" s="108">
        <v>130.07059463661389</v>
      </c>
      <c r="FU46" s="60">
        <v>173</v>
      </c>
      <c r="FV46" s="60">
        <v>168</v>
      </c>
      <c r="FW46" s="60">
        <v>115</v>
      </c>
      <c r="FX46" s="60">
        <v>95</v>
      </c>
      <c r="FY46" s="108">
        <v>82.955375610282999</v>
      </c>
      <c r="FZ46" s="108">
        <v>76.365024095929172</v>
      </c>
      <c r="GA46" s="108">
        <v>49.766105584553436</v>
      </c>
      <c r="GB46" s="108">
        <v>38.213899948340966</v>
      </c>
      <c r="GC46" s="63">
        <v>70</v>
      </c>
      <c r="GD46" s="64">
        <v>69</v>
      </c>
      <c r="GE46" s="63">
        <v>82</v>
      </c>
      <c r="GF46" s="63">
        <v>84</v>
      </c>
      <c r="GG46" s="112">
        <v>40.37430356440305</v>
      </c>
      <c r="GH46" s="112">
        <v>36.541829022709571</v>
      </c>
      <c r="GI46" s="112">
        <v>39.76651075964034</v>
      </c>
      <c r="GJ46" s="112">
        <v>37.64346447687673</v>
      </c>
      <c r="GK46" s="63"/>
      <c r="GL46" s="63"/>
      <c r="GM46" s="63"/>
      <c r="GN46" s="64"/>
      <c r="GO46" s="63"/>
      <c r="GP46" s="63"/>
      <c r="GQ46" s="63"/>
      <c r="GR46" s="63"/>
      <c r="GS46" s="64"/>
      <c r="GT46" s="63"/>
      <c r="GU46" s="63"/>
      <c r="GV46" s="63"/>
      <c r="GW46" s="63"/>
      <c r="GX46" s="64"/>
      <c r="GY46" s="64"/>
      <c r="GZ46" s="64"/>
      <c r="HA46" s="64"/>
      <c r="HB46" s="64"/>
      <c r="HC46" s="64"/>
      <c r="HD46" s="65"/>
      <c r="HE46" s="65"/>
      <c r="HF46" s="65"/>
      <c r="HG46" s="65"/>
      <c r="HH46" s="65"/>
      <c r="HI46" s="66"/>
      <c r="HJ46" s="66"/>
      <c r="HK46" s="63"/>
      <c r="HL46" s="64"/>
      <c r="HM46" s="64"/>
      <c r="HN46" s="64"/>
      <c r="HO46" s="64"/>
      <c r="HP46" s="64"/>
      <c r="HQ46" s="64"/>
      <c r="HR46" s="64"/>
      <c r="HS46" s="64"/>
      <c r="HT46" s="64"/>
      <c r="HU46" s="39"/>
    </row>
    <row r="47" spans="1:229" x14ac:dyDescent="0.2">
      <c r="A47" s="37">
        <v>44</v>
      </c>
      <c r="B47" s="86" t="s">
        <v>102</v>
      </c>
      <c r="C47" s="93">
        <v>5129</v>
      </c>
      <c r="D47" s="93">
        <v>5128</v>
      </c>
      <c r="E47" s="93">
        <v>5025</v>
      </c>
      <c r="F47" s="93">
        <v>5413</v>
      </c>
      <c r="G47" s="93">
        <v>5456</v>
      </c>
      <c r="H47" s="43">
        <v>2762</v>
      </c>
      <c r="I47" s="43">
        <v>20</v>
      </c>
      <c r="J47" s="43">
        <v>2181</v>
      </c>
      <c r="K47" s="43">
        <v>10</v>
      </c>
      <c r="L47" s="43">
        <v>131</v>
      </c>
      <c r="M47" s="44">
        <v>2002</v>
      </c>
      <c r="N47" s="44">
        <v>2014</v>
      </c>
      <c r="O47" s="45">
        <v>1997</v>
      </c>
      <c r="P47" s="45">
        <v>2019</v>
      </c>
      <c r="Q47" s="46">
        <v>2031</v>
      </c>
      <c r="R47" s="105">
        <v>28.345959595959595</v>
      </c>
      <c r="S47" s="105">
        <v>30.151415404871624</v>
      </c>
      <c r="T47" s="105">
        <v>29.70940170940171</v>
      </c>
      <c r="U47" s="105">
        <v>26.743822333437599</v>
      </c>
      <c r="V47" s="105">
        <v>26.166770379589298</v>
      </c>
      <c r="W47" s="105">
        <v>33.554292929292927</v>
      </c>
      <c r="X47" s="105">
        <v>38.643844634628046</v>
      </c>
      <c r="Y47" s="105">
        <v>42.085470085470085</v>
      </c>
      <c r="Z47" s="105">
        <v>42.571160462934003</v>
      </c>
      <c r="AA47" s="105">
        <v>43.590541381456127</v>
      </c>
      <c r="AB47" s="105">
        <v>61.900252525252526</v>
      </c>
      <c r="AC47" s="105">
        <v>68.795260039499667</v>
      </c>
      <c r="AD47" s="105">
        <v>71.794871794871796</v>
      </c>
      <c r="AE47" s="105">
        <v>69.314982796371595</v>
      </c>
      <c r="AF47" s="105">
        <v>69.757311761045429</v>
      </c>
      <c r="AG47" s="46">
        <v>6.8611339359079704</v>
      </c>
      <c r="AH47" s="46">
        <v>7.1428571428571432</v>
      </c>
      <c r="AI47" s="46">
        <v>8.0605564648117838</v>
      </c>
      <c r="AJ47" s="46">
        <v>8.0870917573872472</v>
      </c>
      <c r="AK47" s="45">
        <v>7.5604053000779423</v>
      </c>
      <c r="AL47" s="49">
        <v>406.91666666666669</v>
      </c>
      <c r="AM47" s="49">
        <v>444.66666666666669</v>
      </c>
      <c r="AN47" s="49">
        <v>496.66666666666669</v>
      </c>
      <c r="AO47" s="49">
        <v>444.66666666666669</v>
      </c>
      <c r="AP47" s="49">
        <v>656.41666666666663</v>
      </c>
      <c r="AQ47" s="49">
        <v>28349.714223659619</v>
      </c>
      <c r="AR47" s="49">
        <v>29379.045375924143</v>
      </c>
      <c r="AS47" s="49">
        <v>28643.215269779328</v>
      </c>
      <c r="AT47" s="49">
        <v>30177.037316084548</v>
      </c>
      <c r="AU47" s="49">
        <v>30580.278592375365</v>
      </c>
      <c r="AV47" s="101">
        <v>38083.256918521089</v>
      </c>
      <c r="AW47" s="101">
        <v>36036.752516221328</v>
      </c>
      <c r="AX47" s="102">
        <v>35474.468860849171</v>
      </c>
      <c r="AY47" s="102">
        <v>37113.655859045386</v>
      </c>
      <c r="AZ47" s="102">
        <v>37593</v>
      </c>
      <c r="BA47" s="99">
        <v>18.950495049504951</v>
      </c>
      <c r="BB47" s="99">
        <v>21.795125817317217</v>
      </c>
      <c r="BC47" s="99">
        <v>19.655870445344128</v>
      </c>
      <c r="BD47" s="99">
        <v>22.099343955014056</v>
      </c>
      <c r="BE47" s="99">
        <v>24.273472429210134</v>
      </c>
      <c r="BF47" s="99">
        <v>31.230529595015575</v>
      </c>
      <c r="BG47" s="99">
        <v>36.441893830703016</v>
      </c>
      <c r="BH47" s="48">
        <v>34.9929873772791</v>
      </c>
      <c r="BI47" s="48">
        <v>33.933161953727506</v>
      </c>
      <c r="BJ47" s="48">
        <v>37.350157728706627</v>
      </c>
      <c r="BK47" s="44">
        <v>1314</v>
      </c>
      <c r="BL47" s="44">
        <v>1343</v>
      </c>
      <c r="BM47" s="44">
        <v>1355</v>
      </c>
      <c r="BN47" s="42">
        <v>1310</v>
      </c>
      <c r="BO47" s="45">
        <v>66.742770167427707</v>
      </c>
      <c r="BP47" s="45">
        <v>70.364854802680568</v>
      </c>
      <c r="BQ47" s="45">
        <v>73.284132841328415</v>
      </c>
      <c r="BR47" s="46">
        <v>68.549618320610691</v>
      </c>
      <c r="BS47" s="105">
        <v>0</v>
      </c>
      <c r="BT47" s="105">
        <v>0</v>
      </c>
      <c r="BU47" s="105">
        <v>0</v>
      </c>
      <c r="BV47" s="105">
        <v>0</v>
      </c>
      <c r="BW47" s="45">
        <v>18.493150684931507</v>
      </c>
      <c r="BX47" s="45">
        <v>18.838421444527178</v>
      </c>
      <c r="BY47" s="45">
        <v>17.933579335793358</v>
      </c>
      <c r="BZ47" s="45">
        <v>18.015267175572518</v>
      </c>
      <c r="CA47" s="44">
        <v>62.4</v>
      </c>
      <c r="CB47" s="44">
        <v>69.387755102040813</v>
      </c>
      <c r="CC47" s="44">
        <v>61.467889908256879</v>
      </c>
      <c r="CD47" s="44">
        <v>50.56</v>
      </c>
      <c r="CE47" s="45">
        <v>12.8</v>
      </c>
      <c r="CF47" s="45">
        <v>16.326530612244898</v>
      </c>
      <c r="CG47" s="45">
        <v>13.761467889908257</v>
      </c>
      <c r="CH47" s="45">
        <v>16.850000000000001</v>
      </c>
      <c r="CI47" s="48">
        <v>398</v>
      </c>
      <c r="CJ47" s="51">
        <v>369</v>
      </c>
      <c r="CK47" s="51">
        <v>431</v>
      </c>
      <c r="CL47" s="57">
        <v>518</v>
      </c>
      <c r="CM47" s="108">
        <v>15.519594462858256</v>
      </c>
      <c r="CN47" s="108">
        <v>14.388769740690194</v>
      </c>
      <c r="CO47" s="108">
        <v>16.882760781855929</v>
      </c>
      <c r="CP47" s="108">
        <v>19.808037933539826</v>
      </c>
      <c r="CQ47" s="60">
        <v>16</v>
      </c>
      <c r="CR47" s="60">
        <v>7</v>
      </c>
      <c r="CS47" s="60">
        <v>16</v>
      </c>
      <c r="CT47" s="60">
        <v>21</v>
      </c>
      <c r="CU47" s="108">
        <v>4.1775456919060057</v>
      </c>
      <c r="CV47" s="108">
        <v>1.9553072625698324</v>
      </c>
      <c r="CW47" s="108">
        <v>3.883495145631068</v>
      </c>
      <c r="CX47" s="108">
        <v>4.3032786885245899</v>
      </c>
      <c r="CY47" s="61">
        <v>34</v>
      </c>
      <c r="CZ47" s="57">
        <v>19</v>
      </c>
      <c r="DA47" s="60">
        <v>33</v>
      </c>
      <c r="DB47" s="60">
        <v>49</v>
      </c>
      <c r="DC47" s="108">
        <v>9.3663911845730023</v>
      </c>
      <c r="DD47" s="108">
        <v>5.9006211180124222</v>
      </c>
      <c r="DE47" s="108">
        <v>9.295774647887324</v>
      </c>
      <c r="DF47" s="108">
        <v>12.098765432098766</v>
      </c>
      <c r="DG47" s="108">
        <v>77.468354430379748</v>
      </c>
      <c r="DH47" s="108">
        <v>75.62326869806094</v>
      </c>
      <c r="DI47" s="108">
        <v>70.142180094786724</v>
      </c>
      <c r="DJ47" s="108">
        <v>65.884861407249474</v>
      </c>
      <c r="DK47" s="108">
        <v>32.904884318766065</v>
      </c>
      <c r="DL47" s="108">
        <v>39.606741573033709</v>
      </c>
      <c r="DM47" s="108">
        <v>39.277108433734938</v>
      </c>
      <c r="DN47" s="108">
        <v>46.626984126984127</v>
      </c>
      <c r="DO47" s="108">
        <v>47.48743718592965</v>
      </c>
      <c r="DP47" s="108">
        <v>59.620596205962059</v>
      </c>
      <c r="DQ47" s="108">
        <v>67.517401392111367</v>
      </c>
      <c r="DR47" s="108">
        <v>75.868725868725875</v>
      </c>
      <c r="DS47" s="108">
        <v>60.428849902534111</v>
      </c>
      <c r="DT47" s="108">
        <v>65.862708719851582</v>
      </c>
      <c r="DU47" s="108">
        <v>87.356321839080465</v>
      </c>
      <c r="DV47" s="108">
        <v>106.98689956331877</v>
      </c>
      <c r="DW47" s="62">
        <v>35</v>
      </c>
      <c r="DX47" s="62">
        <v>114</v>
      </c>
      <c r="DY47" s="57">
        <v>75</v>
      </c>
      <c r="DZ47" s="60">
        <v>1</v>
      </c>
      <c r="EA47" s="60">
        <v>1</v>
      </c>
      <c r="EB47" s="60">
        <v>7</v>
      </c>
      <c r="EC47" s="60">
        <v>4</v>
      </c>
      <c r="ED47" s="57">
        <v>3</v>
      </c>
      <c r="EE47" s="60">
        <v>6</v>
      </c>
      <c r="EF47" s="60">
        <v>304</v>
      </c>
      <c r="EG47" s="60">
        <v>275</v>
      </c>
      <c r="EH47" s="60">
        <v>264</v>
      </c>
      <c r="EI47" s="60">
        <v>298</v>
      </c>
      <c r="EJ47" s="115">
        <v>36</v>
      </c>
      <c r="EK47" s="115">
        <v>0</v>
      </c>
      <c r="EL47" s="115">
        <v>17</v>
      </c>
      <c r="EM47" s="115">
        <v>0</v>
      </c>
      <c r="EN47" s="115">
        <v>0</v>
      </c>
      <c r="EO47" s="108">
        <v>1185.4162604796256</v>
      </c>
      <c r="EP47" s="108">
        <v>1072.3337882628193</v>
      </c>
      <c r="EQ47" s="108">
        <v>1034.1180618120568</v>
      </c>
      <c r="ER47" s="108">
        <v>1139.5357730105923</v>
      </c>
      <c r="ES47" s="108">
        <v>946.12404814883757</v>
      </c>
      <c r="ET47" s="108">
        <v>831.82318306259685</v>
      </c>
      <c r="EU47" s="108">
        <v>746.40522896577522</v>
      </c>
      <c r="EV47" s="108">
        <v>885.59373485862534</v>
      </c>
      <c r="EW47" s="108">
        <v>1226.9788221129356</v>
      </c>
      <c r="EX47" s="108">
        <v>1077.9610928332881</v>
      </c>
      <c r="EY47" s="108">
        <v>999.1722194196218</v>
      </c>
      <c r="EZ47" s="108">
        <v>1170.5879926525056</v>
      </c>
      <c r="FA47" s="108">
        <v>704.91735168236301</v>
      </c>
      <c r="FB47" s="108">
        <v>637.7694989794237</v>
      </c>
      <c r="FC47" s="108">
        <v>555.0823959905922</v>
      </c>
      <c r="FD47" s="108">
        <v>630.85171136273414</v>
      </c>
      <c r="FE47" s="57">
        <v>70</v>
      </c>
      <c r="FF47" s="62">
        <v>74</v>
      </c>
      <c r="FG47" s="62">
        <v>60</v>
      </c>
      <c r="FH47" s="62">
        <v>73</v>
      </c>
      <c r="FI47" s="108">
        <v>207.42728720355501</v>
      </c>
      <c r="FJ47" s="108">
        <v>228.08438354410805</v>
      </c>
      <c r="FK47" s="108">
        <v>172.92436458223727</v>
      </c>
      <c r="FL47" s="108">
        <v>214.90105171232187</v>
      </c>
      <c r="FM47" s="62">
        <v>93</v>
      </c>
      <c r="FN47" s="62">
        <v>81</v>
      </c>
      <c r="FO47" s="57">
        <v>68</v>
      </c>
      <c r="FP47" s="62">
        <v>57</v>
      </c>
      <c r="FQ47" s="108">
        <v>266.35764033908509</v>
      </c>
      <c r="FR47" s="108">
        <v>228.32201540693407</v>
      </c>
      <c r="FS47" s="108">
        <v>172.5295100640887</v>
      </c>
      <c r="FT47" s="108">
        <v>157.95841690769473</v>
      </c>
      <c r="FU47" s="60">
        <v>14</v>
      </c>
      <c r="FV47" s="60">
        <v>8</v>
      </c>
      <c r="FW47" s="60">
        <v>13</v>
      </c>
      <c r="FX47" s="60">
        <v>12</v>
      </c>
      <c r="FY47" s="108" t="s">
        <v>39</v>
      </c>
      <c r="FZ47" s="108" t="s">
        <v>39</v>
      </c>
      <c r="GA47" s="108" t="s">
        <v>39</v>
      </c>
      <c r="GB47" s="108" t="s">
        <v>39</v>
      </c>
      <c r="GC47" s="63">
        <v>31</v>
      </c>
      <c r="GD47" s="64">
        <v>13</v>
      </c>
      <c r="GE47" s="63">
        <v>15</v>
      </c>
      <c r="GF47" s="63">
        <v>17</v>
      </c>
      <c r="GG47" s="112">
        <v>123.4772605653435</v>
      </c>
      <c r="GH47" s="112" t="s">
        <v>39</v>
      </c>
      <c r="GI47" s="112" t="s">
        <v>39</v>
      </c>
      <c r="GJ47" s="112" t="s">
        <v>39</v>
      </c>
      <c r="GK47" s="63"/>
      <c r="GL47" s="63"/>
      <c r="GM47" s="63"/>
      <c r="GN47" s="64"/>
      <c r="GO47" s="63"/>
      <c r="GP47" s="63"/>
      <c r="GQ47" s="63"/>
      <c r="GR47" s="63"/>
      <c r="GS47" s="64"/>
      <c r="GT47" s="63"/>
      <c r="GU47" s="63"/>
      <c r="GV47" s="63"/>
      <c r="GW47" s="63"/>
      <c r="GX47" s="64"/>
      <c r="GY47" s="64"/>
      <c r="GZ47" s="64"/>
      <c r="HA47" s="64"/>
      <c r="HB47" s="64"/>
      <c r="HC47" s="64"/>
      <c r="HD47" s="65"/>
      <c r="HE47" s="65"/>
      <c r="HF47" s="65"/>
      <c r="HG47" s="65"/>
      <c r="HH47" s="65"/>
      <c r="HI47" s="66"/>
      <c r="HJ47" s="66"/>
      <c r="HK47" s="63"/>
      <c r="HL47" s="64"/>
      <c r="HM47" s="64"/>
      <c r="HN47" s="64"/>
      <c r="HO47" s="64"/>
      <c r="HP47" s="64"/>
      <c r="HQ47" s="64"/>
      <c r="HR47" s="64"/>
      <c r="HS47" s="64"/>
      <c r="HT47" s="64"/>
      <c r="HU47" s="39"/>
    </row>
    <row r="48" spans="1:229" x14ac:dyDescent="0.2">
      <c r="A48" s="37">
        <v>45</v>
      </c>
      <c r="B48" s="86" t="s">
        <v>103</v>
      </c>
      <c r="C48" s="93">
        <v>9618</v>
      </c>
      <c r="D48" s="93">
        <v>9502</v>
      </c>
      <c r="E48" s="93">
        <v>9184</v>
      </c>
      <c r="F48" s="93">
        <v>9439</v>
      </c>
      <c r="G48" s="93">
        <v>9481</v>
      </c>
      <c r="H48" s="43">
        <v>9274</v>
      </c>
      <c r="I48" s="43">
        <v>34</v>
      </c>
      <c r="J48" s="43">
        <v>65</v>
      </c>
      <c r="K48" s="43">
        <v>32</v>
      </c>
      <c r="L48" s="43">
        <v>338</v>
      </c>
      <c r="M48" s="44">
        <v>4153</v>
      </c>
      <c r="N48" s="44">
        <v>4135</v>
      </c>
      <c r="O48" s="45">
        <v>4078</v>
      </c>
      <c r="P48" s="45">
        <v>3981</v>
      </c>
      <c r="Q48" s="46">
        <v>4000</v>
      </c>
      <c r="R48" s="105">
        <v>31.780640898579453</v>
      </c>
      <c r="S48" s="105">
        <v>32.825067024128685</v>
      </c>
      <c r="T48" s="105">
        <v>30.033118354540701</v>
      </c>
      <c r="U48" s="105">
        <v>31.234950120399038</v>
      </c>
      <c r="V48" s="105">
        <v>31.087289433384381</v>
      </c>
      <c r="W48" s="105">
        <v>27.089527585067724</v>
      </c>
      <c r="X48" s="105">
        <v>26.390750670241285</v>
      </c>
      <c r="Y48" s="105">
        <v>30.05054906745686</v>
      </c>
      <c r="Z48" s="105">
        <v>31.11455108359133</v>
      </c>
      <c r="AA48" s="105">
        <v>30.236515228858259</v>
      </c>
      <c r="AB48" s="105">
        <v>58.870168483647177</v>
      </c>
      <c r="AC48" s="105">
        <v>59.215817694369974</v>
      </c>
      <c r="AD48" s="105">
        <v>60.083667421997561</v>
      </c>
      <c r="AE48" s="105">
        <v>62.349501203990371</v>
      </c>
      <c r="AF48" s="105">
        <v>61.323804662242644</v>
      </c>
      <c r="AG48" s="46">
        <v>8.1049787726746434</v>
      </c>
      <c r="AH48" s="46">
        <v>7.7887025255446307</v>
      </c>
      <c r="AI48" s="46">
        <v>10.165704710482219</v>
      </c>
      <c r="AJ48" s="46">
        <v>9.1252020837075616</v>
      </c>
      <c r="AK48" s="45">
        <v>8.2261757970759195</v>
      </c>
      <c r="AL48" s="49">
        <v>152.75</v>
      </c>
      <c r="AM48" s="49">
        <v>158.16666666666666</v>
      </c>
      <c r="AN48" s="49">
        <v>188.91666666666666</v>
      </c>
      <c r="AO48" s="49">
        <v>158.16666666666666</v>
      </c>
      <c r="AP48" s="49">
        <v>272.58333333333331</v>
      </c>
      <c r="AQ48" s="49">
        <v>37308.447681388672</v>
      </c>
      <c r="AR48" s="49">
        <v>43543.039003657846</v>
      </c>
      <c r="AS48" s="49">
        <v>37150.558053172113</v>
      </c>
      <c r="AT48" s="49">
        <v>40356.601385290509</v>
      </c>
      <c r="AU48" s="49">
        <v>41968.041345849597</v>
      </c>
      <c r="AV48" s="101">
        <v>48976.430993238224</v>
      </c>
      <c r="AW48" s="101">
        <v>47828.90818985337</v>
      </c>
      <c r="AX48" s="102">
        <v>48484.080778606949</v>
      </c>
      <c r="AY48" s="102">
        <v>49003.477345269108</v>
      </c>
      <c r="AZ48" s="102">
        <v>47760</v>
      </c>
      <c r="BA48" s="99">
        <v>10.316122233930454</v>
      </c>
      <c r="BB48" s="99">
        <v>9.7909556313993171</v>
      </c>
      <c r="BC48" s="99">
        <v>9.6873964431680104</v>
      </c>
      <c r="BD48" s="99">
        <v>8.2288653166184513</v>
      </c>
      <c r="BE48" s="99">
        <v>10.134128166915053</v>
      </c>
      <c r="BF48" s="99">
        <v>14.313821938022627</v>
      </c>
      <c r="BG48" s="99">
        <v>12.44192049561177</v>
      </c>
      <c r="BH48" s="48">
        <v>11.832611832611832</v>
      </c>
      <c r="BI48" s="48">
        <v>12.925482980680773</v>
      </c>
      <c r="BJ48" s="48">
        <v>12.867132867132867</v>
      </c>
      <c r="BK48" s="44">
        <v>1410</v>
      </c>
      <c r="BL48" s="44">
        <v>1366</v>
      </c>
      <c r="BM48" s="44">
        <v>1370</v>
      </c>
      <c r="BN48" s="42">
        <v>1357</v>
      </c>
      <c r="BO48" s="45">
        <v>44.042553191489361</v>
      </c>
      <c r="BP48" s="45">
        <v>43.411420204978036</v>
      </c>
      <c r="BQ48" s="45">
        <v>46.423357664233578</v>
      </c>
      <c r="BR48" s="46">
        <v>45.394252026529109</v>
      </c>
      <c r="BS48" s="105">
        <v>3.6170212765957448</v>
      </c>
      <c r="BT48" s="105">
        <v>3.0746705710102491</v>
      </c>
      <c r="BU48" s="105">
        <v>2.7737226277372264</v>
      </c>
      <c r="BV48" s="105">
        <v>1.7686072218128224</v>
      </c>
      <c r="BW48" s="45">
        <v>15.460992907801419</v>
      </c>
      <c r="BX48" s="45">
        <v>14.86090775988287</v>
      </c>
      <c r="BY48" s="45">
        <v>14.671532846715328</v>
      </c>
      <c r="BZ48" s="45">
        <v>14.664701547531319</v>
      </c>
      <c r="CA48" s="44">
        <v>86.821705426356587</v>
      </c>
      <c r="CB48" s="44">
        <v>86.538461538461533</v>
      </c>
      <c r="CC48" s="44">
        <v>87.179487179487182</v>
      </c>
      <c r="CD48" s="44">
        <v>91.82</v>
      </c>
      <c r="CE48" s="45">
        <v>7.7519379844961236</v>
      </c>
      <c r="CF48" s="45">
        <v>3.8461538461538463</v>
      </c>
      <c r="CG48" s="45">
        <v>6.8376068376068373</v>
      </c>
      <c r="CH48" s="45">
        <v>1.82</v>
      </c>
      <c r="CI48" s="48">
        <v>588</v>
      </c>
      <c r="CJ48" s="51">
        <v>528</v>
      </c>
      <c r="CK48" s="51">
        <v>530</v>
      </c>
      <c r="CL48" s="57">
        <v>536</v>
      </c>
      <c r="CM48" s="108">
        <v>11.061780419896154</v>
      </c>
      <c r="CN48" s="108">
        <v>10.342395988403981</v>
      </c>
      <c r="CO48" s="108">
        <v>10.634669021008488</v>
      </c>
      <c r="CP48" s="108">
        <v>11.350160935117737</v>
      </c>
      <c r="CQ48" s="60">
        <v>17</v>
      </c>
      <c r="CR48" s="60">
        <v>19</v>
      </c>
      <c r="CS48" s="60">
        <v>21</v>
      </c>
      <c r="CT48" s="60">
        <v>19</v>
      </c>
      <c r="CU48" s="108">
        <v>2.9513888888888888</v>
      </c>
      <c r="CV48" s="108">
        <v>3.7037037037037037</v>
      </c>
      <c r="CW48" s="108">
        <v>4.0776699029126213</v>
      </c>
      <c r="CX48" s="108">
        <v>3.7549407114624507</v>
      </c>
      <c r="CY48" s="61">
        <v>32</v>
      </c>
      <c r="CZ48" s="57">
        <v>43</v>
      </c>
      <c r="DA48" s="60">
        <v>51</v>
      </c>
      <c r="DB48" s="60">
        <v>35</v>
      </c>
      <c r="DC48" s="108">
        <v>5.7657657657657655</v>
      </c>
      <c r="DD48" s="108">
        <v>8.6519114688128766</v>
      </c>
      <c r="DE48" s="108">
        <v>10.450819672131148</v>
      </c>
      <c r="DF48" s="108">
        <v>8.1395348837209305</v>
      </c>
      <c r="DG48" s="108">
        <v>78.275862068965523</v>
      </c>
      <c r="DH48" s="108">
        <v>81.044487427466152</v>
      </c>
      <c r="DI48" s="108">
        <v>86.49706457925636</v>
      </c>
      <c r="DJ48" s="108">
        <v>86.117136659436014</v>
      </c>
      <c r="DK48" s="108">
        <v>11.921708185053381</v>
      </c>
      <c r="DL48" s="108">
        <v>15.869980879541108</v>
      </c>
      <c r="DM48" s="108">
        <v>12.098298676748582</v>
      </c>
      <c r="DN48" s="108">
        <v>15.789473684210526</v>
      </c>
      <c r="DO48" s="108">
        <v>16.666666666666668</v>
      </c>
      <c r="DP48" s="108">
        <v>22.727272727272727</v>
      </c>
      <c r="DQ48" s="108">
        <v>22.075471698113208</v>
      </c>
      <c r="DR48" s="108">
        <v>27.052238805970148</v>
      </c>
      <c r="DS48" s="108">
        <v>33.101975440469836</v>
      </c>
      <c r="DT48" s="108">
        <v>20.66532258064516</v>
      </c>
      <c r="DU48" s="108">
        <v>21.378941742383752</v>
      </c>
      <c r="DV48" s="108">
        <v>26.143790849673202</v>
      </c>
      <c r="DW48" s="62">
        <v>92</v>
      </c>
      <c r="DX48" s="62">
        <v>0</v>
      </c>
      <c r="DY48" s="57">
        <v>0</v>
      </c>
      <c r="DZ48" s="60">
        <v>2</v>
      </c>
      <c r="EA48" s="60">
        <v>6</v>
      </c>
      <c r="EB48" s="60">
        <v>2</v>
      </c>
      <c r="EC48" s="60">
        <v>4</v>
      </c>
      <c r="ED48" s="57">
        <v>4</v>
      </c>
      <c r="EE48" s="60">
        <v>4</v>
      </c>
      <c r="EF48" s="60">
        <v>589</v>
      </c>
      <c r="EG48" s="60">
        <v>520</v>
      </c>
      <c r="EH48" s="60">
        <v>439</v>
      </c>
      <c r="EI48" s="60">
        <v>426</v>
      </c>
      <c r="EJ48" s="115">
        <v>83</v>
      </c>
      <c r="EK48" s="115">
        <v>0</v>
      </c>
      <c r="EL48" s="115">
        <v>1</v>
      </c>
      <c r="EM48" s="115">
        <v>0</v>
      </c>
      <c r="EN48" s="115">
        <v>0</v>
      </c>
      <c r="EO48" s="108">
        <v>1108.0592971630672</v>
      </c>
      <c r="EP48" s="108">
        <v>1018.5693018882707</v>
      </c>
      <c r="EQ48" s="108">
        <v>880.87164155145774</v>
      </c>
      <c r="ER48" s="108">
        <v>902.08368626122308</v>
      </c>
      <c r="ES48" s="108">
        <v>808.63601708328724</v>
      </c>
      <c r="ET48" s="108">
        <v>725.74197738244379</v>
      </c>
      <c r="EU48" s="108">
        <v>573.33027242786738</v>
      </c>
      <c r="EV48" s="108">
        <v>564.88830865213038</v>
      </c>
      <c r="EW48" s="108">
        <v>993.10497489882596</v>
      </c>
      <c r="EX48" s="108">
        <v>865.38254221050443</v>
      </c>
      <c r="EY48" s="108">
        <v>762.75793790093985</v>
      </c>
      <c r="EZ48" s="108">
        <v>729.30732577905633</v>
      </c>
      <c r="FA48" s="108">
        <v>644.41109383088451</v>
      </c>
      <c r="FB48" s="108">
        <v>590.42111623592268</v>
      </c>
      <c r="FC48" s="108">
        <v>404.52994206660082</v>
      </c>
      <c r="FD48" s="108">
        <v>427.29284155657689</v>
      </c>
      <c r="FE48" s="57">
        <v>140</v>
      </c>
      <c r="FF48" s="62">
        <v>119</v>
      </c>
      <c r="FG48" s="62">
        <v>96</v>
      </c>
      <c r="FH48" s="62">
        <v>120</v>
      </c>
      <c r="FI48" s="108">
        <v>191.46464157674313</v>
      </c>
      <c r="FJ48" s="108">
        <v>169.33972501578256</v>
      </c>
      <c r="FK48" s="108">
        <v>129.06376237104425</v>
      </c>
      <c r="FL48" s="108">
        <v>163.20949524243312</v>
      </c>
      <c r="FM48" s="62">
        <v>190</v>
      </c>
      <c r="FN48" s="62">
        <v>157</v>
      </c>
      <c r="FO48" s="57">
        <v>135</v>
      </c>
      <c r="FP48" s="62">
        <v>91</v>
      </c>
      <c r="FQ48" s="108">
        <v>254.86581510795133</v>
      </c>
      <c r="FR48" s="108">
        <v>210.13186049763056</v>
      </c>
      <c r="FS48" s="108">
        <v>169.96057573005274</v>
      </c>
      <c r="FT48" s="108">
        <v>107.62018912344925</v>
      </c>
      <c r="FU48" s="60">
        <v>50</v>
      </c>
      <c r="FV48" s="60">
        <v>43</v>
      </c>
      <c r="FW48" s="60">
        <v>25</v>
      </c>
      <c r="FX48" s="60">
        <v>31</v>
      </c>
      <c r="FY48" s="108">
        <v>67.472001856856352</v>
      </c>
      <c r="FZ48" s="108">
        <v>56.740224085807483</v>
      </c>
      <c r="GA48" s="108">
        <v>29.257567425843007</v>
      </c>
      <c r="GB48" s="108">
        <v>36.551705397926185</v>
      </c>
      <c r="GC48" s="63">
        <v>39</v>
      </c>
      <c r="GD48" s="64">
        <v>36</v>
      </c>
      <c r="GE48" s="63">
        <v>16</v>
      </c>
      <c r="GF48" s="63">
        <v>16</v>
      </c>
      <c r="GG48" s="112">
        <v>66.075345371523852</v>
      </c>
      <c r="GH48" s="112">
        <v>63.771492209704775</v>
      </c>
      <c r="GI48" s="112" t="s">
        <v>39</v>
      </c>
      <c r="GJ48" s="112" t="s">
        <v>39</v>
      </c>
      <c r="GK48" s="63"/>
      <c r="GL48" s="63"/>
      <c r="GM48" s="63"/>
      <c r="GN48" s="64"/>
      <c r="GO48" s="63"/>
      <c r="GP48" s="63"/>
      <c r="GQ48" s="63"/>
      <c r="GR48" s="63"/>
      <c r="GS48" s="64"/>
      <c r="GT48" s="63"/>
      <c r="GU48" s="63"/>
      <c r="GV48" s="63"/>
      <c r="GW48" s="63"/>
      <c r="GX48" s="64"/>
      <c r="GY48" s="64"/>
      <c r="GZ48" s="64"/>
      <c r="HA48" s="64"/>
      <c r="HB48" s="64"/>
      <c r="HC48" s="64"/>
      <c r="HD48" s="65"/>
      <c r="HE48" s="65"/>
      <c r="HF48" s="65"/>
      <c r="HG48" s="65"/>
      <c r="HH48" s="65"/>
      <c r="HI48" s="66"/>
      <c r="HJ48" s="66"/>
      <c r="HK48" s="63"/>
      <c r="HL48" s="64"/>
      <c r="HM48" s="64"/>
      <c r="HN48" s="64"/>
      <c r="HO48" s="64"/>
      <c r="HP48" s="64"/>
      <c r="HQ48" s="64"/>
      <c r="HR48" s="64"/>
      <c r="HS48" s="64"/>
      <c r="HT48" s="64"/>
      <c r="HU48" s="39"/>
    </row>
    <row r="49" spans="1:229" x14ac:dyDescent="0.2">
      <c r="A49" s="37">
        <v>46</v>
      </c>
      <c r="B49" s="86" t="s">
        <v>104</v>
      </c>
      <c r="C49" s="93">
        <v>20462</v>
      </c>
      <c r="D49" s="93">
        <v>20435</v>
      </c>
      <c r="E49" s="93">
        <v>20245</v>
      </c>
      <c r="F49" s="93">
        <v>20840</v>
      </c>
      <c r="G49" s="93">
        <v>20689</v>
      </c>
      <c r="H49" s="43">
        <v>20242</v>
      </c>
      <c r="I49" s="43">
        <v>85</v>
      </c>
      <c r="J49" s="43">
        <v>75</v>
      </c>
      <c r="K49" s="43">
        <v>139</v>
      </c>
      <c r="L49" s="43">
        <v>766</v>
      </c>
      <c r="M49" s="44">
        <v>9004</v>
      </c>
      <c r="N49" s="44">
        <v>9042</v>
      </c>
      <c r="O49" s="45">
        <v>9013</v>
      </c>
      <c r="P49" s="45">
        <v>9035</v>
      </c>
      <c r="Q49" s="46">
        <v>9017</v>
      </c>
      <c r="R49" s="105">
        <v>34.173913043478258</v>
      </c>
      <c r="S49" s="105">
        <v>34.950762388818298</v>
      </c>
      <c r="T49" s="105">
        <v>35.044751830756709</v>
      </c>
      <c r="U49" s="105">
        <v>33.789918597370068</v>
      </c>
      <c r="V49" s="105">
        <v>34.136514457260233</v>
      </c>
      <c r="W49" s="105">
        <v>27.581027667984191</v>
      </c>
      <c r="X49" s="105">
        <v>27.334815756035578</v>
      </c>
      <c r="Y49" s="105">
        <v>29.6826688364524</v>
      </c>
      <c r="Z49" s="105">
        <v>29.328428303068254</v>
      </c>
      <c r="AA49" s="105">
        <v>29.309527571496286</v>
      </c>
      <c r="AB49" s="105">
        <v>61.754940711462453</v>
      </c>
      <c r="AC49" s="105">
        <v>62.285578144853872</v>
      </c>
      <c r="AD49" s="105">
        <v>64.727420667209117</v>
      </c>
      <c r="AE49" s="105">
        <v>63.118346900438318</v>
      </c>
      <c r="AF49" s="105">
        <v>63.446042028756516</v>
      </c>
      <c r="AG49" s="46">
        <v>4.4623846699787082</v>
      </c>
      <c r="AH49" s="46">
        <v>4.8452804021842768</v>
      </c>
      <c r="AI49" s="46">
        <v>7.7710483664590972</v>
      </c>
      <c r="AJ49" s="46">
        <v>7.1006929591924033</v>
      </c>
      <c r="AK49" s="45">
        <v>6.4190064794816415</v>
      </c>
      <c r="AL49" s="49">
        <v>536.25</v>
      </c>
      <c r="AM49" s="49">
        <v>529.33333333333337</v>
      </c>
      <c r="AN49" s="49">
        <v>657.66666666666663</v>
      </c>
      <c r="AO49" s="49">
        <v>529.33333333333337</v>
      </c>
      <c r="AP49" s="49">
        <v>937.83333333333337</v>
      </c>
      <c r="AQ49" s="49">
        <v>40552.334552020002</v>
      </c>
      <c r="AR49" s="49">
        <v>44536.188840993032</v>
      </c>
      <c r="AS49" s="49">
        <v>41897.977075919334</v>
      </c>
      <c r="AT49" s="49">
        <v>44830.900346129325</v>
      </c>
      <c r="AU49" s="49">
        <v>45532.456861133935</v>
      </c>
      <c r="AV49" s="101">
        <v>46646.131430197449</v>
      </c>
      <c r="AW49" s="101">
        <v>46074.763654013186</v>
      </c>
      <c r="AX49" s="102">
        <v>42347.293338678173</v>
      </c>
      <c r="AY49" s="102">
        <v>49422.292851377628</v>
      </c>
      <c r="AZ49" s="102">
        <v>44597</v>
      </c>
      <c r="BA49" s="99">
        <v>10.248090650426796</v>
      </c>
      <c r="BB49" s="99">
        <v>11.284357821089456</v>
      </c>
      <c r="BC49" s="99">
        <v>11.203110011612056</v>
      </c>
      <c r="BD49" s="99">
        <v>11.595190575865258</v>
      </c>
      <c r="BE49" s="99">
        <v>12.49632172633644</v>
      </c>
      <c r="BF49" s="99">
        <v>14.57806392274086</v>
      </c>
      <c r="BG49" s="99">
        <v>14.792899408284024</v>
      </c>
      <c r="BH49" s="48">
        <v>16.237402015677493</v>
      </c>
      <c r="BI49" s="48">
        <v>18.125824901011878</v>
      </c>
      <c r="BJ49" s="48">
        <v>18.724650743578188</v>
      </c>
      <c r="BK49" s="44">
        <v>3271</v>
      </c>
      <c r="BL49" s="44">
        <v>3156</v>
      </c>
      <c r="BM49" s="44">
        <v>3100</v>
      </c>
      <c r="BN49" s="42">
        <v>3133</v>
      </c>
      <c r="BO49" s="45">
        <v>38.122898196270256</v>
      </c>
      <c r="BP49" s="45">
        <v>40.49429657794677</v>
      </c>
      <c r="BQ49" s="45">
        <v>40</v>
      </c>
      <c r="BR49" s="46">
        <v>42.962017235876154</v>
      </c>
      <c r="BS49" s="105">
        <v>2.5068786303882606</v>
      </c>
      <c r="BT49" s="105">
        <v>2.249683143219265</v>
      </c>
      <c r="BU49" s="105">
        <v>2.2580645161290325</v>
      </c>
      <c r="BV49" s="105">
        <v>1.947015639961698</v>
      </c>
      <c r="BW49" s="45">
        <v>17.548150412717824</v>
      </c>
      <c r="BX49" s="45">
        <v>16.476552598225602</v>
      </c>
      <c r="BY49" s="45">
        <v>15.774193548387096</v>
      </c>
      <c r="BZ49" s="45">
        <v>15.512288541334184</v>
      </c>
      <c r="CA49" s="44">
        <v>78.205128205128204</v>
      </c>
      <c r="CB49" s="44">
        <v>81.703470031545734</v>
      </c>
      <c r="CC49" s="44">
        <v>83.962264150943398</v>
      </c>
      <c r="CD49" s="44">
        <v>81.599999999999994</v>
      </c>
      <c r="CE49" s="45">
        <v>6.7307692307692308</v>
      </c>
      <c r="CF49" s="45">
        <v>5.6782334384858046</v>
      </c>
      <c r="CG49" s="45">
        <v>2.8301886792452828</v>
      </c>
      <c r="CH49" s="45">
        <v>5.9</v>
      </c>
      <c r="CI49" s="48">
        <v>1256</v>
      </c>
      <c r="CJ49" s="51">
        <v>1180</v>
      </c>
      <c r="CK49" s="51">
        <v>1138</v>
      </c>
      <c r="CL49" s="57">
        <v>1156</v>
      </c>
      <c r="CM49" s="108">
        <v>11.111209405603375</v>
      </c>
      <c r="CN49" s="108">
        <v>10.800421033362317</v>
      </c>
      <c r="CO49" s="108">
        <v>10.810091952276009</v>
      </c>
      <c r="CP49" s="108">
        <v>11.259265031021418</v>
      </c>
      <c r="CQ49" s="60">
        <v>53</v>
      </c>
      <c r="CR49" s="60">
        <v>55</v>
      </c>
      <c r="CS49" s="60">
        <v>56</v>
      </c>
      <c r="CT49" s="60">
        <v>52</v>
      </c>
      <c r="CU49" s="108">
        <v>4.315960912052117</v>
      </c>
      <c r="CV49" s="108">
        <v>4.8203330411919367</v>
      </c>
      <c r="CW49" s="108">
        <v>5.161290322580645</v>
      </c>
      <c r="CX49" s="108">
        <v>4.6470062555853442</v>
      </c>
      <c r="CY49" s="61">
        <v>92</v>
      </c>
      <c r="CZ49" s="57">
        <v>92</v>
      </c>
      <c r="DA49" s="60">
        <v>88</v>
      </c>
      <c r="DB49" s="60">
        <v>81</v>
      </c>
      <c r="DC49" s="108">
        <v>8.1632653061224492</v>
      </c>
      <c r="DD49" s="108">
        <v>8.4636614535418584</v>
      </c>
      <c r="DE49" s="108">
        <v>9.932279909706546</v>
      </c>
      <c r="DF49" s="108">
        <v>8.70032223415682</v>
      </c>
      <c r="DG49" s="108">
        <v>84.065040650406502</v>
      </c>
      <c r="DH49" s="108">
        <v>83.90705679862306</v>
      </c>
      <c r="DI49" s="108">
        <v>88.810572687224663</v>
      </c>
      <c r="DJ49" s="108">
        <v>88.070175438596493</v>
      </c>
      <c r="DK49" s="108">
        <v>15.266558966074314</v>
      </c>
      <c r="DL49" s="108">
        <v>17.491467576791809</v>
      </c>
      <c r="DM49" s="108">
        <v>20.458553791887127</v>
      </c>
      <c r="DN49" s="108">
        <v>18.94005212858384</v>
      </c>
      <c r="DO49" s="108">
        <v>21.894904458598727</v>
      </c>
      <c r="DP49" s="108">
        <v>27.056827820186598</v>
      </c>
      <c r="DQ49" s="108">
        <v>36.939313984168862</v>
      </c>
      <c r="DR49" s="108">
        <v>41.4570685169124</v>
      </c>
      <c r="DS49" s="108">
        <v>32.992036405005692</v>
      </c>
      <c r="DT49" s="108">
        <v>32.637075718015666</v>
      </c>
      <c r="DU49" s="108">
        <v>32.85477636664826</v>
      </c>
      <c r="DV49" s="108">
        <v>35.998725708824466</v>
      </c>
      <c r="DW49" s="62">
        <v>198</v>
      </c>
      <c r="DX49" s="62">
        <v>1</v>
      </c>
      <c r="DY49" s="57">
        <v>0</v>
      </c>
      <c r="DZ49" s="60">
        <v>3</v>
      </c>
      <c r="EA49" s="60">
        <v>18</v>
      </c>
      <c r="EB49" s="60">
        <v>6</v>
      </c>
      <c r="EC49" s="60">
        <v>6</v>
      </c>
      <c r="ED49" s="57">
        <v>2</v>
      </c>
      <c r="EE49" s="60">
        <v>5</v>
      </c>
      <c r="EF49" s="60">
        <v>1263</v>
      </c>
      <c r="EG49" s="60">
        <v>1285</v>
      </c>
      <c r="EH49" s="60">
        <v>1195</v>
      </c>
      <c r="EI49" s="60">
        <v>1210</v>
      </c>
      <c r="EJ49" s="115">
        <v>244</v>
      </c>
      <c r="EK49" s="115">
        <v>0</v>
      </c>
      <c r="EL49" s="115">
        <v>0</v>
      </c>
      <c r="EM49" s="115">
        <v>0</v>
      </c>
      <c r="EN49" s="115">
        <v>1</v>
      </c>
      <c r="EO49" s="108">
        <v>1117.3134935730145</v>
      </c>
      <c r="EP49" s="108">
        <v>1176.1475447347948</v>
      </c>
      <c r="EQ49" s="108">
        <v>1135.1546470096512</v>
      </c>
      <c r="ER49" s="108">
        <v>1178.5216857730031</v>
      </c>
      <c r="ES49" s="108">
        <v>728.40577159384509</v>
      </c>
      <c r="ET49" s="108">
        <v>726.43254733961214</v>
      </c>
      <c r="EU49" s="108">
        <v>653.98559447007256</v>
      </c>
      <c r="EV49" s="108">
        <v>628.43960130198036</v>
      </c>
      <c r="EW49" s="108">
        <v>947.60326057503266</v>
      </c>
      <c r="EX49" s="108">
        <v>948.31530790816714</v>
      </c>
      <c r="EY49" s="108">
        <v>831.21610097608357</v>
      </c>
      <c r="EZ49" s="108">
        <v>784.6229329117798</v>
      </c>
      <c r="FA49" s="108">
        <v>580.91077434112458</v>
      </c>
      <c r="FB49" s="108">
        <v>581.95898345957949</v>
      </c>
      <c r="FC49" s="108">
        <v>527.93506842140562</v>
      </c>
      <c r="FD49" s="108">
        <v>502.6393840062342</v>
      </c>
      <c r="FE49" s="57">
        <v>291</v>
      </c>
      <c r="FF49" s="62">
        <v>310</v>
      </c>
      <c r="FG49" s="62">
        <v>296</v>
      </c>
      <c r="FH49" s="62">
        <v>281</v>
      </c>
      <c r="FI49" s="108">
        <v>178.48582465409177</v>
      </c>
      <c r="FJ49" s="108">
        <v>189.05985634222907</v>
      </c>
      <c r="FK49" s="108">
        <v>173.78992959902325</v>
      </c>
      <c r="FL49" s="108">
        <v>159.58397275356475</v>
      </c>
      <c r="FM49" s="62">
        <v>434</v>
      </c>
      <c r="FN49" s="62">
        <v>399</v>
      </c>
      <c r="FO49" s="57">
        <v>353</v>
      </c>
      <c r="FP49" s="62">
        <v>340</v>
      </c>
      <c r="FQ49" s="108">
        <v>238.64987952389973</v>
      </c>
      <c r="FR49" s="108">
        <v>210.646995277911</v>
      </c>
      <c r="FS49" s="108">
        <v>177.02080252776264</v>
      </c>
      <c r="FT49" s="108">
        <v>154.26812970321305</v>
      </c>
      <c r="FU49" s="60">
        <v>86</v>
      </c>
      <c r="FV49" s="60">
        <v>78</v>
      </c>
      <c r="FW49" s="60">
        <v>52</v>
      </c>
      <c r="FX49" s="60">
        <v>61</v>
      </c>
      <c r="FY49" s="108">
        <v>46.153227059877103</v>
      </c>
      <c r="FZ49" s="108">
        <v>39.340253589742659</v>
      </c>
      <c r="GA49" s="108">
        <v>23.195807193701285</v>
      </c>
      <c r="GB49" s="108">
        <v>27.131066377616374</v>
      </c>
      <c r="GC49" s="63">
        <v>40</v>
      </c>
      <c r="GD49" s="64">
        <v>50</v>
      </c>
      <c r="GE49" s="63">
        <v>41</v>
      </c>
      <c r="GF49" s="63">
        <v>53</v>
      </c>
      <c r="GG49" s="112">
        <v>31.46366806138386</v>
      </c>
      <c r="GH49" s="112">
        <v>38.138083020968502</v>
      </c>
      <c r="GI49" s="112">
        <v>32.105770314166406</v>
      </c>
      <c r="GJ49" s="112">
        <v>34.41432754829691</v>
      </c>
      <c r="GK49" s="63"/>
      <c r="GL49" s="63"/>
      <c r="GM49" s="63"/>
      <c r="GN49" s="64"/>
      <c r="GO49" s="63"/>
      <c r="GP49" s="63"/>
      <c r="GQ49" s="63"/>
      <c r="GR49" s="63"/>
      <c r="GS49" s="64"/>
      <c r="GT49" s="63"/>
      <c r="GU49" s="63"/>
      <c r="GV49" s="63"/>
      <c r="GW49" s="63"/>
      <c r="GX49" s="64"/>
      <c r="GY49" s="64"/>
      <c r="GZ49" s="64"/>
      <c r="HA49" s="64"/>
      <c r="HB49" s="64"/>
      <c r="HC49" s="64"/>
      <c r="HD49" s="65"/>
      <c r="HE49" s="65"/>
      <c r="HF49" s="65"/>
      <c r="HG49" s="65"/>
      <c r="HH49" s="65"/>
      <c r="HI49" s="66"/>
      <c r="HJ49" s="66"/>
      <c r="HK49" s="63"/>
      <c r="HL49" s="64"/>
      <c r="HM49" s="64"/>
      <c r="HN49" s="64"/>
      <c r="HO49" s="64"/>
      <c r="HP49" s="64"/>
      <c r="HQ49" s="64"/>
      <c r="HR49" s="64"/>
      <c r="HS49" s="64"/>
      <c r="HT49" s="64"/>
      <c r="HU49" s="39"/>
    </row>
    <row r="50" spans="1:229" ht="21" customHeight="1" x14ac:dyDescent="0.2">
      <c r="A50" s="37">
        <v>47</v>
      </c>
      <c r="B50" s="86" t="s">
        <v>105</v>
      </c>
      <c r="C50" s="93">
        <v>23211</v>
      </c>
      <c r="D50" s="93">
        <v>23143</v>
      </c>
      <c r="E50" s="93">
        <v>23154</v>
      </c>
      <c r="F50" s="93">
        <v>23300</v>
      </c>
      <c r="G50" s="93">
        <v>23265</v>
      </c>
      <c r="H50" s="43">
        <v>22874</v>
      </c>
      <c r="I50" s="43">
        <v>100</v>
      </c>
      <c r="J50" s="43">
        <v>56</v>
      </c>
      <c r="K50" s="43">
        <v>87</v>
      </c>
      <c r="L50" s="43">
        <v>775</v>
      </c>
      <c r="M50" s="44">
        <v>9185</v>
      </c>
      <c r="N50" s="44">
        <v>9193</v>
      </c>
      <c r="O50" s="45">
        <v>9218</v>
      </c>
      <c r="P50" s="45">
        <v>9176</v>
      </c>
      <c r="Q50" s="46">
        <v>9181</v>
      </c>
      <c r="R50" s="105">
        <v>24.785061794734013</v>
      </c>
      <c r="S50" s="105">
        <v>24.974769561999597</v>
      </c>
      <c r="T50" s="105">
        <v>26.888029821897003</v>
      </c>
      <c r="U50" s="105">
        <v>26.34833390587427</v>
      </c>
      <c r="V50" s="105">
        <v>27.179239423010561</v>
      </c>
      <c r="W50" s="105">
        <v>31.11902203116604</v>
      </c>
      <c r="X50" s="105">
        <v>30.734037542891745</v>
      </c>
      <c r="Y50" s="105">
        <v>32.949054259284829</v>
      </c>
      <c r="Z50" s="105">
        <v>33.734111989007211</v>
      </c>
      <c r="AA50" s="105">
        <v>33.390848229691493</v>
      </c>
      <c r="AB50" s="105">
        <v>55.904083825900052</v>
      </c>
      <c r="AC50" s="105">
        <v>55.708807104891342</v>
      </c>
      <c r="AD50" s="105">
        <v>59.837084081181828</v>
      </c>
      <c r="AE50" s="105">
        <v>60.082445894881481</v>
      </c>
      <c r="AF50" s="105">
        <v>60.57008765270205</v>
      </c>
      <c r="AG50" s="46">
        <v>6.0161290322580649</v>
      </c>
      <c r="AH50" s="46">
        <v>6.544440015942607</v>
      </c>
      <c r="AI50" s="46">
        <v>9.914272106683601</v>
      </c>
      <c r="AJ50" s="46">
        <v>8.8559722659943265</v>
      </c>
      <c r="AK50" s="45">
        <v>8.0282696736282055</v>
      </c>
      <c r="AL50" s="49">
        <v>406.25</v>
      </c>
      <c r="AM50" s="49">
        <v>430.83333333333331</v>
      </c>
      <c r="AN50" s="49">
        <v>564.08333333333337</v>
      </c>
      <c r="AO50" s="49">
        <v>430.83333333333331</v>
      </c>
      <c r="AP50" s="49">
        <v>808.16666666666663</v>
      </c>
      <c r="AQ50" s="49">
        <v>34186.666170941549</v>
      </c>
      <c r="AR50" s="49">
        <v>35257.492377846458</v>
      </c>
      <c r="AS50" s="49">
        <v>33548.170643148362</v>
      </c>
      <c r="AT50" s="49">
        <v>34686.659234956831</v>
      </c>
      <c r="AU50" s="49">
        <v>35304.233827638083</v>
      </c>
      <c r="AV50" s="101">
        <v>53493.827352875924</v>
      </c>
      <c r="AW50" s="101">
        <v>53917.743422061008</v>
      </c>
      <c r="AX50" s="102">
        <v>54323.098248786919</v>
      </c>
      <c r="AY50" s="102">
        <v>51355.446197307116</v>
      </c>
      <c r="AZ50" s="102">
        <v>51299</v>
      </c>
      <c r="BA50" s="99">
        <v>9.3193440310350901</v>
      </c>
      <c r="BB50" s="99">
        <v>9.0571542235777756</v>
      </c>
      <c r="BC50" s="99">
        <v>9.2404279777168625</v>
      </c>
      <c r="BD50" s="99">
        <v>8.9312178537180724</v>
      </c>
      <c r="BE50" s="99">
        <v>9.2806006635236606</v>
      </c>
      <c r="BF50" s="99">
        <v>11.337052366384739</v>
      </c>
      <c r="BG50" s="99">
        <v>10.832570905763953</v>
      </c>
      <c r="BH50" s="48">
        <v>11.636873466526463</v>
      </c>
      <c r="BI50" s="48">
        <v>12.398968185726568</v>
      </c>
      <c r="BJ50" s="48">
        <v>12.849939141018954</v>
      </c>
      <c r="BK50" s="44">
        <v>5820</v>
      </c>
      <c r="BL50" s="44">
        <v>3519</v>
      </c>
      <c r="BM50" s="44">
        <v>3465</v>
      </c>
      <c r="BN50" s="42">
        <v>3416</v>
      </c>
      <c r="BO50" s="45">
        <v>34.106529209621996</v>
      </c>
      <c r="BP50" s="45">
        <v>40.09661835748792</v>
      </c>
      <c r="BQ50" s="45">
        <v>41.18326118326118</v>
      </c>
      <c r="BR50" s="46">
        <v>40.515222482435597</v>
      </c>
      <c r="BS50" s="105">
        <v>0.80756013745704469</v>
      </c>
      <c r="BT50" s="105">
        <v>1.1935208866155158</v>
      </c>
      <c r="BU50" s="105">
        <v>1.1255411255411256</v>
      </c>
      <c r="BV50" s="105">
        <v>0.96604215456674469</v>
      </c>
      <c r="BW50" s="45">
        <v>12.783505154639176</v>
      </c>
      <c r="BX50" s="45">
        <v>14.151747655583973</v>
      </c>
      <c r="BY50" s="45">
        <v>13.997113997113997</v>
      </c>
      <c r="BZ50" s="45">
        <v>13.846604215456674</v>
      </c>
      <c r="CA50" s="44">
        <v>91.699604743083</v>
      </c>
      <c r="CB50" s="44">
        <v>89.297658862876247</v>
      </c>
      <c r="CC50" s="44">
        <v>92.682926829268297</v>
      </c>
      <c r="CD50" s="44">
        <v>87.79</v>
      </c>
      <c r="CE50" s="45">
        <v>2.3715415019762847</v>
      </c>
      <c r="CF50" s="45">
        <v>1.0033444816053512</v>
      </c>
      <c r="CG50" s="45">
        <v>0.34843205574912894</v>
      </c>
      <c r="CH50" s="45">
        <v>3.05</v>
      </c>
      <c r="CI50" s="48">
        <v>1279</v>
      </c>
      <c r="CJ50" s="51">
        <v>1437</v>
      </c>
      <c r="CK50" s="51">
        <v>1539</v>
      </c>
      <c r="CL50" s="57">
        <v>1521</v>
      </c>
      <c r="CM50" s="108">
        <v>12.109334317986006</v>
      </c>
      <c r="CN50" s="108">
        <v>13.009940789831061</v>
      </c>
      <c r="CO50" s="108">
        <v>13.251704897706137</v>
      </c>
      <c r="CP50" s="108">
        <v>13.103822594401798</v>
      </c>
      <c r="CQ50" s="60">
        <v>45</v>
      </c>
      <c r="CR50" s="60">
        <v>68</v>
      </c>
      <c r="CS50" s="60">
        <v>61</v>
      </c>
      <c r="CT50" s="60">
        <v>71</v>
      </c>
      <c r="CU50" s="108">
        <v>3.5942492012779552</v>
      </c>
      <c r="CV50" s="108">
        <v>4.9026676279740444</v>
      </c>
      <c r="CW50" s="108">
        <v>4.0666666666666664</v>
      </c>
      <c r="CX50" s="108">
        <v>4.7459893048128343</v>
      </c>
      <c r="CY50" s="61">
        <v>77</v>
      </c>
      <c r="CZ50" s="57">
        <v>94</v>
      </c>
      <c r="DA50" s="60">
        <v>110</v>
      </c>
      <c r="DB50" s="60">
        <v>108</v>
      </c>
      <c r="DC50" s="108">
        <v>6.5587734241908011</v>
      </c>
      <c r="DD50" s="108">
        <v>7.186544342507645</v>
      </c>
      <c r="DE50" s="108">
        <v>7.8683834048640913</v>
      </c>
      <c r="DF50" s="108">
        <v>7.6271186440677967</v>
      </c>
      <c r="DG50" s="108">
        <v>83.092948717948715</v>
      </c>
      <c r="DH50" s="108">
        <v>83.0703012912482</v>
      </c>
      <c r="DI50" s="108">
        <v>81.72823218997361</v>
      </c>
      <c r="DJ50" s="108">
        <v>84.996695307336424</v>
      </c>
      <c r="DK50" s="108">
        <v>14.422310756972111</v>
      </c>
      <c r="DL50" s="108">
        <v>17.275280898876403</v>
      </c>
      <c r="DM50" s="108">
        <v>17.112998040496407</v>
      </c>
      <c r="DN50" s="108">
        <v>14.927344782034346</v>
      </c>
      <c r="DO50" s="108">
        <v>21.205007824726135</v>
      </c>
      <c r="DP50" s="108">
        <v>21.920668058455114</v>
      </c>
      <c r="DQ50" s="108">
        <v>25.146198830409357</v>
      </c>
      <c r="DR50" s="108">
        <v>24.078947368421051</v>
      </c>
      <c r="DS50" s="108">
        <v>31.803097345132745</v>
      </c>
      <c r="DT50" s="108">
        <v>32.449076267171954</v>
      </c>
      <c r="DU50" s="108">
        <v>31.20464441219158</v>
      </c>
      <c r="DV50" s="108">
        <v>26.383710926297677</v>
      </c>
      <c r="DW50" s="62">
        <v>284</v>
      </c>
      <c r="DX50" s="62">
        <v>4</v>
      </c>
      <c r="DY50" s="57">
        <v>0</v>
      </c>
      <c r="DZ50" s="60">
        <v>0</v>
      </c>
      <c r="EA50" s="60">
        <v>11</v>
      </c>
      <c r="EB50" s="60">
        <v>7</v>
      </c>
      <c r="EC50" s="60">
        <v>3</v>
      </c>
      <c r="ED50" s="57">
        <v>6</v>
      </c>
      <c r="EE50" s="60">
        <v>8</v>
      </c>
      <c r="EF50" s="60">
        <v>1087</v>
      </c>
      <c r="EG50" s="60">
        <v>1148</v>
      </c>
      <c r="EH50" s="60">
        <v>1147</v>
      </c>
      <c r="EI50" s="60">
        <v>1062</v>
      </c>
      <c r="EJ50" s="115">
        <v>209</v>
      </c>
      <c r="EK50" s="115">
        <v>0</v>
      </c>
      <c r="EL50" s="115">
        <v>0</v>
      </c>
      <c r="EM50" s="115">
        <v>0</v>
      </c>
      <c r="EN50" s="115">
        <v>2</v>
      </c>
      <c r="EO50" s="108">
        <v>1029.1513998163243</v>
      </c>
      <c r="EP50" s="108">
        <v>1039.3466963622866</v>
      </c>
      <c r="EQ50" s="108">
        <v>987.63518633326441</v>
      </c>
      <c r="ER50" s="108">
        <v>914.94145925409009</v>
      </c>
      <c r="ES50" s="108">
        <v>786.90022291709147</v>
      </c>
      <c r="ET50" s="108">
        <v>781.54751769460222</v>
      </c>
      <c r="EU50" s="108">
        <v>716.63561570710783</v>
      </c>
      <c r="EV50" s="108">
        <v>648.89596050735759</v>
      </c>
      <c r="EW50" s="108">
        <v>972.48597468817411</v>
      </c>
      <c r="EX50" s="108">
        <v>987.37178365657371</v>
      </c>
      <c r="EY50" s="108">
        <v>876.59961036210279</v>
      </c>
      <c r="EZ50" s="108">
        <v>761.90363450133464</v>
      </c>
      <c r="FA50" s="108">
        <v>642.11313075296198</v>
      </c>
      <c r="FB50" s="108">
        <v>625.09568935379241</v>
      </c>
      <c r="FC50" s="108">
        <v>580.92709337358065</v>
      </c>
      <c r="FD50" s="108">
        <v>544.88588841529781</v>
      </c>
      <c r="FE50" s="57">
        <v>247</v>
      </c>
      <c r="FF50" s="62">
        <v>258</v>
      </c>
      <c r="FG50" s="62">
        <v>255</v>
      </c>
      <c r="FH50" s="62">
        <v>247</v>
      </c>
      <c r="FI50" s="108">
        <v>182.87087323740209</v>
      </c>
      <c r="FJ50" s="108">
        <v>186.83278988414517</v>
      </c>
      <c r="FK50" s="108">
        <v>175.28990986546555</v>
      </c>
      <c r="FL50" s="108">
        <v>157.82095570235143</v>
      </c>
      <c r="FM50" s="62">
        <v>360</v>
      </c>
      <c r="FN50" s="62">
        <v>326</v>
      </c>
      <c r="FO50" s="57">
        <v>256</v>
      </c>
      <c r="FP50" s="62">
        <v>211</v>
      </c>
      <c r="FQ50" s="108">
        <v>254.43420290199899</v>
      </c>
      <c r="FR50" s="108">
        <v>212.65616029669337</v>
      </c>
      <c r="FS50" s="108">
        <v>152.15472736277371</v>
      </c>
      <c r="FT50" s="108">
        <v>121.28944545744444</v>
      </c>
      <c r="FU50" s="60">
        <v>105</v>
      </c>
      <c r="FV50" s="60">
        <v>106</v>
      </c>
      <c r="FW50" s="60">
        <v>102</v>
      </c>
      <c r="FX50" s="60">
        <v>58</v>
      </c>
      <c r="FY50" s="108">
        <v>71.356889928879568</v>
      </c>
      <c r="FZ50" s="108">
        <v>67.59740066127469</v>
      </c>
      <c r="GA50" s="108">
        <v>56.736448366112811</v>
      </c>
      <c r="GB50" s="108">
        <v>33.214833669955667</v>
      </c>
      <c r="GC50" s="63">
        <v>50</v>
      </c>
      <c r="GD50" s="64">
        <v>54</v>
      </c>
      <c r="GE50" s="63">
        <v>57</v>
      </c>
      <c r="GF50" s="63">
        <v>58</v>
      </c>
      <c r="GG50" s="112">
        <v>45.465308646655103</v>
      </c>
      <c r="GH50" s="112">
        <v>44.977333038595475</v>
      </c>
      <c r="GI50" s="112">
        <v>42.207664268303262</v>
      </c>
      <c r="GJ50" s="112">
        <v>40.917765567766494</v>
      </c>
      <c r="GK50" s="63"/>
      <c r="GL50" s="63"/>
      <c r="GM50" s="63"/>
      <c r="GN50" s="64"/>
      <c r="GO50" s="63"/>
      <c r="GP50" s="63"/>
      <c r="GQ50" s="63"/>
      <c r="GR50" s="63"/>
      <c r="GS50" s="64"/>
      <c r="GT50" s="63"/>
      <c r="GU50" s="63"/>
      <c r="GV50" s="63"/>
      <c r="GW50" s="63"/>
      <c r="GX50" s="64"/>
      <c r="GY50" s="64"/>
      <c r="GZ50" s="64"/>
      <c r="HA50" s="64"/>
      <c r="HB50" s="64"/>
      <c r="HC50" s="64"/>
      <c r="HD50" s="65"/>
      <c r="HE50" s="65"/>
      <c r="HF50" s="65"/>
      <c r="HG50" s="65"/>
      <c r="HH50" s="65"/>
      <c r="HI50" s="66"/>
      <c r="HJ50" s="66"/>
      <c r="HK50" s="63"/>
      <c r="HL50" s="64"/>
      <c r="HM50" s="64"/>
      <c r="HN50" s="64"/>
      <c r="HO50" s="64"/>
      <c r="HP50" s="64"/>
      <c r="HQ50" s="64"/>
      <c r="HR50" s="64"/>
      <c r="HS50" s="64"/>
      <c r="HT50" s="64"/>
      <c r="HU50" s="39"/>
    </row>
    <row r="51" spans="1:229" x14ac:dyDescent="0.2">
      <c r="A51" s="37">
        <v>48</v>
      </c>
      <c r="B51" s="86" t="s">
        <v>106</v>
      </c>
      <c r="C51" s="93">
        <v>26354</v>
      </c>
      <c r="D51" s="93">
        <v>26377</v>
      </c>
      <c r="E51" s="93">
        <v>26383</v>
      </c>
      <c r="F51" s="93">
        <v>26097</v>
      </c>
      <c r="G51" s="93">
        <v>25979</v>
      </c>
      <c r="H51" s="43">
        <v>23740</v>
      </c>
      <c r="I51" s="43">
        <v>114</v>
      </c>
      <c r="J51" s="43">
        <v>1547</v>
      </c>
      <c r="K51" s="43">
        <v>115</v>
      </c>
      <c r="L51" s="43">
        <v>403</v>
      </c>
      <c r="M51" s="44">
        <v>10405</v>
      </c>
      <c r="N51" s="44">
        <v>10500</v>
      </c>
      <c r="O51" s="45">
        <v>10521</v>
      </c>
      <c r="P51" s="45">
        <v>10166</v>
      </c>
      <c r="Q51" s="46">
        <v>10155</v>
      </c>
      <c r="R51" s="105">
        <v>24.366996082100464</v>
      </c>
      <c r="S51" s="105">
        <v>25.563421828908556</v>
      </c>
      <c r="T51" s="105">
        <v>26.286433969053615</v>
      </c>
      <c r="U51" s="105">
        <v>25.597955084900494</v>
      </c>
      <c r="V51" s="105">
        <v>26.050986640519671</v>
      </c>
      <c r="W51" s="105">
        <v>29.740950821589379</v>
      </c>
      <c r="X51" s="105">
        <v>30.053097345132745</v>
      </c>
      <c r="Y51" s="105">
        <v>31.941945543960657</v>
      </c>
      <c r="Z51" s="105">
        <v>33.229870366989225</v>
      </c>
      <c r="AA51" s="105">
        <v>33.153572741757571</v>
      </c>
      <c r="AB51" s="105">
        <v>54.107946903689843</v>
      </c>
      <c r="AC51" s="105">
        <v>55.616519174041301</v>
      </c>
      <c r="AD51" s="105">
        <v>58.228379513014275</v>
      </c>
      <c r="AE51" s="105">
        <v>58.827825451889723</v>
      </c>
      <c r="AF51" s="105">
        <v>59.204559382277239</v>
      </c>
      <c r="AG51" s="46">
        <v>7.7535760728218461</v>
      </c>
      <c r="AH51" s="46">
        <v>8.963676077987218</v>
      </c>
      <c r="AI51" s="46">
        <v>13.014576325484542</v>
      </c>
      <c r="AJ51" s="46">
        <v>12.02145818093148</v>
      </c>
      <c r="AK51" s="45">
        <v>10.716943686430167</v>
      </c>
      <c r="AL51" s="49">
        <v>570.83333333333337</v>
      </c>
      <c r="AM51" s="49">
        <v>644.58333333333337</v>
      </c>
      <c r="AN51" s="49">
        <v>789.08333333333337</v>
      </c>
      <c r="AO51" s="49">
        <v>644.58333333333337</v>
      </c>
      <c r="AP51" s="49">
        <v>1142.0833333333333</v>
      </c>
      <c r="AQ51" s="49">
        <v>28634.85219762686</v>
      </c>
      <c r="AR51" s="49">
        <v>28668.401540986884</v>
      </c>
      <c r="AS51" s="49">
        <v>28402.339659105313</v>
      </c>
      <c r="AT51" s="49">
        <v>28554.100332906422</v>
      </c>
      <c r="AU51" s="49">
        <v>28941.183263405059</v>
      </c>
      <c r="AV51" s="101">
        <v>47317.665615263671</v>
      </c>
      <c r="AW51" s="101">
        <v>48283.376845654733</v>
      </c>
      <c r="AX51" s="102">
        <v>45219.095969459806</v>
      </c>
      <c r="AY51" s="102">
        <v>43267.974355211503</v>
      </c>
      <c r="AZ51" s="102">
        <v>43155</v>
      </c>
      <c r="BA51" s="99">
        <v>9.5339640198511173</v>
      </c>
      <c r="BB51" s="99">
        <v>12.256515509429578</v>
      </c>
      <c r="BC51" s="99">
        <v>13.367429966290828</v>
      </c>
      <c r="BD51" s="99">
        <v>13.104070977113022</v>
      </c>
      <c r="BE51" s="99">
        <v>13.157998501636371</v>
      </c>
      <c r="BF51" s="99">
        <v>13.484428501548997</v>
      </c>
      <c r="BG51" s="99">
        <v>14.337628014535843</v>
      </c>
      <c r="BH51" s="48">
        <v>18.030973451327434</v>
      </c>
      <c r="BI51" s="48">
        <v>18.329137822529894</v>
      </c>
      <c r="BJ51" s="48">
        <v>18.856505813027553</v>
      </c>
      <c r="BK51" s="44">
        <v>6683</v>
      </c>
      <c r="BL51" s="44">
        <v>6539</v>
      </c>
      <c r="BM51" s="44">
        <v>6514</v>
      </c>
      <c r="BN51" s="42">
        <v>6440</v>
      </c>
      <c r="BO51" s="45">
        <v>35.537932066437229</v>
      </c>
      <c r="BP51" s="45">
        <v>38.323902737421626</v>
      </c>
      <c r="BQ51" s="45">
        <v>40.574147988946883</v>
      </c>
      <c r="BR51" s="46">
        <v>39.813664596273291</v>
      </c>
      <c r="BS51" s="105">
        <v>0.35912015561873412</v>
      </c>
      <c r="BT51" s="105">
        <v>0.29056430646887904</v>
      </c>
      <c r="BU51" s="105">
        <v>0.23027325759901751</v>
      </c>
      <c r="BV51" s="105">
        <v>0.41925465838509318</v>
      </c>
      <c r="BW51" s="45">
        <v>15.023193176717044</v>
      </c>
      <c r="BX51" s="45">
        <v>15.017586786970485</v>
      </c>
      <c r="BY51" s="45">
        <v>14.860300890389929</v>
      </c>
      <c r="BZ51" s="45">
        <v>15.295031055900621</v>
      </c>
      <c r="CA51" s="44">
        <v>76.470588235294116</v>
      </c>
      <c r="CB51" s="44">
        <v>77.739726027397253</v>
      </c>
      <c r="CC51" s="44">
        <v>77.966101694915253</v>
      </c>
      <c r="CD51" s="44">
        <v>79.89</v>
      </c>
      <c r="CE51" s="45">
        <v>6.3725490196078427</v>
      </c>
      <c r="CF51" s="45">
        <v>4.6232876712328768</v>
      </c>
      <c r="CG51" s="45">
        <v>7.1563088512241055</v>
      </c>
      <c r="CH51" s="45">
        <v>5.88</v>
      </c>
      <c r="CI51" s="48">
        <v>1255</v>
      </c>
      <c r="CJ51" s="51">
        <v>1321</v>
      </c>
      <c r="CK51" s="51">
        <v>1758</v>
      </c>
      <c r="CL51" s="57">
        <v>1745</v>
      </c>
      <c r="CM51" s="108">
        <v>12.722001459735626</v>
      </c>
      <c r="CN51" s="108">
        <v>12.192870724188218</v>
      </c>
      <c r="CO51" s="108">
        <v>14.078303556413315</v>
      </c>
      <c r="CP51" s="108">
        <v>13.301318698071499</v>
      </c>
      <c r="CQ51" s="60">
        <v>54</v>
      </c>
      <c r="CR51" s="60">
        <v>49</v>
      </c>
      <c r="CS51" s="60">
        <v>73</v>
      </c>
      <c r="CT51" s="60">
        <v>74</v>
      </c>
      <c r="CU51" s="108">
        <v>4.4665012406947895</v>
      </c>
      <c r="CV51" s="108">
        <v>3.7779491133384733</v>
      </c>
      <c r="CW51" s="108">
        <v>4.2640186915887854</v>
      </c>
      <c r="CX51" s="108">
        <v>4.3838862559241702</v>
      </c>
      <c r="CY51" s="61">
        <v>97</v>
      </c>
      <c r="CZ51" s="57">
        <v>95</v>
      </c>
      <c r="DA51" s="60">
        <v>146</v>
      </c>
      <c r="DB51" s="60">
        <v>147</v>
      </c>
      <c r="DC51" s="108">
        <v>8.5462555066079293</v>
      </c>
      <c r="DD51" s="108">
        <v>7.8125</v>
      </c>
      <c r="DE51" s="108">
        <v>9.3709884467265727</v>
      </c>
      <c r="DF51" s="108">
        <v>9.8327759197324411</v>
      </c>
      <c r="DG51" s="108">
        <v>81.158238172920065</v>
      </c>
      <c r="DH51" s="108">
        <v>82.779922779922785</v>
      </c>
      <c r="DI51" s="108">
        <v>87.145338737695425</v>
      </c>
      <c r="DJ51" s="108">
        <v>82.957827845176197</v>
      </c>
      <c r="DK51" s="108">
        <v>25.716625716625718</v>
      </c>
      <c r="DL51" s="108">
        <v>22.923076923076923</v>
      </c>
      <c r="DM51" s="108">
        <v>19.17728852838934</v>
      </c>
      <c r="DN51" s="108">
        <v>23.746397694524497</v>
      </c>
      <c r="DO51" s="108">
        <v>38.167330677290835</v>
      </c>
      <c r="DP51" s="108">
        <v>34.065102195306586</v>
      </c>
      <c r="DQ51" s="108">
        <v>34.186575654152449</v>
      </c>
      <c r="DR51" s="108">
        <v>42.398164084911073</v>
      </c>
      <c r="DS51" s="108">
        <v>49.893519926985093</v>
      </c>
      <c r="DT51" s="108">
        <v>42.347696879643387</v>
      </c>
      <c r="DU51" s="108">
        <v>34.986713906111603</v>
      </c>
      <c r="DV51" s="108">
        <v>43.153326904532307</v>
      </c>
      <c r="DW51" s="62">
        <v>275</v>
      </c>
      <c r="DX51" s="62">
        <v>1</v>
      </c>
      <c r="DY51" s="57">
        <v>43</v>
      </c>
      <c r="DZ51" s="60">
        <v>1</v>
      </c>
      <c r="EA51" s="60">
        <v>7</v>
      </c>
      <c r="EB51" s="60">
        <v>6</v>
      </c>
      <c r="EC51" s="60">
        <v>4</v>
      </c>
      <c r="ED51" s="57">
        <v>11</v>
      </c>
      <c r="EE51" s="60">
        <v>15</v>
      </c>
      <c r="EF51" s="60">
        <v>1095</v>
      </c>
      <c r="EG51" s="60">
        <v>1248</v>
      </c>
      <c r="EH51" s="60">
        <v>1230</v>
      </c>
      <c r="EI51" s="60">
        <v>1331</v>
      </c>
      <c r="EJ51" s="115">
        <v>262</v>
      </c>
      <c r="EK51" s="115">
        <v>0</v>
      </c>
      <c r="EL51" s="115">
        <v>14</v>
      </c>
      <c r="EM51" s="115">
        <v>0</v>
      </c>
      <c r="EN51" s="115">
        <v>0</v>
      </c>
      <c r="EO51" s="108">
        <v>1110.0072986781283</v>
      </c>
      <c r="EP51" s="108">
        <v>1151.9078473722102</v>
      </c>
      <c r="EQ51" s="108">
        <v>985.00076077294534</v>
      </c>
      <c r="ER51" s="108">
        <v>1014.5590365119292</v>
      </c>
      <c r="ES51" s="108">
        <v>850.57795983089375</v>
      </c>
      <c r="ET51" s="108">
        <v>877.68511924382369</v>
      </c>
      <c r="EU51" s="108">
        <v>777.06725774067036</v>
      </c>
      <c r="EV51" s="108">
        <v>781.32118687128866</v>
      </c>
      <c r="EW51" s="108">
        <v>1068.9143297059325</v>
      </c>
      <c r="EX51" s="108">
        <v>1037.1728103630508</v>
      </c>
      <c r="EY51" s="108">
        <v>959.70982717156187</v>
      </c>
      <c r="EZ51" s="108">
        <v>919.3235336499697</v>
      </c>
      <c r="FA51" s="108">
        <v>675.81054345934376</v>
      </c>
      <c r="FB51" s="108">
        <v>746.03318333918742</v>
      </c>
      <c r="FC51" s="108">
        <v>634.23938351845732</v>
      </c>
      <c r="FD51" s="108">
        <v>659.64387567732115</v>
      </c>
      <c r="FE51" s="57">
        <v>239</v>
      </c>
      <c r="FF51" s="62">
        <v>305</v>
      </c>
      <c r="FG51" s="62">
        <v>269</v>
      </c>
      <c r="FH51" s="62">
        <v>309</v>
      </c>
      <c r="FI51" s="108">
        <v>195.36063655702114</v>
      </c>
      <c r="FJ51" s="108">
        <v>222.49723282063042</v>
      </c>
      <c r="FK51" s="108">
        <v>179.91284412519471</v>
      </c>
      <c r="FL51" s="108">
        <v>189.93448760265005</v>
      </c>
      <c r="FM51" s="62">
        <v>317</v>
      </c>
      <c r="FN51" s="62">
        <v>309</v>
      </c>
      <c r="FO51" s="57">
        <v>262</v>
      </c>
      <c r="FP51" s="62">
        <v>241</v>
      </c>
      <c r="FQ51" s="108">
        <v>242.63162767374428</v>
      </c>
      <c r="FR51" s="108">
        <v>210.77368871041364</v>
      </c>
      <c r="FS51" s="108">
        <v>158.40650422966348</v>
      </c>
      <c r="FT51" s="108">
        <v>134.41868156194693</v>
      </c>
      <c r="FU51" s="60">
        <v>95</v>
      </c>
      <c r="FV51" s="60">
        <v>93</v>
      </c>
      <c r="FW51" s="60">
        <v>88</v>
      </c>
      <c r="FX51" s="60">
        <v>60</v>
      </c>
      <c r="FY51" s="108">
        <v>69.458845497107262</v>
      </c>
      <c r="FZ51" s="108">
        <v>63.512362093624944</v>
      </c>
      <c r="GA51" s="108">
        <v>52.686502400339961</v>
      </c>
      <c r="GB51" s="108">
        <v>32.003048021093122</v>
      </c>
      <c r="GC51" s="63">
        <v>47</v>
      </c>
      <c r="GD51" s="64">
        <v>71</v>
      </c>
      <c r="GE51" s="63">
        <v>70</v>
      </c>
      <c r="GF51" s="63">
        <v>96</v>
      </c>
      <c r="GG51" s="112">
        <v>44.370711641409528</v>
      </c>
      <c r="GH51" s="112">
        <v>58.148150948267357</v>
      </c>
      <c r="GI51" s="112">
        <v>51.08710891409558</v>
      </c>
      <c r="GJ51" s="112">
        <v>65.792194577925159</v>
      </c>
      <c r="GK51" s="63"/>
      <c r="GL51" s="63"/>
      <c r="GM51" s="63"/>
      <c r="GN51" s="64"/>
      <c r="GO51" s="63"/>
      <c r="GP51" s="63"/>
      <c r="GQ51" s="63"/>
      <c r="GR51" s="63"/>
      <c r="GS51" s="64"/>
      <c r="GT51" s="63"/>
      <c r="GU51" s="63"/>
      <c r="GV51" s="63"/>
      <c r="GW51" s="63"/>
      <c r="GX51" s="64"/>
      <c r="GY51" s="64"/>
      <c r="GZ51" s="64"/>
      <c r="HA51" s="64"/>
      <c r="HB51" s="64"/>
      <c r="HC51" s="64"/>
      <c r="HD51" s="65"/>
      <c r="HE51" s="65"/>
      <c r="HF51" s="65"/>
      <c r="HG51" s="65"/>
      <c r="HH51" s="65"/>
      <c r="HI51" s="66"/>
      <c r="HJ51" s="66"/>
      <c r="HK51" s="63"/>
      <c r="HL51" s="64"/>
      <c r="HM51" s="64"/>
      <c r="HN51" s="64"/>
      <c r="HO51" s="64"/>
      <c r="HP51" s="64"/>
      <c r="HQ51" s="64"/>
      <c r="HR51" s="64"/>
      <c r="HS51" s="64"/>
      <c r="HT51" s="64"/>
      <c r="HU51" s="39"/>
    </row>
    <row r="52" spans="1:229" x14ac:dyDescent="0.2">
      <c r="A52" s="37">
        <v>49</v>
      </c>
      <c r="B52" s="86" t="s">
        <v>107</v>
      </c>
      <c r="C52" s="93">
        <v>32733</v>
      </c>
      <c r="D52" s="93">
        <v>32893</v>
      </c>
      <c r="E52" s="93">
        <v>32883</v>
      </c>
      <c r="F52" s="93">
        <v>33198</v>
      </c>
      <c r="G52" s="93">
        <v>33229</v>
      </c>
      <c r="H52" s="43">
        <v>32489</v>
      </c>
      <c r="I52" s="43">
        <v>151</v>
      </c>
      <c r="J52" s="43">
        <v>89</v>
      </c>
      <c r="K52" s="43">
        <v>130</v>
      </c>
      <c r="L52" s="43">
        <v>426</v>
      </c>
      <c r="M52" s="44">
        <v>12912</v>
      </c>
      <c r="N52" s="44">
        <v>13023</v>
      </c>
      <c r="O52" s="45">
        <v>13101</v>
      </c>
      <c r="P52" s="45">
        <v>13080</v>
      </c>
      <c r="Q52" s="46">
        <v>13142</v>
      </c>
      <c r="R52" s="105">
        <v>23.735683649903379</v>
      </c>
      <c r="S52" s="105">
        <v>23.957454783994002</v>
      </c>
      <c r="T52" s="105">
        <v>25.325421133231242</v>
      </c>
      <c r="U52" s="105">
        <v>25.201135825840037</v>
      </c>
      <c r="V52" s="105">
        <v>25.679829746985103</v>
      </c>
      <c r="W52" s="105">
        <v>30.541546872790686</v>
      </c>
      <c r="X52" s="105">
        <v>30.165870115265673</v>
      </c>
      <c r="Y52" s="105">
        <v>32.039624808575802</v>
      </c>
      <c r="Z52" s="105">
        <v>31.911973497397067</v>
      </c>
      <c r="AA52" s="105">
        <v>31.468432253487823</v>
      </c>
      <c r="AB52" s="105">
        <v>54.277230522694069</v>
      </c>
      <c r="AC52" s="105">
        <v>54.123324899259678</v>
      </c>
      <c r="AD52" s="105">
        <v>57.365045941807047</v>
      </c>
      <c r="AE52" s="105">
        <v>57.113109323237104</v>
      </c>
      <c r="AF52" s="105">
        <v>57.148262000472926</v>
      </c>
      <c r="AG52" s="46">
        <v>6.2388283457302656</v>
      </c>
      <c r="AH52" s="46">
        <v>7.4933799087272526</v>
      </c>
      <c r="AI52" s="46">
        <v>11.442840082510042</v>
      </c>
      <c r="AJ52" s="46">
        <v>9.5427760803142725</v>
      </c>
      <c r="AK52" s="45">
        <v>8.5030661410424884</v>
      </c>
      <c r="AL52" s="49">
        <v>603.16666666666663</v>
      </c>
      <c r="AM52" s="49">
        <v>694.91666666666663</v>
      </c>
      <c r="AN52" s="49">
        <v>892.5</v>
      </c>
      <c r="AO52" s="49">
        <v>694.91666666666663</v>
      </c>
      <c r="AP52" s="49">
        <v>1337.4166666666667</v>
      </c>
      <c r="AQ52" s="49">
        <v>32184.23017852685</v>
      </c>
      <c r="AR52" s="49">
        <v>33183.73074040495</v>
      </c>
      <c r="AS52" s="49">
        <v>32067.171298177938</v>
      </c>
      <c r="AT52" s="49">
        <v>32835.599229493186</v>
      </c>
      <c r="AU52" s="49">
        <v>33984.742243221284</v>
      </c>
      <c r="AV52" s="101">
        <v>49585.042750624569</v>
      </c>
      <c r="AW52" s="101">
        <v>47703.537526184031</v>
      </c>
      <c r="AX52" s="102">
        <v>47085.400709434733</v>
      </c>
      <c r="AY52" s="102">
        <v>44252.087638037934</v>
      </c>
      <c r="AZ52" s="102">
        <v>44928</v>
      </c>
      <c r="BA52" s="99">
        <v>10.381839491703165</v>
      </c>
      <c r="BB52" s="99">
        <v>13.27360314197171</v>
      </c>
      <c r="BC52" s="99">
        <v>13.735065573266992</v>
      </c>
      <c r="BD52" s="99">
        <v>13.364616978487415</v>
      </c>
      <c r="BE52" s="99">
        <v>12.129609891281177</v>
      </c>
      <c r="BF52" s="99">
        <v>12.736089841755998</v>
      </c>
      <c r="BG52" s="99">
        <v>15.428203477141018</v>
      </c>
      <c r="BH52" s="48">
        <v>15.91023069207623</v>
      </c>
      <c r="BI52" s="48">
        <v>18.405977584059777</v>
      </c>
      <c r="BJ52" s="48">
        <v>16.823721573061942</v>
      </c>
      <c r="BK52" s="44">
        <v>5128</v>
      </c>
      <c r="BL52" s="44">
        <v>5189</v>
      </c>
      <c r="BM52" s="44">
        <v>5190</v>
      </c>
      <c r="BN52" s="42">
        <v>5216</v>
      </c>
      <c r="BO52" s="45">
        <v>40.191107644305774</v>
      </c>
      <c r="BP52" s="45">
        <v>43.168240508768548</v>
      </c>
      <c r="BQ52" s="45">
        <v>41.078998073217726</v>
      </c>
      <c r="BR52" s="46">
        <v>41.602760736196316</v>
      </c>
      <c r="BS52" s="105">
        <v>0.52652106084243366</v>
      </c>
      <c r="BT52" s="105">
        <v>0.52033147041819228</v>
      </c>
      <c r="BU52" s="105">
        <v>0.40462427745664742</v>
      </c>
      <c r="BV52" s="105">
        <v>0.44095092024539878</v>
      </c>
      <c r="BW52" s="45">
        <v>14.469578783151325</v>
      </c>
      <c r="BX52" s="45">
        <v>15.282328001541723</v>
      </c>
      <c r="BY52" s="45">
        <v>15.722543352601155</v>
      </c>
      <c r="BZ52" s="45">
        <v>15.22239263803681</v>
      </c>
      <c r="CA52" s="44">
        <v>82.248520710059168</v>
      </c>
      <c r="CB52" s="44">
        <v>83.191489361702125</v>
      </c>
      <c r="CC52" s="44">
        <v>81.609195402298852</v>
      </c>
      <c r="CD52" s="44">
        <v>84.88</v>
      </c>
      <c r="CE52" s="45">
        <v>4.1420118343195265</v>
      </c>
      <c r="CF52" s="45">
        <v>4.8936170212765955</v>
      </c>
      <c r="CG52" s="45">
        <v>4.1379310344827589</v>
      </c>
      <c r="CH52" s="45">
        <v>3.49</v>
      </c>
      <c r="CI52" s="48">
        <v>1953</v>
      </c>
      <c r="CJ52" s="51">
        <v>2033</v>
      </c>
      <c r="CK52" s="51">
        <v>2120</v>
      </c>
      <c r="CL52" s="57">
        <v>2128</v>
      </c>
      <c r="CM52" s="108">
        <v>12.962102608349372</v>
      </c>
      <c r="CN52" s="108">
        <v>13.084978341882872</v>
      </c>
      <c r="CO52" s="108">
        <v>12.978664789249747</v>
      </c>
      <c r="CP52" s="108">
        <v>12.901974099044478</v>
      </c>
      <c r="CQ52" s="60">
        <v>73</v>
      </c>
      <c r="CR52" s="60">
        <v>86</v>
      </c>
      <c r="CS52" s="60">
        <v>117</v>
      </c>
      <c r="CT52" s="60">
        <v>93</v>
      </c>
      <c r="CU52" s="108">
        <v>3.7706611570247932</v>
      </c>
      <c r="CV52" s="108">
        <v>4.3610547667342798</v>
      </c>
      <c r="CW52" s="108">
        <v>5.6631171345595357</v>
      </c>
      <c r="CX52" s="108">
        <v>4.5565899069083784</v>
      </c>
      <c r="CY52" s="61">
        <v>124</v>
      </c>
      <c r="CZ52" s="57">
        <v>147</v>
      </c>
      <c r="DA52" s="60">
        <v>183</v>
      </c>
      <c r="DB52" s="60">
        <v>183</v>
      </c>
      <c r="DC52" s="108">
        <v>6.5712771595124533</v>
      </c>
      <c r="DD52" s="108">
        <v>7.5695159629248199</v>
      </c>
      <c r="DE52" s="108">
        <v>9.0638930163447249</v>
      </c>
      <c r="DF52" s="108">
        <v>9.233097880928355</v>
      </c>
      <c r="DG52" s="108">
        <v>86.642599277978334</v>
      </c>
      <c r="DH52" s="108">
        <v>89.935547843331676</v>
      </c>
      <c r="DI52" s="108">
        <v>91.223908918406067</v>
      </c>
      <c r="DJ52" s="108">
        <v>89.15094339622641</v>
      </c>
      <c r="DK52" s="108">
        <v>25.799793601651185</v>
      </c>
      <c r="DL52" s="108">
        <v>21.805624074987666</v>
      </c>
      <c r="DM52" s="108">
        <v>20.689655172413794</v>
      </c>
      <c r="DN52" s="108">
        <v>19.774011299435028</v>
      </c>
      <c r="DO52" s="108">
        <v>24.372759856630825</v>
      </c>
      <c r="DP52" s="108">
        <v>28.726020659124448</v>
      </c>
      <c r="DQ52" s="108">
        <v>30.89622641509434</v>
      </c>
      <c r="DR52" s="108">
        <v>32.659774436090224</v>
      </c>
      <c r="DS52" s="108">
        <v>35.838822161952734</v>
      </c>
      <c r="DT52" s="108">
        <v>36.889332003988038</v>
      </c>
      <c r="DU52" s="108">
        <v>27.876823338735818</v>
      </c>
      <c r="DV52" s="108">
        <v>26.520771513353115</v>
      </c>
      <c r="DW52" s="62">
        <v>364</v>
      </c>
      <c r="DX52" s="62">
        <v>5</v>
      </c>
      <c r="DY52" s="57">
        <v>2</v>
      </c>
      <c r="DZ52" s="60">
        <v>0</v>
      </c>
      <c r="EA52" s="60">
        <v>5</v>
      </c>
      <c r="EB52" s="60">
        <v>12</v>
      </c>
      <c r="EC52" s="60">
        <v>8</v>
      </c>
      <c r="ED52" s="57">
        <v>17</v>
      </c>
      <c r="EE52" s="60">
        <v>11</v>
      </c>
      <c r="EF52" s="60">
        <v>1390</v>
      </c>
      <c r="EG52" s="60">
        <v>1497</v>
      </c>
      <c r="EH52" s="60">
        <v>1521</v>
      </c>
      <c r="EI52" s="60">
        <v>1481</v>
      </c>
      <c r="EJ52" s="115">
        <v>283</v>
      </c>
      <c r="EK52" s="115">
        <v>1</v>
      </c>
      <c r="EL52" s="115">
        <v>0</v>
      </c>
      <c r="EM52" s="115">
        <v>1</v>
      </c>
      <c r="EN52" s="115">
        <v>0</v>
      </c>
      <c r="EO52" s="108">
        <v>922.545961372536</v>
      </c>
      <c r="EP52" s="108">
        <v>963.51266983761241</v>
      </c>
      <c r="EQ52" s="108">
        <v>931.15797851173897</v>
      </c>
      <c r="ER52" s="108">
        <v>897.9240432652665</v>
      </c>
      <c r="ES52" s="108">
        <v>784.09105542106784</v>
      </c>
      <c r="ET52" s="108">
        <v>791.89362452125533</v>
      </c>
      <c r="EU52" s="108">
        <v>733.50533285146355</v>
      </c>
      <c r="EV52" s="108">
        <v>683.30113617527206</v>
      </c>
      <c r="EW52" s="108">
        <v>960.98114330727867</v>
      </c>
      <c r="EX52" s="108">
        <v>984.68908017892818</v>
      </c>
      <c r="EY52" s="108">
        <v>939.59104231988908</v>
      </c>
      <c r="EZ52" s="108">
        <v>847.21774962189306</v>
      </c>
      <c r="FA52" s="108">
        <v>641.0878400125622</v>
      </c>
      <c r="FB52" s="108">
        <v>636.6148009758067</v>
      </c>
      <c r="FC52" s="108">
        <v>572.87005710681058</v>
      </c>
      <c r="FD52" s="108">
        <v>552.89572618849047</v>
      </c>
      <c r="FE52" s="57">
        <v>331</v>
      </c>
      <c r="FF52" s="62">
        <v>363</v>
      </c>
      <c r="FG52" s="62">
        <v>359</v>
      </c>
      <c r="FH52" s="62">
        <v>368</v>
      </c>
      <c r="FI52" s="108">
        <v>191.90024017358888</v>
      </c>
      <c r="FJ52" s="108">
        <v>198.08030480122957</v>
      </c>
      <c r="FK52" s="108">
        <v>180.96029725356067</v>
      </c>
      <c r="FL52" s="108">
        <v>175.51919056998426</v>
      </c>
      <c r="FM52" s="62">
        <v>444</v>
      </c>
      <c r="FN52" s="62">
        <v>413</v>
      </c>
      <c r="FO52" s="57">
        <v>369</v>
      </c>
      <c r="FP52" s="62">
        <v>315</v>
      </c>
      <c r="FQ52" s="108">
        <v>246.57437134055658</v>
      </c>
      <c r="FR52" s="108">
        <v>213.11056609506278</v>
      </c>
      <c r="FS52" s="108">
        <v>172.04473791865146</v>
      </c>
      <c r="FT52" s="108">
        <v>137.87751304351769</v>
      </c>
      <c r="FU52" s="60">
        <v>130</v>
      </c>
      <c r="FV52" s="60">
        <v>119</v>
      </c>
      <c r="FW52" s="60">
        <v>119</v>
      </c>
      <c r="FX52" s="60">
        <v>79</v>
      </c>
      <c r="FY52" s="108">
        <v>68.817005737839452</v>
      </c>
      <c r="FZ52" s="108">
        <v>59.539736951122542</v>
      </c>
      <c r="GA52" s="108">
        <v>53.760175082087329</v>
      </c>
      <c r="GB52" s="108">
        <v>34.447140262826679</v>
      </c>
      <c r="GC52" s="63">
        <v>68</v>
      </c>
      <c r="GD52" s="64">
        <v>77</v>
      </c>
      <c r="GE52" s="63">
        <v>88</v>
      </c>
      <c r="GF52" s="63">
        <v>82</v>
      </c>
      <c r="GG52" s="112">
        <v>43.77928408914039</v>
      </c>
      <c r="GH52" s="112">
        <v>46.9558155635915</v>
      </c>
      <c r="GI52" s="112">
        <v>49.380678070458643</v>
      </c>
      <c r="GJ52" s="112">
        <v>42.813413458351114</v>
      </c>
      <c r="GK52" s="63"/>
      <c r="GL52" s="63"/>
      <c r="GM52" s="63"/>
      <c r="GN52" s="64"/>
      <c r="GO52" s="63"/>
      <c r="GP52" s="63"/>
      <c r="GQ52" s="63"/>
      <c r="GR52" s="63"/>
      <c r="GS52" s="64"/>
      <c r="GT52" s="63"/>
      <c r="GU52" s="63"/>
      <c r="GV52" s="63"/>
      <c r="GW52" s="63"/>
      <c r="GX52" s="64"/>
      <c r="GY52" s="64"/>
      <c r="GZ52" s="64"/>
      <c r="HA52" s="64"/>
      <c r="HB52" s="64"/>
      <c r="HC52" s="64"/>
      <c r="HD52" s="65"/>
      <c r="HE52" s="65"/>
      <c r="HF52" s="65"/>
      <c r="HG52" s="65"/>
      <c r="HH52" s="65"/>
      <c r="HI52" s="66"/>
      <c r="HJ52" s="66"/>
      <c r="HK52" s="63"/>
      <c r="HL52" s="64"/>
      <c r="HM52" s="64"/>
      <c r="HN52" s="64"/>
      <c r="HO52" s="64"/>
      <c r="HP52" s="64"/>
      <c r="HQ52" s="64"/>
      <c r="HR52" s="64"/>
      <c r="HS52" s="64"/>
      <c r="HT52" s="64"/>
      <c r="HU52" s="39"/>
    </row>
    <row r="53" spans="1:229" x14ac:dyDescent="0.2">
      <c r="A53" s="37">
        <v>50</v>
      </c>
      <c r="B53" s="86" t="s">
        <v>108</v>
      </c>
      <c r="C53" s="93">
        <v>38040</v>
      </c>
      <c r="D53" s="93">
        <v>37859</v>
      </c>
      <c r="E53" s="93">
        <v>38215</v>
      </c>
      <c r="F53" s="93">
        <v>39163</v>
      </c>
      <c r="G53" s="93">
        <v>39349</v>
      </c>
      <c r="H53" s="43">
        <v>36833</v>
      </c>
      <c r="I53" s="43">
        <v>1016</v>
      </c>
      <c r="J53" s="43">
        <v>163</v>
      </c>
      <c r="K53" s="43">
        <v>816</v>
      </c>
      <c r="L53" s="43">
        <v>4347</v>
      </c>
      <c r="M53" s="44">
        <v>16014</v>
      </c>
      <c r="N53" s="44">
        <v>15978</v>
      </c>
      <c r="O53" s="45">
        <v>16034</v>
      </c>
      <c r="P53" s="45">
        <v>15828</v>
      </c>
      <c r="Q53" s="46">
        <v>15891</v>
      </c>
      <c r="R53" s="105">
        <v>29.788957578341506</v>
      </c>
      <c r="S53" s="105">
        <v>29.957552630450628</v>
      </c>
      <c r="T53" s="105">
        <v>30.290617454294583</v>
      </c>
      <c r="U53" s="105">
        <v>28.22954620735343</v>
      </c>
      <c r="V53" s="105">
        <v>27.580100485956677</v>
      </c>
      <c r="W53" s="105">
        <v>32.393945853762524</v>
      </c>
      <c r="X53" s="105">
        <v>32.367191184667497</v>
      </c>
      <c r="Y53" s="105">
        <v>34.486029665401865</v>
      </c>
      <c r="Z53" s="105">
        <v>33.922656508777742</v>
      </c>
      <c r="AA53" s="105">
        <v>34.469977761304669</v>
      </c>
      <c r="AB53" s="105">
        <v>62.182903432104027</v>
      </c>
      <c r="AC53" s="105">
        <v>62.324743815118126</v>
      </c>
      <c r="AD53" s="105">
        <v>64.776647119696449</v>
      </c>
      <c r="AE53" s="105">
        <v>62.152202716131171</v>
      </c>
      <c r="AF53" s="105">
        <v>62.050078247261347</v>
      </c>
      <c r="AG53" s="46">
        <v>4.1036717062634986</v>
      </c>
      <c r="AH53" s="46">
        <v>4.549439844130541</v>
      </c>
      <c r="AI53" s="46">
        <v>6.4932599202582111</v>
      </c>
      <c r="AJ53" s="46">
        <v>5.8956276445698164</v>
      </c>
      <c r="AK53" s="45">
        <v>5.5417971122844722</v>
      </c>
      <c r="AL53" s="49">
        <v>1055.25</v>
      </c>
      <c r="AM53" s="49">
        <v>1066.75</v>
      </c>
      <c r="AN53" s="49">
        <v>1334.6666666666667</v>
      </c>
      <c r="AO53" s="49">
        <v>1066.75</v>
      </c>
      <c r="AP53" s="49">
        <v>2054.8333333333335</v>
      </c>
      <c r="AQ53" s="49">
        <v>37424.769668716486</v>
      </c>
      <c r="AR53" s="49">
        <v>38368.974232503839</v>
      </c>
      <c r="AS53" s="49">
        <v>37601.259519455176</v>
      </c>
      <c r="AT53" s="49">
        <v>39550.566334907671</v>
      </c>
      <c r="AU53" s="49">
        <v>40267.605275864698</v>
      </c>
      <c r="AV53" s="101">
        <v>48516.446349509504</v>
      </c>
      <c r="AW53" s="101">
        <v>49367.833086394523</v>
      </c>
      <c r="AX53" s="102">
        <v>46378.721274185802</v>
      </c>
      <c r="AY53" s="102">
        <v>44483.158262097808</v>
      </c>
      <c r="AZ53" s="102">
        <v>46860</v>
      </c>
      <c r="BA53" s="99">
        <v>11.412547630547953</v>
      </c>
      <c r="BB53" s="99">
        <v>12.429911580763426</v>
      </c>
      <c r="BC53" s="99">
        <v>13.572230238896905</v>
      </c>
      <c r="BD53" s="99">
        <v>12.259515928837402</v>
      </c>
      <c r="BE53" s="99">
        <v>13.659428689179094</v>
      </c>
      <c r="BF53" s="99">
        <v>14.615638403167271</v>
      </c>
      <c r="BG53" s="99">
        <v>15.998663994655979</v>
      </c>
      <c r="BH53" s="48">
        <v>17.713004484304932</v>
      </c>
      <c r="BI53" s="48">
        <v>16.421314534522082</v>
      </c>
      <c r="BJ53" s="48">
        <v>19.612863580499795</v>
      </c>
      <c r="BK53" s="44">
        <v>5804</v>
      </c>
      <c r="BL53" s="44">
        <v>5934</v>
      </c>
      <c r="BM53" s="44">
        <v>5937</v>
      </c>
      <c r="BN53" s="42">
        <v>5937</v>
      </c>
      <c r="BO53" s="45">
        <v>44.710544452101999</v>
      </c>
      <c r="BP53" s="45">
        <v>47.590158409167508</v>
      </c>
      <c r="BQ53" s="45">
        <v>48.408287013643253</v>
      </c>
      <c r="BR53" s="46">
        <v>50.345292235135588</v>
      </c>
      <c r="BS53" s="105">
        <v>8.0461750516884916</v>
      </c>
      <c r="BT53" s="105">
        <v>9.8415908324907306</v>
      </c>
      <c r="BU53" s="105">
        <v>10.224018864746505</v>
      </c>
      <c r="BV53" s="105">
        <v>10.880916287687384</v>
      </c>
      <c r="BW53" s="45">
        <v>14.403859407305307</v>
      </c>
      <c r="BX53" s="45">
        <v>14.627569935962251</v>
      </c>
      <c r="BY53" s="45">
        <v>14.889674919993263</v>
      </c>
      <c r="BZ53" s="45">
        <v>14.923361967323563</v>
      </c>
      <c r="CA53" s="44">
        <v>78.787878787878782</v>
      </c>
      <c r="CB53" s="44">
        <v>79.923518164435947</v>
      </c>
      <c r="CC53" s="44">
        <v>75.569358178053832</v>
      </c>
      <c r="CD53" s="44">
        <v>78.319999999999993</v>
      </c>
      <c r="CE53" s="45">
        <v>8.282828282828282</v>
      </c>
      <c r="CF53" s="45">
        <v>5.5449330783938811</v>
      </c>
      <c r="CG53" s="45">
        <v>8.695652173913043</v>
      </c>
      <c r="CH53" s="45">
        <v>7.37</v>
      </c>
      <c r="CI53" s="48">
        <v>2210</v>
      </c>
      <c r="CJ53" s="51">
        <v>2430</v>
      </c>
      <c r="CK53" s="51">
        <v>2697</v>
      </c>
      <c r="CL53" s="57">
        <v>2800</v>
      </c>
      <c r="CM53" s="108">
        <v>11.838059629538369</v>
      </c>
      <c r="CN53" s="108">
        <v>12.875127161749745</v>
      </c>
      <c r="CO53" s="108">
        <v>13.896975849044937</v>
      </c>
      <c r="CP53" s="108">
        <v>14.535940111926738</v>
      </c>
      <c r="CQ53" s="60">
        <v>107</v>
      </c>
      <c r="CR53" s="60">
        <v>116</v>
      </c>
      <c r="CS53" s="60">
        <v>118</v>
      </c>
      <c r="CT53" s="60">
        <v>120</v>
      </c>
      <c r="CU53" s="108">
        <v>4.9698095680445888</v>
      </c>
      <c r="CV53" s="108">
        <v>4.9509176269739648</v>
      </c>
      <c r="CW53" s="108">
        <v>4.5367166474432912</v>
      </c>
      <c r="CX53" s="108">
        <v>4.4609665427509295</v>
      </c>
      <c r="CY53" s="61">
        <v>175</v>
      </c>
      <c r="CZ53" s="57">
        <v>169</v>
      </c>
      <c r="DA53" s="60">
        <v>186</v>
      </c>
      <c r="DB53" s="60">
        <v>198</v>
      </c>
      <c r="DC53" s="108">
        <v>9.053285049146405</v>
      </c>
      <c r="DD53" s="108">
        <v>7.7736890524379021</v>
      </c>
      <c r="DE53" s="108">
        <v>7.9828326180257507</v>
      </c>
      <c r="DF53" s="108">
        <v>8.0032336297493938</v>
      </c>
      <c r="DG53" s="108">
        <v>79.019330504479015</v>
      </c>
      <c r="DH53" s="108">
        <v>76.336842105263159</v>
      </c>
      <c r="DI53" s="108">
        <v>71.128608923884514</v>
      </c>
      <c r="DJ53" s="108">
        <v>67.590925459128556</v>
      </c>
      <c r="DK53" s="108">
        <v>21.998166819431713</v>
      </c>
      <c r="DL53" s="108">
        <v>20.108018280016619</v>
      </c>
      <c r="DM53" s="108">
        <v>15.135738192636667</v>
      </c>
      <c r="DN53" s="108">
        <v>16.941260744985673</v>
      </c>
      <c r="DO53" s="108">
        <v>27.626811594202898</v>
      </c>
      <c r="DP53" s="108">
        <v>33.497942386831276</v>
      </c>
      <c r="DQ53" s="108">
        <v>38.746755654430849</v>
      </c>
      <c r="DR53" s="108">
        <v>44.785714285714285</v>
      </c>
      <c r="DS53" s="108">
        <v>40.295500335795836</v>
      </c>
      <c r="DT53" s="108">
        <v>40.090090090090094</v>
      </c>
      <c r="DU53" s="108">
        <v>45.178376694189126</v>
      </c>
      <c r="DV53" s="108">
        <v>41.971383147853736</v>
      </c>
      <c r="DW53" s="62">
        <v>397</v>
      </c>
      <c r="DX53" s="62">
        <v>29</v>
      </c>
      <c r="DY53" s="57">
        <v>3</v>
      </c>
      <c r="DZ53" s="60">
        <v>21</v>
      </c>
      <c r="EA53" s="60">
        <v>109</v>
      </c>
      <c r="EB53" s="60">
        <v>19</v>
      </c>
      <c r="EC53" s="60">
        <v>18</v>
      </c>
      <c r="ED53" s="57">
        <v>9</v>
      </c>
      <c r="EE53" s="60">
        <v>17</v>
      </c>
      <c r="EF53" s="60">
        <v>2163</v>
      </c>
      <c r="EG53" s="60">
        <v>2099</v>
      </c>
      <c r="EH53" s="60">
        <v>1964</v>
      </c>
      <c r="EI53" s="60">
        <v>1889</v>
      </c>
      <c r="EJ53" s="115">
        <v>382</v>
      </c>
      <c r="EK53" s="115">
        <v>1</v>
      </c>
      <c r="EL53" s="115">
        <v>0</v>
      </c>
      <c r="EM53" s="115">
        <v>0</v>
      </c>
      <c r="EN53" s="115">
        <v>4</v>
      </c>
      <c r="EO53" s="108">
        <v>1158.6299990358141</v>
      </c>
      <c r="EP53" s="108">
        <v>1112.135469650729</v>
      </c>
      <c r="EQ53" s="108">
        <v>1012.0007626074993</v>
      </c>
      <c r="ER53" s="108">
        <v>980.65681683677178</v>
      </c>
      <c r="ES53" s="108">
        <v>777.72063159343804</v>
      </c>
      <c r="ET53" s="108">
        <v>717.37850032399479</v>
      </c>
      <c r="EU53" s="108">
        <v>633.11341101937865</v>
      </c>
      <c r="EV53" s="108">
        <v>613.03167905714417</v>
      </c>
      <c r="EW53" s="108">
        <v>1040.3957147025626</v>
      </c>
      <c r="EX53" s="108">
        <v>872.5071334792724</v>
      </c>
      <c r="EY53" s="108">
        <v>787.28424363230783</v>
      </c>
      <c r="EZ53" s="108">
        <v>787.90525847932338</v>
      </c>
      <c r="FA53" s="108">
        <v>607.04474087928145</v>
      </c>
      <c r="FB53" s="108">
        <v>599.95445863451687</v>
      </c>
      <c r="FC53" s="108">
        <v>520.85611127704442</v>
      </c>
      <c r="FD53" s="108">
        <v>483.56434699688572</v>
      </c>
      <c r="FE53" s="57">
        <v>542</v>
      </c>
      <c r="FF53" s="62">
        <v>539</v>
      </c>
      <c r="FG53" s="62">
        <v>478</v>
      </c>
      <c r="FH53" s="62">
        <v>466</v>
      </c>
      <c r="FI53" s="108">
        <v>196.21407811249378</v>
      </c>
      <c r="FJ53" s="108">
        <v>194.23520952143966</v>
      </c>
      <c r="FK53" s="108">
        <v>169.46281641552366</v>
      </c>
      <c r="FL53" s="108">
        <v>167.44100692490753</v>
      </c>
      <c r="FM53" s="62">
        <v>663</v>
      </c>
      <c r="FN53" s="62">
        <v>574</v>
      </c>
      <c r="FO53" s="57">
        <v>433</v>
      </c>
      <c r="FP53" s="62">
        <v>366</v>
      </c>
      <c r="FQ53" s="108">
        <v>231.38202300138704</v>
      </c>
      <c r="FR53" s="108">
        <v>187.12671850222546</v>
      </c>
      <c r="FS53" s="108">
        <v>130.56619133519158</v>
      </c>
      <c r="FT53" s="108">
        <v>109.758100768426</v>
      </c>
      <c r="FU53" s="60">
        <v>203</v>
      </c>
      <c r="FV53" s="60">
        <v>158</v>
      </c>
      <c r="FW53" s="60">
        <v>131</v>
      </c>
      <c r="FX53" s="60">
        <v>94</v>
      </c>
      <c r="FY53" s="108">
        <v>67.405581133881455</v>
      </c>
      <c r="FZ53" s="108">
        <v>47.917617913775338</v>
      </c>
      <c r="GA53" s="108">
        <v>37.979900429074263</v>
      </c>
      <c r="GB53" s="108">
        <v>28.033791528703695</v>
      </c>
      <c r="GC53" s="63">
        <v>66</v>
      </c>
      <c r="GD53" s="64">
        <v>76</v>
      </c>
      <c r="GE53" s="63">
        <v>94</v>
      </c>
      <c r="GF53" s="63">
        <v>87</v>
      </c>
      <c r="GG53" s="112">
        <v>28.705627125710944</v>
      </c>
      <c r="GH53" s="112">
        <v>32.87901923603345</v>
      </c>
      <c r="GI53" s="112">
        <v>35.237033098806116</v>
      </c>
      <c r="GJ53" s="112">
        <v>33.095149274701456</v>
      </c>
      <c r="GK53" s="63"/>
      <c r="GL53" s="63"/>
      <c r="GM53" s="63"/>
      <c r="GN53" s="64"/>
      <c r="GO53" s="63"/>
      <c r="GP53" s="63"/>
      <c r="GQ53" s="63"/>
      <c r="GR53" s="63"/>
      <c r="GS53" s="64"/>
      <c r="GT53" s="63"/>
      <c r="GU53" s="63"/>
      <c r="GV53" s="63"/>
      <c r="GW53" s="63"/>
      <c r="GX53" s="64"/>
      <c r="GY53" s="64"/>
      <c r="GZ53" s="64"/>
      <c r="HA53" s="64"/>
      <c r="HB53" s="64"/>
      <c r="HC53" s="64"/>
      <c r="HD53" s="65"/>
      <c r="HE53" s="65"/>
      <c r="HF53" s="65"/>
      <c r="HG53" s="65"/>
      <c r="HH53" s="65"/>
      <c r="HI53" s="66"/>
      <c r="HJ53" s="66"/>
      <c r="HK53" s="63"/>
      <c r="HL53" s="64"/>
      <c r="HM53" s="64"/>
      <c r="HN53" s="64"/>
      <c r="HO53" s="64"/>
      <c r="HP53" s="64"/>
      <c r="HQ53" s="64"/>
      <c r="HR53" s="64"/>
      <c r="HS53" s="64"/>
      <c r="HT53" s="64"/>
      <c r="HU53" s="39"/>
    </row>
    <row r="54" spans="1:229" x14ac:dyDescent="0.2">
      <c r="A54" s="37">
        <v>51</v>
      </c>
      <c r="B54" s="86" t="s">
        <v>109</v>
      </c>
      <c r="C54" s="93">
        <v>8511</v>
      </c>
      <c r="D54" s="93">
        <v>8389</v>
      </c>
      <c r="E54" s="93">
        <v>8416</v>
      </c>
      <c r="F54" s="93">
        <v>8725</v>
      </c>
      <c r="G54" s="93">
        <v>8630</v>
      </c>
      <c r="H54" s="43">
        <v>8417</v>
      </c>
      <c r="I54" s="43">
        <v>29</v>
      </c>
      <c r="J54" s="43">
        <v>19</v>
      </c>
      <c r="K54" s="43">
        <v>85</v>
      </c>
      <c r="L54" s="43">
        <v>246</v>
      </c>
      <c r="M54" s="44">
        <v>3711</v>
      </c>
      <c r="N54" s="44">
        <v>3682</v>
      </c>
      <c r="O54" s="45">
        <v>3660</v>
      </c>
      <c r="P54" s="45">
        <v>3717</v>
      </c>
      <c r="Q54" s="46">
        <v>3701</v>
      </c>
      <c r="R54" s="105">
        <v>35.05725190839695</v>
      </c>
      <c r="S54" s="105">
        <v>35.336166924265839</v>
      </c>
      <c r="T54" s="105">
        <v>36.418786692759298</v>
      </c>
      <c r="U54" s="105">
        <v>37.526447393729562</v>
      </c>
      <c r="V54" s="105">
        <v>37.984043588246742</v>
      </c>
      <c r="W54" s="105">
        <v>27.366412213740457</v>
      </c>
      <c r="X54" s="105">
        <v>26.738794435857805</v>
      </c>
      <c r="Y54" s="105">
        <v>28.277886497064578</v>
      </c>
      <c r="Z54" s="105">
        <v>30.294287362954414</v>
      </c>
      <c r="AA54" s="105">
        <v>29.947460595446586</v>
      </c>
      <c r="AB54" s="105">
        <v>62.423664122137403</v>
      </c>
      <c r="AC54" s="105">
        <v>62.074961360123645</v>
      </c>
      <c r="AD54" s="105">
        <v>64.696673189823869</v>
      </c>
      <c r="AE54" s="105">
        <v>67.820734756683976</v>
      </c>
      <c r="AF54" s="105">
        <v>67.93150418369332</v>
      </c>
      <c r="AG54" s="46">
        <v>4.3421785117832625</v>
      </c>
      <c r="AH54" s="46">
        <v>5.0430955437373921</v>
      </c>
      <c r="AI54" s="46">
        <v>5.9119278779472957</v>
      </c>
      <c r="AJ54" s="46">
        <v>5.5317747777411919</v>
      </c>
      <c r="AK54" s="45">
        <v>5.0886034791090884</v>
      </c>
      <c r="AL54" s="49">
        <v>114</v>
      </c>
      <c r="AM54" s="49">
        <v>124.58333333333333</v>
      </c>
      <c r="AN54" s="49">
        <v>161.25</v>
      </c>
      <c r="AO54" s="49">
        <v>124.58333333333333</v>
      </c>
      <c r="AP54" s="49">
        <v>221.58333333333334</v>
      </c>
      <c r="AQ54" s="49">
        <v>40417.065394743579</v>
      </c>
      <c r="AR54" s="49">
        <v>45981.295922076832</v>
      </c>
      <c r="AS54" s="49">
        <v>43464.28528103479</v>
      </c>
      <c r="AT54" s="49">
        <v>46599.794141027138</v>
      </c>
      <c r="AU54" s="49">
        <v>50384.009269988412</v>
      </c>
      <c r="AV54" s="101">
        <v>48123.723611231682</v>
      </c>
      <c r="AW54" s="101">
        <v>47641.896949879942</v>
      </c>
      <c r="AX54" s="102">
        <v>46906.10963610006</v>
      </c>
      <c r="AY54" s="102">
        <v>51848.534404006306</v>
      </c>
      <c r="AZ54" s="102">
        <v>52281</v>
      </c>
      <c r="BA54" s="99">
        <v>8.3482622715872452</v>
      </c>
      <c r="BB54" s="99">
        <v>8.8937356112928629</v>
      </c>
      <c r="BC54" s="99">
        <v>10.187311178247734</v>
      </c>
      <c r="BD54" s="99">
        <v>8.9166764052822245</v>
      </c>
      <c r="BE54" s="99">
        <v>9.3779453345900095</v>
      </c>
      <c r="BF54" s="99">
        <v>10.429447852760736</v>
      </c>
      <c r="BG54" s="99">
        <v>11.001737116386797</v>
      </c>
      <c r="BH54" s="48">
        <v>13.689482470784641</v>
      </c>
      <c r="BI54" s="48">
        <v>13.31923890063425</v>
      </c>
      <c r="BJ54" s="48">
        <v>13.545601726929304</v>
      </c>
      <c r="BK54" s="44">
        <v>1132</v>
      </c>
      <c r="BL54" s="44">
        <v>1140</v>
      </c>
      <c r="BM54" s="44">
        <v>1141</v>
      </c>
      <c r="BN54" s="42">
        <v>1110</v>
      </c>
      <c r="BO54" s="45">
        <v>31.978798586572438</v>
      </c>
      <c r="BP54" s="45">
        <v>32.982456140350877</v>
      </c>
      <c r="BQ54" s="45">
        <v>35.144609991235761</v>
      </c>
      <c r="BR54" s="46">
        <v>33.783783783783782</v>
      </c>
      <c r="BS54" s="105">
        <v>2.6501766784452299</v>
      </c>
      <c r="BT54" s="105">
        <v>2.5438596491228069</v>
      </c>
      <c r="BU54" s="105">
        <v>3.5933391761612619</v>
      </c>
      <c r="BV54" s="105">
        <v>1.6216216216216217</v>
      </c>
      <c r="BW54" s="45">
        <v>17.491166077738516</v>
      </c>
      <c r="BX54" s="45">
        <v>18.245614035087719</v>
      </c>
      <c r="BY54" s="45">
        <v>18.054338299737072</v>
      </c>
      <c r="BZ54" s="45">
        <v>17.207207207207208</v>
      </c>
      <c r="CA54" s="44">
        <v>91.735537190082638</v>
      </c>
      <c r="CB54" s="44">
        <v>91.743119266055047</v>
      </c>
      <c r="CC54" s="44">
        <v>91.666666666666671</v>
      </c>
      <c r="CD54" s="44">
        <v>92.73</v>
      </c>
      <c r="CE54" s="45">
        <v>3.3057851239669422</v>
      </c>
      <c r="CF54" s="45">
        <v>0.91743119266055051</v>
      </c>
      <c r="CG54" s="45">
        <v>2.7777777777777777</v>
      </c>
      <c r="CH54" s="45">
        <v>1.82</v>
      </c>
      <c r="CI54" s="48">
        <v>507</v>
      </c>
      <c r="CJ54" s="51">
        <v>444</v>
      </c>
      <c r="CK54" s="51">
        <v>462</v>
      </c>
      <c r="CL54" s="57">
        <v>451</v>
      </c>
      <c r="CM54" s="108">
        <v>10.531782301620273</v>
      </c>
      <c r="CN54" s="108">
        <v>9.4863686864370571</v>
      </c>
      <c r="CO54" s="108">
        <v>10.355493791186623</v>
      </c>
      <c r="CP54" s="108">
        <v>10.5692390616578</v>
      </c>
      <c r="CQ54" s="60">
        <v>12</v>
      </c>
      <c r="CR54" s="60">
        <v>13</v>
      </c>
      <c r="CS54" s="60">
        <v>19</v>
      </c>
      <c r="CT54" s="60">
        <v>17</v>
      </c>
      <c r="CU54" s="108">
        <v>2.4193548387096775</v>
      </c>
      <c r="CV54" s="108">
        <v>3.0660377358490565</v>
      </c>
      <c r="CW54" s="108">
        <v>4.2410714285714288</v>
      </c>
      <c r="CX54" s="108">
        <v>3.8636363636363638</v>
      </c>
      <c r="CY54" s="61">
        <v>35</v>
      </c>
      <c r="CZ54" s="57">
        <v>36</v>
      </c>
      <c r="DA54" s="60">
        <v>39</v>
      </c>
      <c r="DB54" s="60">
        <v>45</v>
      </c>
      <c r="DC54" s="108">
        <v>7.4309978768577496</v>
      </c>
      <c r="DD54" s="108">
        <v>9.2783505154639183</v>
      </c>
      <c r="DE54" s="108">
        <v>9.5588235294117645</v>
      </c>
      <c r="DF54" s="108">
        <v>11.538461538461538</v>
      </c>
      <c r="DG54" s="108">
        <v>85.510204081632651</v>
      </c>
      <c r="DH54" s="108">
        <v>86.04651162790698</v>
      </c>
      <c r="DI54" s="108">
        <v>84.547461368653416</v>
      </c>
      <c r="DJ54" s="108">
        <v>83.990719257540604</v>
      </c>
      <c r="DK54" s="108">
        <v>8.1135902636916839</v>
      </c>
      <c r="DL54" s="108">
        <v>10.983981693363845</v>
      </c>
      <c r="DM54" s="108">
        <v>13.289760348583878</v>
      </c>
      <c r="DN54" s="108">
        <v>17.073170731707318</v>
      </c>
      <c r="DO54" s="108">
        <v>9.0729783037475347</v>
      </c>
      <c r="DP54" s="108">
        <v>19.594594594594593</v>
      </c>
      <c r="DQ54" s="108">
        <v>24.675324675324674</v>
      </c>
      <c r="DR54" s="108">
        <v>33.481152993348118</v>
      </c>
      <c r="DS54" s="108">
        <v>17.832647462277091</v>
      </c>
      <c r="DT54" s="108">
        <v>23.867809057527541</v>
      </c>
      <c r="DU54" s="108">
        <v>26.727509778357238</v>
      </c>
      <c r="DV54" s="108">
        <v>28.507126781695423</v>
      </c>
      <c r="DW54" s="62">
        <v>87</v>
      </c>
      <c r="DX54" s="62">
        <v>1</v>
      </c>
      <c r="DY54" s="57">
        <v>0</v>
      </c>
      <c r="DZ54" s="60">
        <v>0</v>
      </c>
      <c r="EA54" s="60">
        <v>4</v>
      </c>
      <c r="EB54" s="60">
        <v>3</v>
      </c>
      <c r="EC54" s="60">
        <v>2</v>
      </c>
      <c r="ED54" s="57">
        <v>4</v>
      </c>
      <c r="EE54" s="60">
        <v>1</v>
      </c>
      <c r="EF54" s="60">
        <v>507</v>
      </c>
      <c r="EG54" s="60">
        <v>511</v>
      </c>
      <c r="EH54" s="60">
        <v>490</v>
      </c>
      <c r="EI54" s="60">
        <v>483</v>
      </c>
      <c r="EJ54" s="115">
        <v>108</v>
      </c>
      <c r="EK54" s="115">
        <v>0</v>
      </c>
      <c r="EL54" s="115">
        <v>0</v>
      </c>
      <c r="EM54" s="115">
        <v>0</v>
      </c>
      <c r="EN54" s="115">
        <v>0</v>
      </c>
      <c r="EO54" s="108">
        <v>1053.1782301620274</v>
      </c>
      <c r="EP54" s="108">
        <v>1091.7870267498504</v>
      </c>
      <c r="EQ54" s="108">
        <v>1098.3099475500965</v>
      </c>
      <c r="ER54" s="108">
        <v>1131.916289751822</v>
      </c>
      <c r="ES54" s="108">
        <v>691.50264911992258</v>
      </c>
      <c r="ET54" s="108">
        <v>668.77724650775849</v>
      </c>
      <c r="EU54" s="108">
        <v>626.79875564149506</v>
      </c>
      <c r="EV54" s="108">
        <v>605.56071658601445</v>
      </c>
      <c r="EW54" s="108">
        <v>885.75358486882851</v>
      </c>
      <c r="EX54" s="108">
        <v>878.97932249830831</v>
      </c>
      <c r="EY54" s="108">
        <v>779.60627104069658</v>
      </c>
      <c r="EZ54" s="108">
        <v>738.66392342905806</v>
      </c>
      <c r="FA54" s="108">
        <v>541.33302806532686</v>
      </c>
      <c r="FB54" s="108">
        <v>511.86463160029024</v>
      </c>
      <c r="FC54" s="108">
        <v>506.17122124703008</v>
      </c>
      <c r="FD54" s="108">
        <v>493.24254164416215</v>
      </c>
      <c r="FE54" s="57">
        <v>130</v>
      </c>
      <c r="FF54" s="62">
        <v>112</v>
      </c>
      <c r="FG54" s="62">
        <v>148</v>
      </c>
      <c r="FH54" s="62">
        <v>108</v>
      </c>
      <c r="FI54" s="108">
        <v>176.66576875169827</v>
      </c>
      <c r="FJ54" s="108">
        <v>147.8646325002195</v>
      </c>
      <c r="FK54" s="108">
        <v>201.67980394395533</v>
      </c>
      <c r="FL54" s="108">
        <v>140.40369174080112</v>
      </c>
      <c r="FM54" s="62">
        <v>178</v>
      </c>
      <c r="FN54" s="62">
        <v>187</v>
      </c>
      <c r="FO54" s="57">
        <v>133</v>
      </c>
      <c r="FP54" s="62">
        <v>119</v>
      </c>
      <c r="FQ54" s="108">
        <v>240.06091992167987</v>
      </c>
      <c r="FR54" s="108">
        <v>237.3935078777524</v>
      </c>
      <c r="FS54" s="108">
        <v>146.12771917696807</v>
      </c>
      <c r="FT54" s="108">
        <v>136.10510882088417</v>
      </c>
      <c r="FU54" s="60">
        <v>48</v>
      </c>
      <c r="FV54" s="60">
        <v>48</v>
      </c>
      <c r="FW54" s="60">
        <v>26</v>
      </c>
      <c r="FX54" s="60">
        <v>28</v>
      </c>
      <c r="FY54" s="108">
        <v>60.652155539854007</v>
      </c>
      <c r="FZ54" s="108">
        <v>58.708097448941274</v>
      </c>
      <c r="GA54" s="108">
        <v>30.16865146344815</v>
      </c>
      <c r="GB54" s="108">
        <v>30.559147059762225</v>
      </c>
      <c r="GC54" s="63">
        <v>18</v>
      </c>
      <c r="GD54" s="64">
        <v>16</v>
      </c>
      <c r="GE54" s="63">
        <v>28</v>
      </c>
      <c r="GF54" s="63">
        <v>23</v>
      </c>
      <c r="GG54" s="112" t="s">
        <v>39</v>
      </c>
      <c r="GH54" s="112" t="s">
        <v>39</v>
      </c>
      <c r="GI54" s="112">
        <v>51.089009055024064</v>
      </c>
      <c r="GJ54" s="112">
        <v>38.78542746648732</v>
      </c>
      <c r="GK54" s="63"/>
      <c r="GL54" s="63"/>
      <c r="GM54" s="63"/>
      <c r="GN54" s="64"/>
      <c r="GO54" s="63"/>
      <c r="GP54" s="63"/>
      <c r="GQ54" s="63"/>
      <c r="GR54" s="63"/>
      <c r="GS54" s="64"/>
      <c r="GT54" s="63"/>
      <c r="GU54" s="63"/>
      <c r="GV54" s="63"/>
      <c r="GW54" s="63"/>
      <c r="GX54" s="64"/>
      <c r="GY54" s="64"/>
      <c r="GZ54" s="64"/>
      <c r="HA54" s="64"/>
      <c r="HB54" s="64"/>
      <c r="HC54" s="64"/>
      <c r="HD54" s="65"/>
      <c r="HE54" s="65"/>
      <c r="HF54" s="65"/>
      <c r="HG54" s="65"/>
      <c r="HH54" s="65"/>
      <c r="HI54" s="66"/>
      <c r="HJ54" s="66"/>
      <c r="HK54" s="63"/>
      <c r="HL54" s="64"/>
      <c r="HM54" s="64"/>
      <c r="HN54" s="64"/>
      <c r="HO54" s="64"/>
      <c r="HP54" s="64"/>
      <c r="HQ54" s="64"/>
      <c r="HR54" s="64"/>
      <c r="HS54" s="64"/>
      <c r="HT54" s="64"/>
      <c r="HU54" s="39"/>
    </row>
    <row r="55" spans="1:229" ht="21" customHeight="1" x14ac:dyDescent="0.2">
      <c r="A55" s="37">
        <v>52</v>
      </c>
      <c r="B55" s="86" t="s">
        <v>110</v>
      </c>
      <c r="C55" s="93">
        <v>31680</v>
      </c>
      <c r="D55" s="93">
        <v>32027</v>
      </c>
      <c r="E55" s="93">
        <v>32224</v>
      </c>
      <c r="F55" s="93">
        <v>32727</v>
      </c>
      <c r="G55" s="93">
        <v>32820</v>
      </c>
      <c r="H55" s="43">
        <v>31023</v>
      </c>
      <c r="I55" s="43">
        <v>743</v>
      </c>
      <c r="J55" s="43">
        <v>148</v>
      </c>
      <c r="K55" s="43">
        <v>488</v>
      </c>
      <c r="L55" s="43">
        <v>1249</v>
      </c>
      <c r="M55" s="44">
        <v>11948</v>
      </c>
      <c r="N55" s="44">
        <v>12023</v>
      </c>
      <c r="O55" s="45">
        <v>12102</v>
      </c>
      <c r="P55" s="45">
        <v>12201</v>
      </c>
      <c r="Q55" s="46">
        <v>12318</v>
      </c>
      <c r="R55" s="105">
        <v>17.419529348120097</v>
      </c>
      <c r="S55" s="105">
        <v>18.284738757356575</v>
      </c>
      <c r="T55" s="105">
        <v>18.425175701687632</v>
      </c>
      <c r="U55" s="105">
        <v>17.290544716164916</v>
      </c>
      <c r="V55" s="105">
        <v>17.660782673768544</v>
      </c>
      <c r="W55" s="105">
        <v>25.398972139572628</v>
      </c>
      <c r="X55" s="105">
        <v>25.598634260299203</v>
      </c>
      <c r="Y55" s="105">
        <v>25.824790724741483</v>
      </c>
      <c r="Z55" s="105">
        <v>27.174009005032225</v>
      </c>
      <c r="AA55" s="105">
        <v>26.812519258704935</v>
      </c>
      <c r="AB55" s="105">
        <v>42.818501487692721</v>
      </c>
      <c r="AC55" s="105">
        <v>43.883373017655778</v>
      </c>
      <c r="AD55" s="105">
        <v>44.249966426429118</v>
      </c>
      <c r="AE55" s="105">
        <v>44.464553721197142</v>
      </c>
      <c r="AF55" s="105">
        <v>44.473301932473476</v>
      </c>
      <c r="AG55" s="46">
        <v>3.681045209456657</v>
      </c>
      <c r="AH55" s="46">
        <v>4.3072289156626509</v>
      </c>
      <c r="AI55" s="46">
        <v>6.5013002600520107</v>
      </c>
      <c r="AJ55" s="46">
        <v>6.0087327577652081</v>
      </c>
      <c r="AK55" s="45">
        <v>5.1543361097501226</v>
      </c>
      <c r="AL55" s="49">
        <v>559.66666666666663</v>
      </c>
      <c r="AM55" s="49">
        <v>561.16666666666663</v>
      </c>
      <c r="AN55" s="49">
        <v>769.83333333333337</v>
      </c>
      <c r="AO55" s="49">
        <v>561.16666666666663</v>
      </c>
      <c r="AP55" s="49">
        <v>1102.1666666666667</v>
      </c>
      <c r="AQ55" s="49">
        <v>37607.416881942409</v>
      </c>
      <c r="AR55" s="49">
        <v>38822.799443801676</v>
      </c>
      <c r="AS55" s="49">
        <v>36935.881279871261</v>
      </c>
      <c r="AT55" s="49">
        <v>37734.651859646823</v>
      </c>
      <c r="AU55" s="49">
        <v>38630.408287629492</v>
      </c>
      <c r="AV55" s="101">
        <v>63962.817475475298</v>
      </c>
      <c r="AW55" s="101">
        <v>58020.498390640169</v>
      </c>
      <c r="AX55" s="102">
        <v>59891.606380251418</v>
      </c>
      <c r="AY55" s="102">
        <v>59897.838330520601</v>
      </c>
      <c r="AZ55" s="102">
        <v>55360</v>
      </c>
      <c r="BA55" s="99">
        <v>9.2389613083918256</v>
      </c>
      <c r="BB55" s="99">
        <v>10.189532851218425</v>
      </c>
      <c r="BC55" s="99">
        <v>9.0995550422879656</v>
      </c>
      <c r="BD55" s="99">
        <v>9.0112477112215537</v>
      </c>
      <c r="BE55" s="99">
        <v>10.281197948985923</v>
      </c>
      <c r="BF55" s="99">
        <v>9.5160814399527887</v>
      </c>
      <c r="BG55" s="99">
        <v>9.5672652340300264</v>
      </c>
      <c r="BH55" s="48">
        <v>9.5636844424856768</v>
      </c>
      <c r="BI55" s="48">
        <v>10.968543046357615</v>
      </c>
      <c r="BJ55" s="48">
        <v>12.010078387458007</v>
      </c>
      <c r="BK55" s="44">
        <v>2313</v>
      </c>
      <c r="BL55" s="44">
        <v>2330</v>
      </c>
      <c r="BM55" s="44">
        <v>2377</v>
      </c>
      <c r="BN55" s="42">
        <v>2430</v>
      </c>
      <c r="BO55" s="45">
        <v>32.338953739731949</v>
      </c>
      <c r="BP55" s="45">
        <v>36.094420600858371</v>
      </c>
      <c r="BQ55" s="45">
        <v>38.535969709718131</v>
      </c>
      <c r="BR55" s="46">
        <v>39.300411522633745</v>
      </c>
      <c r="BS55" s="105">
        <v>3.3290099437959362</v>
      </c>
      <c r="BT55" s="105">
        <v>3.7768240343347639</v>
      </c>
      <c r="BU55" s="105">
        <v>3.8283550694152293</v>
      </c>
      <c r="BV55" s="105">
        <v>3.4156378600823047</v>
      </c>
      <c r="BW55" s="45">
        <v>19.671422395157805</v>
      </c>
      <c r="BX55" s="45">
        <v>20.214592274678111</v>
      </c>
      <c r="BY55" s="45">
        <v>21.75010517458982</v>
      </c>
      <c r="BZ55" s="45">
        <v>20.2880658436214</v>
      </c>
      <c r="CA55" s="44">
        <v>83.5</v>
      </c>
      <c r="CB55" s="44">
        <v>87.142857142857139</v>
      </c>
      <c r="CC55" s="44">
        <v>82.8125</v>
      </c>
      <c r="CD55" s="44">
        <v>86.63</v>
      </c>
      <c r="CE55" s="45">
        <v>1</v>
      </c>
      <c r="CF55" s="45">
        <v>4.7619047619047619</v>
      </c>
      <c r="CG55" s="45">
        <v>5.208333333333333</v>
      </c>
      <c r="CH55" s="45">
        <v>2.91</v>
      </c>
      <c r="CI55" s="48">
        <v>1703</v>
      </c>
      <c r="CJ55" s="51">
        <v>1764</v>
      </c>
      <c r="CK55" s="51">
        <v>1970</v>
      </c>
      <c r="CL55" s="57">
        <v>2021</v>
      </c>
      <c r="CM55" s="108">
        <v>11.590947762463841</v>
      </c>
      <c r="CN55" s="108">
        <v>11.849742046431642</v>
      </c>
      <c r="CO55" s="108">
        <v>12.793038508994091</v>
      </c>
      <c r="CP55" s="108">
        <v>12.515636805013687</v>
      </c>
      <c r="CQ55" s="60">
        <v>68</v>
      </c>
      <c r="CR55" s="60">
        <v>67</v>
      </c>
      <c r="CS55" s="60">
        <v>84</v>
      </c>
      <c r="CT55" s="60">
        <v>80</v>
      </c>
      <c r="CU55" s="108">
        <v>4.101326899879373</v>
      </c>
      <c r="CV55" s="108">
        <v>3.9273153575615476</v>
      </c>
      <c r="CW55" s="108">
        <v>4.4420941300898997</v>
      </c>
      <c r="CX55" s="108">
        <v>4.087889626980072</v>
      </c>
      <c r="CY55" s="61">
        <v>99</v>
      </c>
      <c r="CZ55" s="57">
        <v>102</v>
      </c>
      <c r="DA55" s="60">
        <v>154</v>
      </c>
      <c r="DB55" s="60">
        <v>132</v>
      </c>
      <c r="DC55" s="108">
        <v>6.3299232736572888</v>
      </c>
      <c r="DD55" s="108">
        <v>6.2692071296865395</v>
      </c>
      <c r="DE55" s="108">
        <v>8.5555555555555554</v>
      </c>
      <c r="DF55" s="108">
        <v>6.9400630914826502</v>
      </c>
      <c r="DG55" s="108">
        <v>89.059618930547018</v>
      </c>
      <c r="DH55" s="108">
        <v>87.878787878787875</v>
      </c>
      <c r="DI55" s="108">
        <v>89.913397860417732</v>
      </c>
      <c r="DJ55" s="108">
        <v>90.710382513661202</v>
      </c>
      <c r="DK55" s="108">
        <v>10.736579275905118</v>
      </c>
      <c r="DL55" s="108">
        <v>12.002275312855518</v>
      </c>
      <c r="DM55" s="108">
        <v>9.1556459816887088</v>
      </c>
      <c r="DN55" s="108">
        <v>7.6808721506442019</v>
      </c>
      <c r="DO55" s="108">
        <v>21.021726365237814</v>
      </c>
      <c r="DP55" s="108">
        <v>21.371882086167801</v>
      </c>
      <c r="DQ55" s="108">
        <v>26.142131979695431</v>
      </c>
      <c r="DR55" s="108">
        <v>29.85148514851485</v>
      </c>
      <c r="DS55" s="108">
        <v>18.341670456268002</v>
      </c>
      <c r="DT55" s="108">
        <v>14.921465968586388</v>
      </c>
      <c r="DU55" s="108">
        <v>16.631744368779465</v>
      </c>
      <c r="DV55" s="108">
        <v>13.376570733684638</v>
      </c>
      <c r="DW55" s="62">
        <v>368</v>
      </c>
      <c r="DX55" s="62">
        <v>19</v>
      </c>
      <c r="DY55" s="57">
        <v>1</v>
      </c>
      <c r="DZ55" s="60">
        <v>6</v>
      </c>
      <c r="EA55" s="60">
        <v>30</v>
      </c>
      <c r="EB55" s="60">
        <v>15</v>
      </c>
      <c r="EC55" s="60">
        <v>9</v>
      </c>
      <c r="ED55" s="57">
        <v>5</v>
      </c>
      <c r="EE55" s="60">
        <v>14</v>
      </c>
      <c r="EF55" s="60">
        <v>887</v>
      </c>
      <c r="EG55" s="60">
        <v>880</v>
      </c>
      <c r="EH55" s="60">
        <v>977</v>
      </c>
      <c r="EI55" s="60">
        <v>1014</v>
      </c>
      <c r="EJ55" s="115">
        <v>190</v>
      </c>
      <c r="EK55" s="115">
        <v>0</v>
      </c>
      <c r="EL55" s="115">
        <v>0</v>
      </c>
      <c r="EM55" s="115">
        <v>0</v>
      </c>
      <c r="EN55" s="115">
        <v>1</v>
      </c>
      <c r="EO55" s="108">
        <v>603.70937553173383</v>
      </c>
      <c r="EP55" s="108">
        <v>591.1435941530525</v>
      </c>
      <c r="EQ55" s="108">
        <v>634.45678290798105</v>
      </c>
      <c r="ER55" s="108">
        <v>627.94931817337351</v>
      </c>
      <c r="ES55" s="108">
        <v>655.18182579004156</v>
      </c>
      <c r="ET55" s="108">
        <v>663.41589687624446</v>
      </c>
      <c r="EU55" s="108">
        <v>656.93658428191338</v>
      </c>
      <c r="EV55" s="108">
        <v>594.49663152196149</v>
      </c>
      <c r="EW55" s="108">
        <v>820.10040091275323</v>
      </c>
      <c r="EX55" s="108">
        <v>832.47731118654087</v>
      </c>
      <c r="EY55" s="108">
        <v>760.62279780977622</v>
      </c>
      <c r="EZ55" s="108">
        <v>706.48411690085129</v>
      </c>
      <c r="FA55" s="108">
        <v>533.15000459007899</v>
      </c>
      <c r="FB55" s="108">
        <v>543.43058048217449</v>
      </c>
      <c r="FC55" s="108">
        <v>579.29188674346631</v>
      </c>
      <c r="FD55" s="108">
        <v>506.30693045872874</v>
      </c>
      <c r="FE55" s="57">
        <v>206</v>
      </c>
      <c r="FF55" s="62">
        <v>222</v>
      </c>
      <c r="FG55" s="62">
        <v>260</v>
      </c>
      <c r="FH55" s="62">
        <v>240</v>
      </c>
      <c r="FI55" s="108">
        <v>158.3900599446913</v>
      </c>
      <c r="FJ55" s="108">
        <v>172.09354026231233</v>
      </c>
      <c r="FK55" s="108">
        <v>178.60647844007968</v>
      </c>
      <c r="FL55" s="108">
        <v>141.49605961373513</v>
      </c>
      <c r="FM55" s="62">
        <v>288</v>
      </c>
      <c r="FN55" s="62">
        <v>226</v>
      </c>
      <c r="FO55" s="57">
        <v>227</v>
      </c>
      <c r="FP55" s="62">
        <v>197</v>
      </c>
      <c r="FQ55" s="108">
        <v>213.33622023040255</v>
      </c>
      <c r="FR55" s="108">
        <v>170.6523558338381</v>
      </c>
      <c r="FS55" s="108">
        <v>152.02980600155286</v>
      </c>
      <c r="FT55" s="108">
        <v>114.76238664525161</v>
      </c>
      <c r="FU55" s="60">
        <v>81</v>
      </c>
      <c r="FV55" s="60">
        <v>63</v>
      </c>
      <c r="FW55" s="60">
        <v>62</v>
      </c>
      <c r="FX55" s="60">
        <v>82</v>
      </c>
      <c r="FY55" s="108">
        <v>58.925475431584275</v>
      </c>
      <c r="FZ55" s="108">
        <v>47.381751542745043</v>
      </c>
      <c r="GA55" s="108">
        <v>42.061858978319101</v>
      </c>
      <c r="GB55" s="108">
        <v>47.923166973101559</v>
      </c>
      <c r="GC55" s="63">
        <v>25</v>
      </c>
      <c r="GD55" s="64">
        <v>37</v>
      </c>
      <c r="GE55" s="63">
        <v>37</v>
      </c>
      <c r="GF55" s="63">
        <v>41</v>
      </c>
      <c r="GG55" s="112">
        <v>17.130032367887445</v>
      </c>
      <c r="GH55" s="112">
        <v>25.105224549528305</v>
      </c>
      <c r="GI55" s="112">
        <v>23.592584266426151</v>
      </c>
      <c r="GJ55" s="112">
        <v>24.213687484260848</v>
      </c>
      <c r="GK55" s="63"/>
      <c r="GL55" s="63"/>
      <c r="GM55" s="63"/>
      <c r="GN55" s="64"/>
      <c r="GO55" s="63"/>
      <c r="GP55" s="63"/>
      <c r="GQ55" s="63"/>
      <c r="GR55" s="63"/>
      <c r="GS55" s="64"/>
      <c r="GT55" s="63"/>
      <c r="GU55" s="63"/>
      <c r="GV55" s="63"/>
      <c r="GW55" s="63"/>
      <c r="GX55" s="64"/>
      <c r="GY55" s="64"/>
      <c r="GZ55" s="64"/>
      <c r="HA55" s="64"/>
      <c r="HB55" s="64"/>
      <c r="HC55" s="64"/>
      <c r="HD55" s="65"/>
      <c r="HE55" s="65"/>
      <c r="HF55" s="65"/>
      <c r="HG55" s="65"/>
      <c r="HH55" s="65"/>
      <c r="HI55" s="66"/>
      <c r="HJ55" s="66"/>
      <c r="HK55" s="63"/>
      <c r="HL55" s="64"/>
      <c r="HM55" s="64"/>
      <c r="HN55" s="64"/>
      <c r="HO55" s="64"/>
      <c r="HP55" s="64"/>
      <c r="HQ55" s="64"/>
      <c r="HR55" s="64"/>
      <c r="HS55" s="64"/>
      <c r="HT55" s="64"/>
      <c r="HU55" s="39"/>
    </row>
    <row r="56" spans="1:229" x14ac:dyDescent="0.2">
      <c r="A56" s="37">
        <v>53</v>
      </c>
      <c r="B56" s="86" t="s">
        <v>111</v>
      </c>
      <c r="C56" s="93">
        <v>20128</v>
      </c>
      <c r="D56" s="93">
        <v>20365</v>
      </c>
      <c r="E56" s="93">
        <v>20558</v>
      </c>
      <c r="F56" s="93">
        <v>21378</v>
      </c>
      <c r="G56" s="93">
        <v>21397</v>
      </c>
      <c r="H56" s="43">
        <v>18773</v>
      </c>
      <c r="I56" s="43">
        <v>813</v>
      </c>
      <c r="J56" s="43">
        <v>216</v>
      </c>
      <c r="K56" s="43">
        <v>1290</v>
      </c>
      <c r="L56" s="43">
        <v>4977</v>
      </c>
      <c r="M56" s="44">
        <v>7949</v>
      </c>
      <c r="N56" s="44">
        <v>7988</v>
      </c>
      <c r="O56" s="45">
        <v>8065</v>
      </c>
      <c r="P56" s="45">
        <v>7946</v>
      </c>
      <c r="Q56" s="46">
        <v>7970</v>
      </c>
      <c r="R56" s="105">
        <v>27.472350044401388</v>
      </c>
      <c r="S56" s="105">
        <v>27.507830696329613</v>
      </c>
      <c r="T56" s="105">
        <v>27.058823529411764</v>
      </c>
      <c r="U56" s="105">
        <v>25.541448842419715</v>
      </c>
      <c r="V56" s="105">
        <v>25.412541254125411</v>
      </c>
      <c r="W56" s="105">
        <v>35.020586098328891</v>
      </c>
      <c r="X56" s="105">
        <v>36.053329049875515</v>
      </c>
      <c r="Y56" s="105">
        <v>38.597904915390814</v>
      </c>
      <c r="Z56" s="105">
        <v>34.115011202389844</v>
      </c>
      <c r="AA56" s="105">
        <v>35.081008100810081</v>
      </c>
      <c r="AB56" s="105">
        <v>62.492936142730279</v>
      </c>
      <c r="AC56" s="105">
        <v>63.561159746205121</v>
      </c>
      <c r="AD56" s="105">
        <v>65.656728444802582</v>
      </c>
      <c r="AE56" s="105">
        <v>59.656460044809556</v>
      </c>
      <c r="AF56" s="105">
        <v>60.493549354935496</v>
      </c>
      <c r="AG56" s="46">
        <v>3.5166412487664842</v>
      </c>
      <c r="AH56" s="46">
        <v>4.1201179730092052</v>
      </c>
      <c r="AI56" s="46">
        <v>5.4314197318666206</v>
      </c>
      <c r="AJ56" s="46">
        <v>5.2465986394557822</v>
      </c>
      <c r="AK56" s="45">
        <v>5.0937876441232142</v>
      </c>
      <c r="AL56" s="49">
        <v>483.83333333333331</v>
      </c>
      <c r="AM56" s="49">
        <v>502.25</v>
      </c>
      <c r="AN56" s="49">
        <v>676.58333333333337</v>
      </c>
      <c r="AO56" s="49">
        <v>502.25</v>
      </c>
      <c r="AP56" s="49">
        <v>898.33333333333337</v>
      </c>
      <c r="AQ56" s="49">
        <v>38254.95809486178</v>
      </c>
      <c r="AR56" s="49">
        <v>39741.014798775985</v>
      </c>
      <c r="AS56" s="49">
        <v>37692.617266223337</v>
      </c>
      <c r="AT56" s="49">
        <v>39476.447097767901</v>
      </c>
      <c r="AU56" s="49">
        <v>41549.376080758986</v>
      </c>
      <c r="AV56" s="101">
        <v>45642.627195647765</v>
      </c>
      <c r="AW56" s="101">
        <v>47535.331885760999</v>
      </c>
      <c r="AX56" s="102">
        <v>46377.672788376825</v>
      </c>
      <c r="AY56" s="102">
        <v>46190.398810397332</v>
      </c>
      <c r="AZ56" s="102">
        <v>44945</v>
      </c>
      <c r="BA56" s="99">
        <v>15.035053210268826</v>
      </c>
      <c r="BB56" s="99">
        <v>13.3751931031046</v>
      </c>
      <c r="BC56" s="99">
        <v>12.064025293943287</v>
      </c>
      <c r="BD56" s="99">
        <v>13.805402320715237</v>
      </c>
      <c r="BE56" s="99">
        <v>14.522644109680179</v>
      </c>
      <c r="BF56" s="99">
        <v>19.466460467813647</v>
      </c>
      <c r="BG56" s="99">
        <v>15.259009009009009</v>
      </c>
      <c r="BH56" s="48">
        <v>17.181398651047214</v>
      </c>
      <c r="BI56" s="48">
        <v>18.666419019316493</v>
      </c>
      <c r="BJ56" s="48">
        <v>20.779934090076896</v>
      </c>
      <c r="BK56" s="44">
        <v>3471</v>
      </c>
      <c r="BL56" s="44">
        <v>3595</v>
      </c>
      <c r="BM56" s="44">
        <v>3583</v>
      </c>
      <c r="BN56" s="42">
        <v>3656</v>
      </c>
      <c r="BO56" s="45">
        <v>51.022760011524056</v>
      </c>
      <c r="BP56" s="45">
        <v>52.823365785813628</v>
      </c>
      <c r="BQ56" s="45">
        <v>56.712252302539774</v>
      </c>
      <c r="BR56" s="46">
        <v>58.807439824945298</v>
      </c>
      <c r="BS56" s="105">
        <v>8.7294727744165943</v>
      </c>
      <c r="BT56" s="105">
        <v>10.542420027816412</v>
      </c>
      <c r="BU56" s="105">
        <v>13.591962042980743</v>
      </c>
      <c r="BV56" s="105">
        <v>15.153172866520787</v>
      </c>
      <c r="BW56" s="45">
        <v>16.738692019590896</v>
      </c>
      <c r="BX56" s="45">
        <v>15.215577190542421</v>
      </c>
      <c r="BY56" s="45">
        <v>17.220206530840077</v>
      </c>
      <c r="BZ56" s="45">
        <v>16.657549234135669</v>
      </c>
      <c r="CA56" s="44">
        <v>78.776978417266193</v>
      </c>
      <c r="CB56" s="44">
        <v>77.377049180327873</v>
      </c>
      <c r="CC56" s="44">
        <v>76</v>
      </c>
      <c r="CD56" s="44">
        <v>79.260000000000005</v>
      </c>
      <c r="CE56" s="45">
        <v>8.2733812949640289</v>
      </c>
      <c r="CF56" s="45">
        <v>9.5081967213114762</v>
      </c>
      <c r="CG56" s="45">
        <v>9.454545454545455</v>
      </c>
      <c r="CH56" s="45">
        <v>9.36</v>
      </c>
      <c r="CI56" s="48">
        <v>1444</v>
      </c>
      <c r="CJ56" s="51">
        <v>1475</v>
      </c>
      <c r="CK56" s="51">
        <v>1620</v>
      </c>
      <c r="CL56" s="57">
        <v>1818</v>
      </c>
      <c r="CM56" s="108">
        <v>14.279498437561806</v>
      </c>
      <c r="CN56" s="108">
        <v>14.789784520359769</v>
      </c>
      <c r="CO56" s="108">
        <v>15.804878048780488</v>
      </c>
      <c r="CP56" s="108">
        <v>17.510064916302277</v>
      </c>
      <c r="CQ56" s="60">
        <v>63</v>
      </c>
      <c r="CR56" s="60">
        <v>59</v>
      </c>
      <c r="CS56" s="60">
        <v>95</v>
      </c>
      <c r="CT56" s="60">
        <v>71</v>
      </c>
      <c r="CU56" s="108">
        <v>4.4712562100780699</v>
      </c>
      <c r="CV56" s="108">
        <v>4.1490857946554147</v>
      </c>
      <c r="CW56" s="108">
        <v>6.0664112388250322</v>
      </c>
      <c r="CX56" s="108">
        <v>4.0135669869983044</v>
      </c>
      <c r="CY56" s="61">
        <v>108</v>
      </c>
      <c r="CZ56" s="57">
        <v>123</v>
      </c>
      <c r="DA56" s="60">
        <v>150</v>
      </c>
      <c r="DB56" s="60">
        <v>171</v>
      </c>
      <c r="DC56" s="108">
        <v>8.0777860882572927</v>
      </c>
      <c r="DD56" s="108">
        <v>9.3821510297482842</v>
      </c>
      <c r="DE56" s="108">
        <v>10.474860335195531</v>
      </c>
      <c r="DF56" s="108">
        <v>11.430481283422459</v>
      </c>
      <c r="DG56" s="108">
        <v>81.721947776993645</v>
      </c>
      <c r="DH56" s="108">
        <v>78.536922015182881</v>
      </c>
      <c r="DI56" s="108">
        <v>79.396984924623112</v>
      </c>
      <c r="DJ56" s="108">
        <v>78.993055555555557</v>
      </c>
      <c r="DK56" s="108">
        <v>5.5909412597310686</v>
      </c>
      <c r="DL56" s="108">
        <v>5.3351573187414498</v>
      </c>
      <c r="DM56" s="108">
        <v>6.439628482972136</v>
      </c>
      <c r="DN56" s="108">
        <v>8.0485115766262396</v>
      </c>
      <c r="DO56" s="108">
        <v>21.745152354570639</v>
      </c>
      <c r="DP56" s="108">
        <v>33.559322033898304</v>
      </c>
      <c r="DQ56" s="108">
        <v>43.333333333333336</v>
      </c>
      <c r="DR56" s="108">
        <v>49.174917491749177</v>
      </c>
      <c r="DS56" s="108">
        <v>47.191661841343368</v>
      </c>
      <c r="DT56" s="108">
        <v>45.07868765004001</v>
      </c>
      <c r="DU56" s="108">
        <v>51.955154498222583</v>
      </c>
      <c r="DV56" s="108">
        <v>63.868065967016491</v>
      </c>
      <c r="DW56" s="62">
        <v>237</v>
      </c>
      <c r="DX56" s="62">
        <v>23</v>
      </c>
      <c r="DY56" s="57">
        <v>4</v>
      </c>
      <c r="DZ56" s="60">
        <v>31</v>
      </c>
      <c r="EA56" s="60">
        <v>154</v>
      </c>
      <c r="EB56" s="60">
        <v>6</v>
      </c>
      <c r="EC56" s="60">
        <v>5</v>
      </c>
      <c r="ED56" s="57">
        <v>7</v>
      </c>
      <c r="EE56" s="60">
        <v>9</v>
      </c>
      <c r="EF56" s="60">
        <v>1036</v>
      </c>
      <c r="EG56" s="60">
        <v>985</v>
      </c>
      <c r="EH56" s="60">
        <v>916</v>
      </c>
      <c r="EI56" s="60">
        <v>872</v>
      </c>
      <c r="EJ56" s="115">
        <v>151</v>
      </c>
      <c r="EK56" s="115">
        <v>0</v>
      </c>
      <c r="EL56" s="115">
        <v>1</v>
      </c>
      <c r="EM56" s="115">
        <v>4</v>
      </c>
      <c r="EN56" s="115">
        <v>7</v>
      </c>
      <c r="EO56" s="108">
        <v>1024.484790949725</v>
      </c>
      <c r="EP56" s="108">
        <v>987.6567967833472</v>
      </c>
      <c r="EQ56" s="108">
        <v>893.65853658536582</v>
      </c>
      <c r="ER56" s="108">
        <v>839.86670005586268</v>
      </c>
      <c r="ES56" s="108">
        <v>706.60336599335983</v>
      </c>
      <c r="ET56" s="108">
        <v>667.44737378506863</v>
      </c>
      <c r="EU56" s="108">
        <v>597.23868834021607</v>
      </c>
      <c r="EV56" s="108">
        <v>573.81993198246846</v>
      </c>
      <c r="EW56" s="108">
        <v>908.17595578368866</v>
      </c>
      <c r="EX56" s="108">
        <v>862.86829138380062</v>
      </c>
      <c r="EY56" s="108">
        <v>759.45992809129518</v>
      </c>
      <c r="EZ56" s="108">
        <v>672.66315091536546</v>
      </c>
      <c r="FA56" s="108">
        <v>564.15996583066749</v>
      </c>
      <c r="FB56" s="108">
        <v>533.5822883292451</v>
      </c>
      <c r="FC56" s="108">
        <v>488.54969969374417</v>
      </c>
      <c r="FD56" s="108">
        <v>495.15043358796203</v>
      </c>
      <c r="FE56" s="57">
        <v>256</v>
      </c>
      <c r="FF56" s="62">
        <v>232</v>
      </c>
      <c r="FG56" s="62">
        <v>211</v>
      </c>
      <c r="FH56" s="62">
        <v>205</v>
      </c>
      <c r="FI56" s="108">
        <v>184.81350110473861</v>
      </c>
      <c r="FJ56" s="108">
        <v>170.73077132967757</v>
      </c>
      <c r="FK56" s="108">
        <v>150.37543691961307</v>
      </c>
      <c r="FL56" s="108">
        <v>145.01490256250779</v>
      </c>
      <c r="FM56" s="62">
        <v>340</v>
      </c>
      <c r="FN56" s="62">
        <v>293</v>
      </c>
      <c r="FO56" s="57">
        <v>231</v>
      </c>
      <c r="FP56" s="62">
        <v>161</v>
      </c>
      <c r="FQ56" s="108">
        <v>225.03627455962192</v>
      </c>
      <c r="FR56" s="108">
        <v>187.41862737368751</v>
      </c>
      <c r="FS56" s="108">
        <v>143.94857478121486</v>
      </c>
      <c r="FT56" s="108">
        <v>99.492830412435779</v>
      </c>
      <c r="FU56" s="60">
        <v>88</v>
      </c>
      <c r="FV56" s="60">
        <v>81</v>
      </c>
      <c r="FW56" s="60">
        <v>64</v>
      </c>
      <c r="FX56" s="60">
        <v>40</v>
      </c>
      <c r="FY56" s="108">
        <v>55.014036168944443</v>
      </c>
      <c r="FZ56" s="108">
        <v>50.020574208554642</v>
      </c>
      <c r="GA56" s="108">
        <v>39.344544583497495</v>
      </c>
      <c r="GB56" s="108">
        <v>25.06907516593553</v>
      </c>
      <c r="GC56" s="63">
        <v>43</v>
      </c>
      <c r="GD56" s="64">
        <v>35</v>
      </c>
      <c r="GE56" s="63">
        <v>41</v>
      </c>
      <c r="GF56" s="63">
        <v>39</v>
      </c>
      <c r="GG56" s="112">
        <v>35.223446992586247</v>
      </c>
      <c r="GH56" s="112">
        <v>30.07607245181039</v>
      </c>
      <c r="GI56" s="112">
        <v>34.547746340302339</v>
      </c>
      <c r="GJ56" s="112">
        <v>34.378418787200467</v>
      </c>
      <c r="GK56" s="63"/>
      <c r="GL56" s="63"/>
      <c r="GM56" s="63"/>
      <c r="GN56" s="64"/>
      <c r="GO56" s="63"/>
      <c r="GP56" s="63"/>
      <c r="GQ56" s="63"/>
      <c r="GR56" s="63"/>
      <c r="GS56" s="64"/>
      <c r="GT56" s="63"/>
      <c r="GU56" s="63"/>
      <c r="GV56" s="63"/>
      <c r="GW56" s="63"/>
      <c r="GX56" s="64"/>
      <c r="GY56" s="64"/>
      <c r="GZ56" s="64"/>
      <c r="HA56" s="64"/>
      <c r="HB56" s="64"/>
      <c r="HC56" s="64"/>
      <c r="HD56" s="65"/>
      <c r="HE56" s="65"/>
      <c r="HF56" s="65"/>
      <c r="HG56" s="65"/>
      <c r="HH56" s="65"/>
      <c r="HI56" s="66"/>
      <c r="HJ56" s="66"/>
      <c r="HK56" s="63"/>
      <c r="HL56" s="64"/>
      <c r="HM56" s="64"/>
      <c r="HN56" s="64"/>
      <c r="HO56" s="64"/>
      <c r="HP56" s="64"/>
      <c r="HQ56" s="64"/>
      <c r="HR56" s="64"/>
      <c r="HS56" s="64"/>
      <c r="HT56" s="64"/>
      <c r="HU56" s="39"/>
    </row>
    <row r="57" spans="1:229" x14ac:dyDescent="0.2">
      <c r="A57" s="37">
        <v>54</v>
      </c>
      <c r="B57" s="86" t="s">
        <v>112</v>
      </c>
      <c r="C57" s="93">
        <v>6685</v>
      </c>
      <c r="D57" s="93">
        <v>6605</v>
      </c>
      <c r="E57" s="93">
        <v>6455</v>
      </c>
      <c r="F57" s="93">
        <v>6852</v>
      </c>
      <c r="G57" s="93">
        <v>6869</v>
      </c>
      <c r="H57" s="43">
        <v>6549</v>
      </c>
      <c r="I57" s="43">
        <v>17</v>
      </c>
      <c r="J57" s="43">
        <v>121</v>
      </c>
      <c r="K57" s="43">
        <v>33</v>
      </c>
      <c r="L57" s="43">
        <v>294</v>
      </c>
      <c r="M57" s="44">
        <v>2891</v>
      </c>
      <c r="N57" s="44">
        <v>2891</v>
      </c>
      <c r="O57" s="45">
        <v>2861</v>
      </c>
      <c r="P57" s="45">
        <v>2863</v>
      </c>
      <c r="Q57" s="46">
        <v>2872</v>
      </c>
      <c r="R57" s="105">
        <v>34.337788578371807</v>
      </c>
      <c r="S57" s="105">
        <v>34.94809688581315</v>
      </c>
      <c r="T57" s="105">
        <v>35.600313889615485</v>
      </c>
      <c r="U57" s="105">
        <v>36.388474913065075</v>
      </c>
      <c r="V57" s="105">
        <v>36.289926289926292</v>
      </c>
      <c r="W57" s="105">
        <v>28.116646415552854</v>
      </c>
      <c r="X57" s="105">
        <v>28.299555116164111</v>
      </c>
      <c r="Y57" s="105">
        <v>33.246141773476324</v>
      </c>
      <c r="Z57" s="105">
        <v>33.80526577247889</v>
      </c>
      <c r="AA57" s="105">
        <v>32.481572481572485</v>
      </c>
      <c r="AB57" s="105">
        <v>62.454434993924664</v>
      </c>
      <c r="AC57" s="105">
        <v>63.247652001977265</v>
      </c>
      <c r="AD57" s="105">
        <v>68.846455663091817</v>
      </c>
      <c r="AE57" s="105">
        <v>70.193740685543958</v>
      </c>
      <c r="AF57" s="105">
        <v>68.77149877149877</v>
      </c>
      <c r="AG57" s="46">
        <v>5.1743532058492692</v>
      </c>
      <c r="AH57" s="46">
        <v>5.577464788732394</v>
      </c>
      <c r="AI57" s="46">
        <v>6.6592674805771361</v>
      </c>
      <c r="AJ57" s="46">
        <v>6.2964930924548357</v>
      </c>
      <c r="AK57" s="45">
        <v>6.1988921128989709</v>
      </c>
      <c r="AL57" s="49">
        <v>176.75</v>
      </c>
      <c r="AM57" s="49">
        <v>174.91666666666666</v>
      </c>
      <c r="AN57" s="49">
        <v>219.25</v>
      </c>
      <c r="AO57" s="49">
        <v>174.91666666666666</v>
      </c>
      <c r="AP57" s="49">
        <v>311.91666666666669</v>
      </c>
      <c r="AQ57" s="49">
        <v>39630.470516972098</v>
      </c>
      <c r="AR57" s="49">
        <v>46681.882056504437</v>
      </c>
      <c r="AS57" s="49">
        <v>38440.735986001979</v>
      </c>
      <c r="AT57" s="49">
        <v>42458.210791271114</v>
      </c>
      <c r="AU57" s="49">
        <v>42494.977434852233</v>
      </c>
      <c r="AV57" s="101">
        <v>41359.562635645452</v>
      </c>
      <c r="AW57" s="101">
        <v>43353.175496857919</v>
      </c>
      <c r="AX57" s="102">
        <v>46108.211935470332</v>
      </c>
      <c r="AY57" s="102">
        <v>42681.013707487982</v>
      </c>
      <c r="AZ57" s="102">
        <v>44576</v>
      </c>
      <c r="BA57" s="99">
        <v>13.193057902011979</v>
      </c>
      <c r="BB57" s="99">
        <v>11.969532100108815</v>
      </c>
      <c r="BC57" s="99">
        <v>13.999044433827043</v>
      </c>
      <c r="BD57" s="99">
        <v>11.255411255411255</v>
      </c>
      <c r="BE57" s="99">
        <v>12.544696066746127</v>
      </c>
      <c r="BF57" s="99">
        <v>16.401384083044984</v>
      </c>
      <c r="BG57" s="99">
        <v>15.166548547129695</v>
      </c>
      <c r="BH57" s="48">
        <v>19.61904761904762</v>
      </c>
      <c r="BI57" s="48">
        <v>17.661538461538463</v>
      </c>
      <c r="BJ57" s="48">
        <v>18.470149253731343</v>
      </c>
      <c r="BK57" s="44">
        <v>1188</v>
      </c>
      <c r="BL57" s="44">
        <v>1136</v>
      </c>
      <c r="BM57" s="44">
        <v>1119</v>
      </c>
      <c r="BN57" s="42">
        <v>1117</v>
      </c>
      <c r="BO57" s="45">
        <v>47.222222222222221</v>
      </c>
      <c r="BP57" s="45">
        <v>47.535211267605632</v>
      </c>
      <c r="BQ57" s="45">
        <v>45.755138516532618</v>
      </c>
      <c r="BR57" s="46">
        <v>46.821844225604295</v>
      </c>
      <c r="BS57" s="105">
        <v>1.6835016835016836</v>
      </c>
      <c r="BT57" s="105">
        <v>1.6725352112676057</v>
      </c>
      <c r="BU57" s="105">
        <v>1.6979445933869526</v>
      </c>
      <c r="BV57" s="105">
        <v>1.7009847806624887</v>
      </c>
      <c r="BW57" s="45">
        <v>16.666666666666668</v>
      </c>
      <c r="BX57" s="45">
        <v>16.285211267605632</v>
      </c>
      <c r="BY57" s="45">
        <v>16.443252904378909</v>
      </c>
      <c r="BZ57" s="45">
        <v>16.562220232766339</v>
      </c>
      <c r="CA57" s="44">
        <v>88.288288288288285</v>
      </c>
      <c r="CB57" s="44">
        <v>92.857142857142861</v>
      </c>
      <c r="CC57" s="44">
        <v>82.291666666666671</v>
      </c>
      <c r="CD57" s="44">
        <v>84.26</v>
      </c>
      <c r="CE57" s="45">
        <v>1.8018018018018018</v>
      </c>
      <c r="CF57" s="45">
        <v>2.0408163265306123</v>
      </c>
      <c r="CG57" s="45">
        <v>3.125</v>
      </c>
      <c r="CH57" s="45">
        <v>0.93</v>
      </c>
      <c r="CI57" s="48">
        <v>469</v>
      </c>
      <c r="CJ57" s="51">
        <v>363</v>
      </c>
      <c r="CK57" s="51">
        <v>378</v>
      </c>
      <c r="CL57" s="57">
        <v>360</v>
      </c>
      <c r="CM57" s="108">
        <v>12.105100144538509</v>
      </c>
      <c r="CN57" s="108">
        <v>9.6645367412140573</v>
      </c>
      <c r="CO57" s="108">
        <v>10.664710529285633</v>
      </c>
      <c r="CP57" s="108">
        <v>10.757186398135421</v>
      </c>
      <c r="CQ57" s="60">
        <v>26</v>
      </c>
      <c r="CR57" s="60">
        <v>11</v>
      </c>
      <c r="CS57" s="60">
        <v>16</v>
      </c>
      <c r="CT57" s="60">
        <v>21</v>
      </c>
      <c r="CU57" s="108">
        <v>5.615550755939525</v>
      </c>
      <c r="CV57" s="108">
        <v>3.133903133903134</v>
      </c>
      <c r="CW57" s="108">
        <v>4.3715846994535523</v>
      </c>
      <c r="CX57" s="108">
        <v>6.1224489795918364</v>
      </c>
      <c r="CY57" s="61">
        <v>35</v>
      </c>
      <c r="CZ57" s="57">
        <v>23</v>
      </c>
      <c r="DA57" s="60">
        <v>39</v>
      </c>
      <c r="DB57" s="60">
        <v>22</v>
      </c>
      <c r="DC57" s="108">
        <v>7.6754385964912277</v>
      </c>
      <c r="DD57" s="108">
        <v>6.927710843373494</v>
      </c>
      <c r="DE57" s="108">
        <v>11.711711711711711</v>
      </c>
      <c r="DF57" s="108">
        <v>8.3018867924528301</v>
      </c>
      <c r="DG57" s="108">
        <v>76.92307692307692</v>
      </c>
      <c r="DH57" s="108">
        <v>84.764542936288095</v>
      </c>
      <c r="DI57" s="108">
        <v>83.243243243243242</v>
      </c>
      <c r="DJ57" s="108">
        <v>78.892733564013838</v>
      </c>
      <c r="DK57" s="108">
        <v>18.49462365591398</v>
      </c>
      <c r="DL57" s="108">
        <v>22.991689750692522</v>
      </c>
      <c r="DM57" s="108">
        <v>17.460317460317459</v>
      </c>
      <c r="DN57" s="108">
        <v>20.338983050847457</v>
      </c>
      <c r="DO57" s="108">
        <v>20.255863539445627</v>
      </c>
      <c r="DP57" s="108">
        <v>20.66115702479339</v>
      </c>
      <c r="DQ57" s="108">
        <v>30.423280423280424</v>
      </c>
      <c r="DR57" s="108">
        <v>34.444444444444443</v>
      </c>
      <c r="DS57" s="108">
        <v>39.763113367174277</v>
      </c>
      <c r="DT57" s="108">
        <v>18.41903300076746</v>
      </c>
      <c r="DU57" s="108">
        <v>20.280811232449299</v>
      </c>
      <c r="DV57" s="108">
        <v>20.813623462630087</v>
      </c>
      <c r="DW57" s="62">
        <v>46</v>
      </c>
      <c r="DX57" s="62">
        <v>1</v>
      </c>
      <c r="DY57" s="57">
        <v>0</v>
      </c>
      <c r="DZ57" s="60">
        <v>0</v>
      </c>
      <c r="EA57" s="60">
        <v>7</v>
      </c>
      <c r="EB57" s="60">
        <v>3</v>
      </c>
      <c r="EC57" s="60">
        <v>1</v>
      </c>
      <c r="ED57" s="57">
        <v>1</v>
      </c>
      <c r="EE57" s="60">
        <v>0</v>
      </c>
      <c r="EF57" s="60">
        <v>605</v>
      </c>
      <c r="EG57" s="60">
        <v>489</v>
      </c>
      <c r="EH57" s="60">
        <v>519</v>
      </c>
      <c r="EI57" s="60">
        <v>478</v>
      </c>
      <c r="EJ57" s="115">
        <v>80</v>
      </c>
      <c r="EK57" s="115">
        <v>0</v>
      </c>
      <c r="EL57" s="115">
        <v>0</v>
      </c>
      <c r="EM57" s="115">
        <v>0</v>
      </c>
      <c r="EN57" s="115">
        <v>1</v>
      </c>
      <c r="EO57" s="108">
        <v>1561.5321081973982</v>
      </c>
      <c r="EP57" s="108">
        <v>1301.9169329073482</v>
      </c>
      <c r="EQ57" s="108">
        <v>1464.2816837828686</v>
      </c>
      <c r="ER57" s="108">
        <v>1428.3153050857586</v>
      </c>
      <c r="ES57" s="108">
        <v>885.32256426239007</v>
      </c>
      <c r="ET57" s="108">
        <v>745.73714083526772</v>
      </c>
      <c r="EU57" s="108">
        <v>880.93340172315311</v>
      </c>
      <c r="EV57" s="108">
        <v>796.50908998934597</v>
      </c>
      <c r="EW57" s="108">
        <v>1056.6763508525437</v>
      </c>
      <c r="EX57" s="108">
        <v>1013.508743362348</v>
      </c>
      <c r="EY57" s="108">
        <v>1115.5481492597853</v>
      </c>
      <c r="EZ57" s="108">
        <v>941.8804013119327</v>
      </c>
      <c r="FA57" s="108">
        <v>741.11949195626812</v>
      </c>
      <c r="FB57" s="108">
        <v>534.64956940114314</v>
      </c>
      <c r="FC57" s="108">
        <v>694.62289774598639</v>
      </c>
      <c r="FD57" s="108">
        <v>664.47023677270272</v>
      </c>
      <c r="FE57" s="57">
        <v>137</v>
      </c>
      <c r="FF57" s="62">
        <v>107</v>
      </c>
      <c r="FG57" s="62">
        <v>118</v>
      </c>
      <c r="FH57" s="62">
        <v>97</v>
      </c>
      <c r="FI57" s="108">
        <v>219.50866492418592</v>
      </c>
      <c r="FJ57" s="108">
        <v>167.71669150260408</v>
      </c>
      <c r="FK57" s="108">
        <v>212.70908472086347</v>
      </c>
      <c r="FL57" s="108">
        <v>173.76591451245736</v>
      </c>
      <c r="FM57" s="62">
        <v>198</v>
      </c>
      <c r="FN57" s="62">
        <v>134</v>
      </c>
      <c r="FO57" s="57">
        <v>113</v>
      </c>
      <c r="FP57" s="62">
        <v>80</v>
      </c>
      <c r="FQ57" s="108">
        <v>269.19322766698622</v>
      </c>
      <c r="FR57" s="108">
        <v>195.88757214370483</v>
      </c>
      <c r="FS57" s="108">
        <v>176.91155725619623</v>
      </c>
      <c r="FT57" s="108">
        <v>125.61393360252407</v>
      </c>
      <c r="FU57" s="60">
        <v>61</v>
      </c>
      <c r="FV57" s="60">
        <v>42</v>
      </c>
      <c r="FW57" s="60">
        <v>29</v>
      </c>
      <c r="FX57" s="60">
        <v>25</v>
      </c>
      <c r="FY57" s="108">
        <v>77.204779330026099</v>
      </c>
      <c r="FZ57" s="108">
        <v>56.479707348129125</v>
      </c>
      <c r="GA57" s="108">
        <v>43.372639051619629</v>
      </c>
      <c r="GB57" s="108">
        <v>36.465634624017085</v>
      </c>
      <c r="GC57" s="63">
        <v>25</v>
      </c>
      <c r="GD57" s="64">
        <v>23</v>
      </c>
      <c r="GE57" s="63">
        <v>19</v>
      </c>
      <c r="GF57" s="63">
        <v>24</v>
      </c>
      <c r="GG57" s="112">
        <v>55.401491834660206</v>
      </c>
      <c r="GH57" s="112">
        <v>56.350734810569406</v>
      </c>
      <c r="GI57" s="112" t="s">
        <v>39</v>
      </c>
      <c r="GJ57" s="112">
        <v>57.067195779046308</v>
      </c>
      <c r="GK57" s="63"/>
      <c r="GL57" s="63"/>
      <c r="GM57" s="63"/>
      <c r="GN57" s="64"/>
      <c r="GO57" s="63"/>
      <c r="GP57" s="63"/>
      <c r="GQ57" s="63"/>
      <c r="GR57" s="63"/>
      <c r="GS57" s="64"/>
      <c r="GT57" s="63"/>
      <c r="GU57" s="63"/>
      <c r="GV57" s="63"/>
      <c r="GW57" s="63"/>
      <c r="GX57" s="64"/>
      <c r="GY57" s="64"/>
      <c r="GZ57" s="64"/>
      <c r="HA57" s="64"/>
      <c r="HB57" s="64"/>
      <c r="HC57" s="64"/>
      <c r="HD57" s="65"/>
      <c r="HE57" s="65"/>
      <c r="HF57" s="65"/>
      <c r="HG57" s="65"/>
      <c r="HH57" s="65"/>
      <c r="HI57" s="66"/>
      <c r="HJ57" s="66"/>
      <c r="HK57" s="63"/>
      <c r="HL57" s="64"/>
      <c r="HM57" s="64"/>
      <c r="HN57" s="64"/>
      <c r="HO57" s="64"/>
      <c r="HP57" s="64"/>
      <c r="HQ57" s="64"/>
      <c r="HR57" s="64"/>
      <c r="HS57" s="64"/>
      <c r="HT57" s="64"/>
      <c r="HU57" s="39"/>
    </row>
    <row r="58" spans="1:229" x14ac:dyDescent="0.2">
      <c r="A58" s="37">
        <v>55</v>
      </c>
      <c r="B58" s="86" t="s">
        <v>113</v>
      </c>
      <c r="C58" s="93">
        <v>139747</v>
      </c>
      <c r="D58" s="93">
        <v>141360</v>
      </c>
      <c r="E58" s="93">
        <v>143962</v>
      </c>
      <c r="F58" s="93">
        <v>144248</v>
      </c>
      <c r="G58" s="93">
        <v>145769</v>
      </c>
      <c r="H58" s="43">
        <v>126812</v>
      </c>
      <c r="I58" s="43">
        <v>7352</v>
      </c>
      <c r="J58" s="43">
        <v>495</v>
      </c>
      <c r="K58" s="43">
        <v>8262</v>
      </c>
      <c r="L58" s="43">
        <v>6321</v>
      </c>
      <c r="M58" s="44">
        <v>55612</v>
      </c>
      <c r="N58" s="44">
        <v>56383</v>
      </c>
      <c r="O58" s="45">
        <v>57109</v>
      </c>
      <c r="P58" s="45">
        <v>57080</v>
      </c>
      <c r="Q58" s="46">
        <v>57595</v>
      </c>
      <c r="R58" s="105">
        <v>17.529079712624018</v>
      </c>
      <c r="S58" s="105">
        <v>18.102605517065498</v>
      </c>
      <c r="T58" s="105">
        <v>18.598385564060525</v>
      </c>
      <c r="U58" s="105">
        <v>19.00076493456142</v>
      </c>
      <c r="V58" s="105">
        <v>19.63793372522499</v>
      </c>
      <c r="W58" s="105">
        <v>31.875427642832705</v>
      </c>
      <c r="X58" s="105">
        <v>32.107791048582477</v>
      </c>
      <c r="Y58" s="105">
        <v>31.73630183477616</v>
      </c>
      <c r="Z58" s="105">
        <v>32.150304402041222</v>
      </c>
      <c r="AA58" s="105">
        <v>32.023097331321857</v>
      </c>
      <c r="AB58" s="105">
        <v>49.404507355456722</v>
      </c>
      <c r="AC58" s="105">
        <v>50.210396565647976</v>
      </c>
      <c r="AD58" s="105">
        <v>50.334687398836685</v>
      </c>
      <c r="AE58" s="105">
        <v>51.151069336602646</v>
      </c>
      <c r="AF58" s="105">
        <v>51.661031056546847</v>
      </c>
      <c r="AG58" s="46">
        <v>3.8301540306562232</v>
      </c>
      <c r="AH58" s="46">
        <v>4.4006277714114894</v>
      </c>
      <c r="AI58" s="46">
        <v>6.3542367696543289</v>
      </c>
      <c r="AJ58" s="46">
        <v>5.9122362457969881</v>
      </c>
      <c r="AK58" s="45">
        <v>5.2371114207466487</v>
      </c>
      <c r="AL58" s="49">
        <v>2957.6666666666665</v>
      </c>
      <c r="AM58" s="49">
        <v>3083.5833333333335</v>
      </c>
      <c r="AN58" s="49">
        <v>4027.8333333333335</v>
      </c>
      <c r="AO58" s="49">
        <v>3083.5833333333335</v>
      </c>
      <c r="AP58" s="49">
        <v>5422.25</v>
      </c>
      <c r="AQ58" s="49">
        <v>47309.380911438544</v>
      </c>
      <c r="AR58" s="49">
        <v>45839.851251054359</v>
      </c>
      <c r="AS58" s="49">
        <v>44826.028391723383</v>
      </c>
      <c r="AT58" s="49">
        <v>47409.172983713332</v>
      </c>
      <c r="AU58" s="49">
        <v>45720.832275723922</v>
      </c>
      <c r="AV58" s="101">
        <v>65833.132394787346</v>
      </c>
      <c r="AW58" s="101">
        <v>69991.30726000102</v>
      </c>
      <c r="AX58" s="102">
        <v>67155.516064827971</v>
      </c>
      <c r="AY58" s="102">
        <v>63298.909078401877</v>
      </c>
      <c r="AZ58" s="102">
        <v>66997</v>
      </c>
      <c r="BA58" s="99">
        <v>8.4429704943308685</v>
      </c>
      <c r="BB58" s="99">
        <v>7.5580309019044201</v>
      </c>
      <c r="BC58" s="99">
        <v>7.6389968209113386</v>
      </c>
      <c r="BD58" s="99">
        <v>8.5429644107597333</v>
      </c>
      <c r="BE58" s="99">
        <v>7.9664029554246678</v>
      </c>
      <c r="BF58" s="99">
        <v>10.084462332067343</v>
      </c>
      <c r="BG58" s="99">
        <v>9.3177475553557372</v>
      </c>
      <c r="BH58" s="48">
        <v>9.8393517603546119</v>
      </c>
      <c r="BI58" s="48">
        <v>11.083709717642495</v>
      </c>
      <c r="BJ58" s="48">
        <v>10.820234669028116</v>
      </c>
      <c r="BK58" s="44">
        <v>22247</v>
      </c>
      <c r="BL58" s="44">
        <v>22353</v>
      </c>
      <c r="BM58" s="44">
        <v>22556</v>
      </c>
      <c r="BN58" s="42">
        <v>22616</v>
      </c>
      <c r="BO58" s="45">
        <v>27.325032588663639</v>
      </c>
      <c r="BP58" s="45">
        <v>29.450185657406166</v>
      </c>
      <c r="BQ58" s="45">
        <v>30.909735768753325</v>
      </c>
      <c r="BR58" s="46">
        <v>31.681110718075697</v>
      </c>
      <c r="BS58" s="105">
        <v>10.428372364813233</v>
      </c>
      <c r="BT58" s="105">
        <v>10.325235986221088</v>
      </c>
      <c r="BU58" s="105">
        <v>9.9485724419223267</v>
      </c>
      <c r="BV58" s="105">
        <v>9.1439688715953302</v>
      </c>
      <c r="BW58" s="45">
        <v>11.619544208207849</v>
      </c>
      <c r="BX58" s="45">
        <v>11.483917147586453</v>
      </c>
      <c r="BY58" s="45">
        <v>11.83277176804398</v>
      </c>
      <c r="BZ58" s="45">
        <v>12.66802263883976</v>
      </c>
      <c r="CA58" s="44">
        <v>79.19045147898288</v>
      </c>
      <c r="CB58" s="44">
        <v>79.491341991341997</v>
      </c>
      <c r="CC58" s="44">
        <v>78.311258278145701</v>
      </c>
      <c r="CD58" s="44">
        <v>80.48</v>
      </c>
      <c r="CE58" s="45">
        <v>5.2932018681888948</v>
      </c>
      <c r="CF58" s="45">
        <v>4.437229437229437</v>
      </c>
      <c r="CG58" s="45">
        <v>5.5739514348785875</v>
      </c>
      <c r="CH58" s="45">
        <v>5.44</v>
      </c>
      <c r="CI58" s="48">
        <v>8708</v>
      </c>
      <c r="CJ58" s="51">
        <v>9118</v>
      </c>
      <c r="CK58" s="51">
        <v>10623</v>
      </c>
      <c r="CL58" s="57">
        <v>11182</v>
      </c>
      <c r="CM58" s="108">
        <v>15.493448911473124</v>
      </c>
      <c r="CN58" s="108">
        <v>15.162651784496779</v>
      </c>
      <c r="CO58" s="108">
        <v>15.942359583274554</v>
      </c>
      <c r="CP58" s="108">
        <v>15.637279991497525</v>
      </c>
      <c r="CQ58" s="60">
        <v>356</v>
      </c>
      <c r="CR58" s="60">
        <v>390</v>
      </c>
      <c r="CS58" s="60">
        <v>462</v>
      </c>
      <c r="CT58" s="60">
        <v>487</v>
      </c>
      <c r="CU58" s="108">
        <v>4.2619418173111461</v>
      </c>
      <c r="CV58" s="108">
        <v>4.462753175420529</v>
      </c>
      <c r="CW58" s="108">
        <v>4.5148050425095283</v>
      </c>
      <c r="CX58" s="108">
        <v>4.5260223048327139</v>
      </c>
      <c r="CY58" s="61">
        <v>521</v>
      </c>
      <c r="CZ58" s="57">
        <v>651</v>
      </c>
      <c r="DA58" s="60">
        <v>816</v>
      </c>
      <c r="DB58" s="60">
        <v>791</v>
      </c>
      <c r="DC58" s="108">
        <v>6.7600882314778774</v>
      </c>
      <c r="DD58" s="108">
        <v>8.4754589246191898</v>
      </c>
      <c r="DE58" s="108">
        <v>8.1788112659115964</v>
      </c>
      <c r="DF58" s="108">
        <v>7.6050379771175844</v>
      </c>
      <c r="DG58" s="108">
        <v>85.868911605532176</v>
      </c>
      <c r="DH58" s="108">
        <v>88.328786620804181</v>
      </c>
      <c r="DI58" s="108">
        <v>91.623284429720769</v>
      </c>
      <c r="DJ58" s="108">
        <v>92.568659127625196</v>
      </c>
      <c r="DK58" s="108">
        <v>10.468095016301817</v>
      </c>
      <c r="DL58" s="108">
        <v>8.681172291296626</v>
      </c>
      <c r="DM58" s="108">
        <v>7.0889894419306181</v>
      </c>
      <c r="DN58" s="108">
        <v>7.5008950948800575</v>
      </c>
      <c r="DO58" s="108">
        <v>16.260909508497932</v>
      </c>
      <c r="DP58" s="108">
        <v>19.216847647252386</v>
      </c>
      <c r="DQ58" s="108">
        <v>24.126565589980224</v>
      </c>
      <c r="DR58" s="108">
        <v>27.334525939177102</v>
      </c>
      <c r="DS58" s="108">
        <v>25.144446822169911</v>
      </c>
      <c r="DT58" s="108">
        <v>25.969225082020241</v>
      </c>
      <c r="DU58" s="108">
        <v>25.82585238579578</v>
      </c>
      <c r="DV58" s="108">
        <v>24.748790472646075</v>
      </c>
      <c r="DW58" s="62">
        <v>1792</v>
      </c>
      <c r="DX58" s="62">
        <v>198</v>
      </c>
      <c r="DY58" s="57">
        <v>1</v>
      </c>
      <c r="DZ58" s="60">
        <v>181</v>
      </c>
      <c r="EA58" s="60">
        <v>129</v>
      </c>
      <c r="EB58" s="60">
        <v>62</v>
      </c>
      <c r="EC58" s="60">
        <v>44</v>
      </c>
      <c r="ED58" s="57">
        <v>54</v>
      </c>
      <c r="EE58" s="60">
        <v>71</v>
      </c>
      <c r="EF58" s="60">
        <v>3494</v>
      </c>
      <c r="EG58" s="60">
        <v>3798</v>
      </c>
      <c r="EH58" s="60">
        <v>4063</v>
      </c>
      <c r="EI58" s="60">
        <v>4408</v>
      </c>
      <c r="EJ58" s="115">
        <v>885</v>
      </c>
      <c r="EK58" s="115">
        <v>15</v>
      </c>
      <c r="EL58" s="115">
        <v>1</v>
      </c>
      <c r="EM58" s="115">
        <v>12</v>
      </c>
      <c r="EN58" s="115">
        <v>8</v>
      </c>
      <c r="EO58" s="108">
        <v>621.65951420173508</v>
      </c>
      <c r="EP58" s="108">
        <v>631.58314847026509</v>
      </c>
      <c r="EQ58" s="108">
        <v>609.75060704927535</v>
      </c>
      <c r="ER58" s="108">
        <v>616.42935255339921</v>
      </c>
      <c r="ES58" s="108">
        <v>721.29192408344147</v>
      </c>
      <c r="ET58" s="108">
        <v>678.26095085571023</v>
      </c>
      <c r="EU58" s="108">
        <v>613.86624261830502</v>
      </c>
      <c r="EV58" s="108">
        <v>576.30076822264368</v>
      </c>
      <c r="EW58" s="108">
        <v>941.19462737953552</v>
      </c>
      <c r="EX58" s="108">
        <v>848.86792273007313</v>
      </c>
      <c r="EY58" s="108">
        <v>735.94417412965913</v>
      </c>
      <c r="EZ58" s="108">
        <v>682.325669661387</v>
      </c>
      <c r="FA58" s="108">
        <v>586.27200257330969</v>
      </c>
      <c r="FB58" s="108">
        <v>559.879895362517</v>
      </c>
      <c r="FC58" s="108">
        <v>515.37826084729454</v>
      </c>
      <c r="FD58" s="108">
        <v>489.8462038348124</v>
      </c>
      <c r="FE58" s="57">
        <v>914</v>
      </c>
      <c r="FF58" s="62">
        <v>990</v>
      </c>
      <c r="FG58" s="62">
        <v>1026</v>
      </c>
      <c r="FH58" s="62">
        <v>1101</v>
      </c>
      <c r="FI58" s="108">
        <v>195.72832109828374</v>
      </c>
      <c r="FJ58" s="108">
        <v>183.64561808741857</v>
      </c>
      <c r="FK58" s="108">
        <v>160.1953679183147</v>
      </c>
      <c r="FL58" s="108">
        <v>149.61349799677055</v>
      </c>
      <c r="FM58" s="62">
        <v>956</v>
      </c>
      <c r="FN58" s="62">
        <v>946</v>
      </c>
      <c r="FO58" s="57">
        <v>886</v>
      </c>
      <c r="FP58" s="62">
        <v>875</v>
      </c>
      <c r="FQ58" s="108">
        <v>200.11486688298504</v>
      </c>
      <c r="FR58" s="108">
        <v>168.18281181367314</v>
      </c>
      <c r="FS58" s="108">
        <v>133.13558093725078</v>
      </c>
      <c r="FT58" s="108">
        <v>112.02507471937361</v>
      </c>
      <c r="FU58" s="60">
        <v>215</v>
      </c>
      <c r="FV58" s="60">
        <v>277</v>
      </c>
      <c r="FW58" s="60">
        <v>238</v>
      </c>
      <c r="FX58" s="60">
        <v>205</v>
      </c>
      <c r="FY58" s="108">
        <v>44.493773014121615</v>
      </c>
      <c r="FZ58" s="108">
        <v>48.461067631701539</v>
      </c>
      <c r="GA58" s="108">
        <v>35.700114739623771</v>
      </c>
      <c r="GB58" s="108">
        <v>26.179122864313726</v>
      </c>
      <c r="GC58" s="63">
        <v>182</v>
      </c>
      <c r="GD58" s="64">
        <v>210</v>
      </c>
      <c r="GE58" s="63">
        <v>224</v>
      </c>
      <c r="GF58" s="63">
        <v>232</v>
      </c>
      <c r="GG58" s="112">
        <v>34.087408924909802</v>
      </c>
      <c r="GH58" s="112">
        <v>35.951904676102941</v>
      </c>
      <c r="GI58" s="112">
        <v>32.826243461479606</v>
      </c>
      <c r="GJ58" s="112">
        <v>30.77182641766418</v>
      </c>
      <c r="GK58" s="63"/>
      <c r="GL58" s="63"/>
      <c r="GM58" s="63"/>
      <c r="GN58" s="64"/>
      <c r="GO58" s="63"/>
      <c r="GP58" s="63"/>
      <c r="GQ58" s="63"/>
      <c r="GR58" s="63"/>
      <c r="GS58" s="64"/>
      <c r="GT58" s="63"/>
      <c r="GU58" s="63"/>
      <c r="GV58" s="63"/>
      <c r="GW58" s="63"/>
      <c r="GX58" s="64"/>
      <c r="GY58" s="64"/>
      <c r="GZ58" s="64"/>
      <c r="HA58" s="64"/>
      <c r="HB58" s="64"/>
      <c r="HC58" s="64"/>
      <c r="HD58" s="65"/>
      <c r="HE58" s="65"/>
      <c r="HF58" s="65"/>
      <c r="HG58" s="65"/>
      <c r="HH58" s="65"/>
      <c r="HI58" s="66"/>
      <c r="HJ58" s="66"/>
      <c r="HK58" s="63"/>
      <c r="HL58" s="64"/>
      <c r="HM58" s="64"/>
      <c r="HN58" s="64"/>
      <c r="HO58" s="64"/>
      <c r="HP58" s="64"/>
      <c r="HQ58" s="64"/>
      <c r="HR58" s="64"/>
      <c r="HS58" s="64"/>
      <c r="HT58" s="64"/>
      <c r="HU58" s="39"/>
    </row>
    <row r="59" spans="1:229" x14ac:dyDescent="0.2">
      <c r="A59" s="37">
        <v>56</v>
      </c>
      <c r="B59" s="86" t="s">
        <v>114</v>
      </c>
      <c r="C59" s="93">
        <v>57031</v>
      </c>
      <c r="D59" s="93">
        <v>56786</v>
      </c>
      <c r="E59" s="93">
        <v>56588</v>
      </c>
      <c r="F59" s="93">
        <v>57303</v>
      </c>
      <c r="G59" s="93">
        <v>57252</v>
      </c>
      <c r="H59" s="43">
        <v>55431</v>
      </c>
      <c r="I59" s="43">
        <v>541</v>
      </c>
      <c r="J59" s="43">
        <v>329</v>
      </c>
      <c r="K59" s="43">
        <v>333</v>
      </c>
      <c r="L59" s="43">
        <v>1574</v>
      </c>
      <c r="M59" s="44">
        <v>23953</v>
      </c>
      <c r="N59" s="44">
        <v>23956</v>
      </c>
      <c r="O59" s="45">
        <v>24010</v>
      </c>
      <c r="P59" s="45">
        <v>24055</v>
      </c>
      <c r="Q59" s="46">
        <v>24125</v>
      </c>
      <c r="R59" s="105">
        <v>31.470718476696558</v>
      </c>
      <c r="S59" s="105">
        <v>32.41712244670164</v>
      </c>
      <c r="T59" s="105">
        <v>34.061546359410201</v>
      </c>
      <c r="U59" s="105">
        <v>34.245054788672263</v>
      </c>
      <c r="V59" s="105">
        <v>34.898792360179293</v>
      </c>
      <c r="W59" s="105">
        <v>26.369976751909665</v>
      </c>
      <c r="X59" s="105">
        <v>26.043643263757115</v>
      </c>
      <c r="Y59" s="105">
        <v>27.327952542566237</v>
      </c>
      <c r="Z59" s="105">
        <v>28.848726341255158</v>
      </c>
      <c r="AA59" s="105">
        <v>28.552259685385561</v>
      </c>
      <c r="AB59" s="105">
        <v>57.840695228606222</v>
      </c>
      <c r="AC59" s="105">
        <v>58.460765710458759</v>
      </c>
      <c r="AD59" s="105">
        <v>61.389498901976445</v>
      </c>
      <c r="AE59" s="105">
        <v>63.093781129927422</v>
      </c>
      <c r="AF59" s="105">
        <v>63.45105204556485</v>
      </c>
      <c r="AG59" s="46">
        <v>5.3534940743767878</v>
      </c>
      <c r="AH59" s="46">
        <v>6.0389152132271402</v>
      </c>
      <c r="AI59" s="46">
        <v>8.2811160213706216</v>
      </c>
      <c r="AJ59" s="46">
        <v>7.2022880915236609</v>
      </c>
      <c r="AK59" s="45">
        <v>6.5194905940914083</v>
      </c>
      <c r="AL59" s="49">
        <v>1171.3333333333333</v>
      </c>
      <c r="AM59" s="49">
        <v>1211.0833333333333</v>
      </c>
      <c r="AN59" s="49">
        <v>1519.1666666666667</v>
      </c>
      <c r="AO59" s="49">
        <v>1211.0833333333333</v>
      </c>
      <c r="AP59" s="49">
        <v>2045.6666666666667</v>
      </c>
      <c r="AQ59" s="49">
        <v>33835.467271127127</v>
      </c>
      <c r="AR59" s="49">
        <v>35828.589843683527</v>
      </c>
      <c r="AS59" s="49">
        <v>34737.573108078868</v>
      </c>
      <c r="AT59" s="49">
        <v>35794.157009200062</v>
      </c>
      <c r="AU59" s="49">
        <v>36780.985817089357</v>
      </c>
      <c r="AV59" s="101">
        <v>44176.968578483858</v>
      </c>
      <c r="AW59" s="101">
        <v>44791.803862463603</v>
      </c>
      <c r="AX59" s="102">
        <v>44047.937320835095</v>
      </c>
      <c r="AY59" s="102">
        <v>45487.90285064387</v>
      </c>
      <c r="AZ59" s="102">
        <v>47879</v>
      </c>
      <c r="BA59" s="99">
        <v>11.294400315576196</v>
      </c>
      <c r="BB59" s="99">
        <v>12.517102325916325</v>
      </c>
      <c r="BC59" s="99">
        <v>12.790991902834008</v>
      </c>
      <c r="BD59" s="99">
        <v>13.370676624877746</v>
      </c>
      <c r="BE59" s="99">
        <v>11.444733003664307</v>
      </c>
      <c r="BF59" s="99">
        <v>15.16327736056029</v>
      </c>
      <c r="BG59" s="99">
        <v>15.576539894308238</v>
      </c>
      <c r="BH59" s="48">
        <v>16.569101552557903</v>
      </c>
      <c r="BI59" s="48">
        <v>19.184573903096659</v>
      </c>
      <c r="BJ59" s="48">
        <v>15.709894491983052</v>
      </c>
      <c r="BK59" s="44">
        <v>7809</v>
      </c>
      <c r="BL59" s="44">
        <v>7747</v>
      </c>
      <c r="BM59" s="44">
        <v>7714</v>
      </c>
      <c r="BN59" s="42">
        <v>7446</v>
      </c>
      <c r="BO59" s="45">
        <v>36.009732360097324</v>
      </c>
      <c r="BP59" s="45">
        <v>38.608493610429846</v>
      </c>
      <c r="BQ59" s="45">
        <v>40.031112263417164</v>
      </c>
      <c r="BR59" s="46">
        <v>39.215686274509807</v>
      </c>
      <c r="BS59" s="105">
        <v>3.5343834037648865</v>
      </c>
      <c r="BT59" s="105">
        <v>2.0524073835032914</v>
      </c>
      <c r="BU59" s="105">
        <v>2.1778584392014517</v>
      </c>
      <c r="BV59" s="105">
        <v>2.7397260273972601</v>
      </c>
      <c r="BW59" s="45">
        <v>14.406454091432963</v>
      </c>
      <c r="BX59" s="45">
        <v>15.063895701561895</v>
      </c>
      <c r="BY59" s="45">
        <v>15.595022037853253</v>
      </c>
      <c r="BZ59" s="45">
        <v>15.578834273435401</v>
      </c>
      <c r="CA59" s="44">
        <v>79.387186629526468</v>
      </c>
      <c r="CB59" s="44">
        <v>78.316326530612244</v>
      </c>
      <c r="CC59" s="44">
        <v>80.283505154639172</v>
      </c>
      <c r="CD59" s="44">
        <v>77.08</v>
      </c>
      <c r="CE59" s="45">
        <v>5.9888579387186631</v>
      </c>
      <c r="CF59" s="45">
        <v>6.3775510204081636</v>
      </c>
      <c r="CG59" s="45">
        <v>4.3814432989690726</v>
      </c>
      <c r="CH59" s="45">
        <v>5.4</v>
      </c>
      <c r="CI59" s="48">
        <v>2840</v>
      </c>
      <c r="CJ59" s="51">
        <v>2904</v>
      </c>
      <c r="CK59" s="51">
        <v>3011</v>
      </c>
      <c r="CL59" s="57">
        <v>3091</v>
      </c>
      <c r="CM59" s="108">
        <v>10.798520146464435</v>
      </c>
      <c r="CN59" s="108">
        <v>10.394854117672326</v>
      </c>
      <c r="CO59" s="108">
        <v>10.372314772711615</v>
      </c>
      <c r="CP59" s="108">
        <v>10.847136440202133</v>
      </c>
      <c r="CQ59" s="60">
        <v>109</v>
      </c>
      <c r="CR59" s="60">
        <v>107</v>
      </c>
      <c r="CS59" s="60">
        <v>138</v>
      </c>
      <c r="CT59" s="60">
        <v>115</v>
      </c>
      <c r="CU59" s="108">
        <v>3.9421338155515371</v>
      </c>
      <c r="CV59" s="108">
        <v>3.7809187279151946</v>
      </c>
      <c r="CW59" s="108">
        <v>4.6875</v>
      </c>
      <c r="CX59" s="108">
        <v>3.8384512683578103</v>
      </c>
      <c r="CY59" s="61">
        <v>170</v>
      </c>
      <c r="CZ59" s="57">
        <v>215</v>
      </c>
      <c r="DA59" s="60">
        <v>196</v>
      </c>
      <c r="DB59" s="60">
        <v>131</v>
      </c>
      <c r="DC59" s="108">
        <v>6.6876475216365066</v>
      </c>
      <c r="DD59" s="108">
        <v>7.9015067989709662</v>
      </c>
      <c r="DE59" s="108">
        <v>6.9651741293532341</v>
      </c>
      <c r="DF59" s="108">
        <v>4.6240734204024001</v>
      </c>
      <c r="DG59" s="108">
        <v>82.747005988023957</v>
      </c>
      <c r="DH59" s="108">
        <v>82.417195207892888</v>
      </c>
      <c r="DI59" s="108">
        <v>87.399732620320862</v>
      </c>
      <c r="DJ59" s="108">
        <v>89.308176100628927</v>
      </c>
      <c r="DK59" s="108">
        <v>17.331895001797914</v>
      </c>
      <c r="DL59" s="108">
        <v>18.296089385474861</v>
      </c>
      <c r="DM59" s="108">
        <v>14.913448735019973</v>
      </c>
      <c r="DN59" s="108">
        <v>9.961064243997404</v>
      </c>
      <c r="DO59" s="108">
        <v>21.514084507042252</v>
      </c>
      <c r="DP59" s="108">
        <v>25.619834710743802</v>
      </c>
      <c r="DQ59" s="108">
        <v>29.060112919295914</v>
      </c>
      <c r="DR59" s="108">
        <v>28.562176165803109</v>
      </c>
      <c r="DS59" s="108">
        <v>33.008786511517457</v>
      </c>
      <c r="DT59" s="108">
        <v>28.1431334622824</v>
      </c>
      <c r="DU59" s="108">
        <v>24.905146415020916</v>
      </c>
      <c r="DV59" s="108">
        <v>19.29664306919388</v>
      </c>
      <c r="DW59" s="62">
        <v>547</v>
      </c>
      <c r="DX59" s="62">
        <v>14</v>
      </c>
      <c r="DY59" s="57">
        <v>4</v>
      </c>
      <c r="DZ59" s="60">
        <v>10</v>
      </c>
      <c r="EA59" s="60">
        <v>25</v>
      </c>
      <c r="EB59" s="60">
        <v>27</v>
      </c>
      <c r="EC59" s="60">
        <v>16</v>
      </c>
      <c r="ED59" s="57">
        <v>15</v>
      </c>
      <c r="EE59" s="60">
        <v>5</v>
      </c>
      <c r="EF59" s="60">
        <v>3039</v>
      </c>
      <c r="EG59" s="60">
        <v>3182</v>
      </c>
      <c r="EH59" s="60">
        <v>3184</v>
      </c>
      <c r="EI59" s="60">
        <v>3210</v>
      </c>
      <c r="EJ59" s="115">
        <v>685</v>
      </c>
      <c r="EK59" s="115">
        <v>0</v>
      </c>
      <c r="EL59" s="115">
        <v>2</v>
      </c>
      <c r="EM59" s="115">
        <v>3</v>
      </c>
      <c r="EN59" s="115">
        <v>2</v>
      </c>
      <c r="EO59" s="108">
        <v>1155.5177015882189</v>
      </c>
      <c r="EP59" s="108">
        <v>1138.9953788716716</v>
      </c>
      <c r="EQ59" s="108">
        <v>1096.8266435175617</v>
      </c>
      <c r="ER59" s="108">
        <v>1126.4738910724311</v>
      </c>
      <c r="ES59" s="108">
        <v>777.91213936452709</v>
      </c>
      <c r="ET59" s="108">
        <v>756.92310527792597</v>
      </c>
      <c r="EU59" s="108">
        <v>703.25560276275621</v>
      </c>
      <c r="EV59" s="108">
        <v>666.34621542252637</v>
      </c>
      <c r="EW59" s="108">
        <v>991.19204808237942</v>
      </c>
      <c r="EX59" s="108">
        <v>932.58991606667394</v>
      </c>
      <c r="EY59" s="108">
        <v>869.47697920582902</v>
      </c>
      <c r="EZ59" s="108">
        <v>819.40331841765533</v>
      </c>
      <c r="FA59" s="108">
        <v>604.72188493672468</v>
      </c>
      <c r="FB59" s="108">
        <v>609.24115539570175</v>
      </c>
      <c r="FC59" s="108">
        <v>567.74392599046428</v>
      </c>
      <c r="FD59" s="108">
        <v>540.70222985594739</v>
      </c>
      <c r="FE59" s="57">
        <v>676</v>
      </c>
      <c r="FF59" s="62">
        <v>755</v>
      </c>
      <c r="FG59" s="62">
        <v>712</v>
      </c>
      <c r="FH59" s="62">
        <v>729</v>
      </c>
      <c r="FI59" s="108">
        <v>181.42095906711273</v>
      </c>
      <c r="FJ59" s="108">
        <v>189.30137205934949</v>
      </c>
      <c r="FK59" s="108">
        <v>167.40341825151305</v>
      </c>
      <c r="FL59" s="108">
        <v>160.4302542214196</v>
      </c>
      <c r="FM59" s="62">
        <v>970</v>
      </c>
      <c r="FN59" s="62">
        <v>856</v>
      </c>
      <c r="FO59" s="57">
        <v>795</v>
      </c>
      <c r="FP59" s="62">
        <v>734</v>
      </c>
      <c r="FQ59" s="108">
        <v>238.19330833517608</v>
      </c>
      <c r="FR59" s="108">
        <v>196.86918394297433</v>
      </c>
      <c r="FS59" s="108">
        <v>169.62479543259349</v>
      </c>
      <c r="FT59" s="108">
        <v>146.75611500405785</v>
      </c>
      <c r="FU59" s="60">
        <v>230</v>
      </c>
      <c r="FV59" s="60">
        <v>239</v>
      </c>
      <c r="FW59" s="60">
        <v>240</v>
      </c>
      <c r="FX59" s="60">
        <v>211</v>
      </c>
      <c r="FY59" s="108">
        <v>55.163384968350968</v>
      </c>
      <c r="FZ59" s="108">
        <v>51.856994818569362</v>
      </c>
      <c r="GA59" s="108">
        <v>46.868428378826145</v>
      </c>
      <c r="GB59" s="108">
        <v>40.368503674655031</v>
      </c>
      <c r="GC59" s="63">
        <v>108</v>
      </c>
      <c r="GD59" s="64">
        <v>130</v>
      </c>
      <c r="GE59" s="63">
        <v>116</v>
      </c>
      <c r="GF59" s="63">
        <v>132</v>
      </c>
      <c r="GG59" s="112">
        <v>37.157969112933941</v>
      </c>
      <c r="GH59" s="112">
        <v>40.709957496677049</v>
      </c>
      <c r="GI59" s="112">
        <v>33.367055053613775</v>
      </c>
      <c r="GJ59" s="112">
        <v>37.891405197340923</v>
      </c>
      <c r="GK59" s="63"/>
      <c r="GL59" s="63"/>
      <c r="GM59" s="63"/>
      <c r="GN59" s="64"/>
      <c r="GO59" s="63"/>
      <c r="GP59" s="63"/>
      <c r="GQ59" s="63"/>
      <c r="GR59" s="63"/>
      <c r="GS59" s="64"/>
      <c r="GT59" s="63"/>
      <c r="GU59" s="63"/>
      <c r="GV59" s="63"/>
      <c r="GW59" s="63"/>
      <c r="GX59" s="64"/>
      <c r="GY59" s="64"/>
      <c r="GZ59" s="64"/>
      <c r="HA59" s="64"/>
      <c r="HB59" s="64"/>
      <c r="HC59" s="64"/>
      <c r="HD59" s="65"/>
      <c r="HE59" s="65"/>
      <c r="HF59" s="65"/>
      <c r="HG59" s="65"/>
      <c r="HH59" s="65"/>
      <c r="HI59" s="66"/>
      <c r="HJ59" s="66"/>
      <c r="HK59" s="63"/>
      <c r="HL59" s="64"/>
      <c r="HM59" s="64"/>
      <c r="HN59" s="64"/>
      <c r="HO59" s="64"/>
      <c r="HP59" s="64"/>
      <c r="HQ59" s="64"/>
      <c r="HR59" s="64"/>
      <c r="HS59" s="64"/>
      <c r="HT59" s="64"/>
      <c r="HU59" s="39"/>
    </row>
    <row r="60" spans="1:229" ht="21" customHeight="1" x14ac:dyDescent="0.2">
      <c r="A60" s="37">
        <v>57</v>
      </c>
      <c r="B60" s="86" t="s">
        <v>115</v>
      </c>
      <c r="C60" s="93">
        <v>13756</v>
      </c>
      <c r="D60" s="93">
        <v>13747</v>
      </c>
      <c r="E60" s="93">
        <v>13842</v>
      </c>
      <c r="F60" s="93">
        <v>13930</v>
      </c>
      <c r="G60" s="93">
        <v>14072</v>
      </c>
      <c r="H60" s="43">
        <v>13240</v>
      </c>
      <c r="I60" s="43">
        <v>228</v>
      </c>
      <c r="J60" s="43">
        <v>237</v>
      </c>
      <c r="K60" s="43">
        <v>109</v>
      </c>
      <c r="L60" s="43">
        <v>417</v>
      </c>
      <c r="M60" s="44">
        <v>5786</v>
      </c>
      <c r="N60" s="44">
        <v>5805</v>
      </c>
      <c r="O60" s="45">
        <v>5852</v>
      </c>
      <c r="P60" s="45">
        <v>5836</v>
      </c>
      <c r="Q60" s="46">
        <v>5879</v>
      </c>
      <c r="R60" s="105">
        <v>23.120238489566081</v>
      </c>
      <c r="S60" s="105">
        <v>23.452949672258637</v>
      </c>
      <c r="T60" s="105">
        <v>24.00176971573941</v>
      </c>
      <c r="U60" s="105">
        <v>24.723370962333743</v>
      </c>
      <c r="V60" s="105">
        <v>24.917163684559309</v>
      </c>
      <c r="W60" s="105">
        <v>28.762283316771558</v>
      </c>
      <c r="X60" s="105">
        <v>29.274525052771914</v>
      </c>
      <c r="Y60" s="105">
        <v>29.10076318991262</v>
      </c>
      <c r="Z60" s="105">
        <v>30.97127528780597</v>
      </c>
      <c r="AA60" s="105">
        <v>30.505853766291143</v>
      </c>
      <c r="AB60" s="105">
        <v>51.882521806337643</v>
      </c>
      <c r="AC60" s="105">
        <v>52.727474725030554</v>
      </c>
      <c r="AD60" s="105">
        <v>53.102532905652026</v>
      </c>
      <c r="AE60" s="105">
        <v>55.694646250139712</v>
      </c>
      <c r="AF60" s="105">
        <v>55.423017450850452</v>
      </c>
      <c r="AG60" s="46">
        <v>6.9935785172212492</v>
      </c>
      <c r="AH60" s="46">
        <v>7.0285714285714285</v>
      </c>
      <c r="AI60" s="46">
        <v>9.1807282415630542</v>
      </c>
      <c r="AJ60" s="46">
        <v>8.22051337593415</v>
      </c>
      <c r="AK60" s="45">
        <v>6.9956673359399764</v>
      </c>
      <c r="AL60" s="49">
        <v>361.66666666666669</v>
      </c>
      <c r="AM60" s="49">
        <v>412.75</v>
      </c>
      <c r="AN60" s="49">
        <v>533.16666666666663</v>
      </c>
      <c r="AO60" s="49">
        <v>412.75</v>
      </c>
      <c r="AP60" s="49">
        <v>659.5</v>
      </c>
      <c r="AQ60" s="49">
        <v>39780.140093650523</v>
      </c>
      <c r="AR60" s="49">
        <v>41809.39243426553</v>
      </c>
      <c r="AS60" s="49">
        <v>39923.101868275902</v>
      </c>
      <c r="AT60" s="49">
        <v>41422.570985723854</v>
      </c>
      <c r="AU60" s="49">
        <v>42780.557134735645</v>
      </c>
      <c r="AV60" s="101">
        <v>45331.269665576678</v>
      </c>
      <c r="AW60" s="101">
        <v>49744.989832933126</v>
      </c>
      <c r="AX60" s="102">
        <v>43016.227284804016</v>
      </c>
      <c r="AY60" s="102">
        <v>44621.388010419345</v>
      </c>
      <c r="AZ60" s="102">
        <v>41986</v>
      </c>
      <c r="BA60" s="99">
        <v>11.286226471466986</v>
      </c>
      <c r="BB60" s="99">
        <v>11.27549876709258</v>
      </c>
      <c r="BC60" s="99">
        <v>12.970524909050413</v>
      </c>
      <c r="BD60" s="99">
        <v>11.465529913273556</v>
      </c>
      <c r="BE60" s="99">
        <v>12.60014566642389</v>
      </c>
      <c r="BF60" s="99">
        <v>13.311475409836065</v>
      </c>
      <c r="BG60" s="99">
        <v>12.942332896461338</v>
      </c>
      <c r="BH60" s="48">
        <v>14.948119325551232</v>
      </c>
      <c r="BI60" s="48">
        <v>15.096094234345939</v>
      </c>
      <c r="BJ60" s="48">
        <v>16.465116279069768</v>
      </c>
      <c r="BK60" s="44">
        <v>2195</v>
      </c>
      <c r="BL60" s="44">
        <v>2213</v>
      </c>
      <c r="BM60" s="44">
        <v>2209</v>
      </c>
      <c r="BN60" s="42">
        <v>2170</v>
      </c>
      <c r="BO60" s="45">
        <v>34.760820045558084</v>
      </c>
      <c r="BP60" s="45">
        <v>38.499774062358789</v>
      </c>
      <c r="BQ60" s="45">
        <v>39.112720688094157</v>
      </c>
      <c r="BR60" s="46">
        <v>38.47926267281106</v>
      </c>
      <c r="BS60" s="105">
        <v>1.2300683371298406</v>
      </c>
      <c r="BT60" s="105">
        <v>1.0393131495707184</v>
      </c>
      <c r="BU60" s="105">
        <v>1.2675418741511997</v>
      </c>
      <c r="BV60" s="105">
        <v>1.0138248847926268</v>
      </c>
      <c r="BW60" s="45">
        <v>16.036446469248293</v>
      </c>
      <c r="BX60" s="45">
        <v>16.041572525982829</v>
      </c>
      <c r="BY60" s="45">
        <v>16.794929832503396</v>
      </c>
      <c r="BZ60" s="45">
        <v>17.327188940092167</v>
      </c>
      <c r="CA60" s="44">
        <v>85.31073446327683</v>
      </c>
      <c r="CB60" s="44">
        <v>85.945945945945951</v>
      </c>
      <c r="CC60" s="44">
        <v>81.25</v>
      </c>
      <c r="CD60" s="44">
        <v>88.5</v>
      </c>
      <c r="CE60" s="45">
        <v>7.3446327683615822</v>
      </c>
      <c r="CF60" s="45">
        <v>7.0270270270270272</v>
      </c>
      <c r="CG60" s="45">
        <v>5.729166666666667</v>
      </c>
      <c r="CH60" s="45">
        <v>3.5</v>
      </c>
      <c r="CI60" s="48">
        <v>865</v>
      </c>
      <c r="CJ60" s="51">
        <v>840</v>
      </c>
      <c r="CK60" s="51">
        <v>913</v>
      </c>
      <c r="CL60" s="57">
        <v>932</v>
      </c>
      <c r="CM60" s="108">
        <v>12.87758109898617</v>
      </c>
      <c r="CN60" s="108">
        <v>12.426219322771047</v>
      </c>
      <c r="CO60" s="108">
        <v>13.424101629124273</v>
      </c>
      <c r="CP60" s="108">
        <v>13.439658528847678</v>
      </c>
      <c r="CQ60" s="60">
        <v>33</v>
      </c>
      <c r="CR60" s="60">
        <v>38</v>
      </c>
      <c r="CS60" s="60">
        <v>42</v>
      </c>
      <c r="CT60" s="60">
        <v>44</v>
      </c>
      <c r="CU60" s="108">
        <v>3.891509433962264</v>
      </c>
      <c r="CV60" s="108">
        <v>4.6116504854368934</v>
      </c>
      <c r="CW60" s="108">
        <v>4.6822742474916392</v>
      </c>
      <c r="CX60" s="108">
        <v>4.9162011173184359</v>
      </c>
      <c r="CY60" s="61">
        <v>59</v>
      </c>
      <c r="CZ60" s="57">
        <v>65</v>
      </c>
      <c r="DA60" s="60">
        <v>71</v>
      </c>
      <c r="DB60" s="60">
        <v>70</v>
      </c>
      <c r="DC60" s="108">
        <v>7.2660098522167491</v>
      </c>
      <c r="DD60" s="108">
        <v>8.0946450809464512</v>
      </c>
      <c r="DE60" s="108">
        <v>8.3040935672514617</v>
      </c>
      <c r="DF60" s="108">
        <v>8.7173100871731002</v>
      </c>
      <c r="DG60" s="108">
        <v>75.438596491228068</v>
      </c>
      <c r="DH60" s="108">
        <v>80.455635491606714</v>
      </c>
      <c r="DI60" s="108">
        <v>82.24195338512763</v>
      </c>
      <c r="DJ60" s="108">
        <v>86.171428571428578</v>
      </c>
      <c r="DK60" s="108">
        <v>14.487632508833922</v>
      </c>
      <c r="DL60" s="108">
        <v>20.693779904306218</v>
      </c>
      <c r="DM60" s="108">
        <v>20.792079207920793</v>
      </c>
      <c r="DN60" s="108">
        <v>26.429341963322546</v>
      </c>
      <c r="DO60" s="108">
        <v>29.595375722543352</v>
      </c>
      <c r="DP60" s="108">
        <v>31.904761904761905</v>
      </c>
      <c r="DQ60" s="108">
        <v>35.158817086527932</v>
      </c>
      <c r="DR60" s="108">
        <v>43.66952789699571</v>
      </c>
      <c r="DS60" s="108">
        <v>40.155945419103311</v>
      </c>
      <c r="DT60" s="108">
        <v>31.304347826086957</v>
      </c>
      <c r="DU60" s="108">
        <v>29.806884970612931</v>
      </c>
      <c r="DV60" s="108">
        <v>31.235431235431236</v>
      </c>
      <c r="DW60" s="62">
        <v>177</v>
      </c>
      <c r="DX60" s="62">
        <v>4</v>
      </c>
      <c r="DY60" s="57">
        <v>4</v>
      </c>
      <c r="DZ60" s="60">
        <v>3</v>
      </c>
      <c r="EA60" s="60">
        <v>16</v>
      </c>
      <c r="EB60" s="60">
        <v>5</v>
      </c>
      <c r="EC60" s="60">
        <v>7</v>
      </c>
      <c r="ED60" s="57">
        <v>5</v>
      </c>
      <c r="EE60" s="60">
        <v>5</v>
      </c>
      <c r="EF60" s="60">
        <v>754</v>
      </c>
      <c r="EG60" s="60">
        <v>731</v>
      </c>
      <c r="EH60" s="60">
        <v>713</v>
      </c>
      <c r="EI60" s="60">
        <v>676</v>
      </c>
      <c r="EJ60" s="115">
        <v>156</v>
      </c>
      <c r="EK60" s="115">
        <v>0</v>
      </c>
      <c r="EL60" s="115">
        <v>0</v>
      </c>
      <c r="EM60" s="115">
        <v>0</v>
      </c>
      <c r="EN60" s="115">
        <v>1</v>
      </c>
      <c r="EO60" s="108">
        <v>1122.5082252757886</v>
      </c>
      <c r="EP60" s="108">
        <v>1081.3769434459089</v>
      </c>
      <c r="EQ60" s="108">
        <v>1048.3444098100335</v>
      </c>
      <c r="ER60" s="108">
        <v>974.80785037564715</v>
      </c>
      <c r="ES60" s="108">
        <v>820.62672189709542</v>
      </c>
      <c r="ET60" s="108">
        <v>790.68511236821564</v>
      </c>
      <c r="EU60" s="108">
        <v>766.46968191780149</v>
      </c>
      <c r="EV60" s="108">
        <v>706.69816370221281</v>
      </c>
      <c r="EW60" s="108">
        <v>1052.226068441274</v>
      </c>
      <c r="EX60" s="108">
        <v>969.62352970367738</v>
      </c>
      <c r="EY60" s="108">
        <v>1014.5547952282111</v>
      </c>
      <c r="EZ60" s="108">
        <v>854.25791210540683</v>
      </c>
      <c r="FA60" s="108">
        <v>639.23213960659803</v>
      </c>
      <c r="FB60" s="108">
        <v>650.82771174317122</v>
      </c>
      <c r="FC60" s="108">
        <v>583.00132294602554</v>
      </c>
      <c r="FD60" s="108">
        <v>599.04867896947815</v>
      </c>
      <c r="FE60" s="57">
        <v>153</v>
      </c>
      <c r="FF60" s="62">
        <v>152</v>
      </c>
      <c r="FG60" s="62">
        <v>156</v>
      </c>
      <c r="FH60" s="62">
        <v>149</v>
      </c>
      <c r="FI60" s="108">
        <v>179.18711096659916</v>
      </c>
      <c r="FJ60" s="108">
        <v>181.09469694963809</v>
      </c>
      <c r="FK60" s="108">
        <v>178.9510292360354</v>
      </c>
      <c r="FL60" s="108">
        <v>167.11277783779323</v>
      </c>
      <c r="FM60" s="62">
        <v>195</v>
      </c>
      <c r="FN60" s="62">
        <v>207</v>
      </c>
      <c r="FO60" s="57">
        <v>178</v>
      </c>
      <c r="FP60" s="62">
        <v>134</v>
      </c>
      <c r="FQ60" s="108">
        <v>207.34618920955609</v>
      </c>
      <c r="FR60" s="108">
        <v>219.38669468118513</v>
      </c>
      <c r="FS60" s="108">
        <v>187.05569225112743</v>
      </c>
      <c r="FT60" s="108">
        <v>131.88209003857534</v>
      </c>
      <c r="FU60" s="60">
        <v>69</v>
      </c>
      <c r="FV60" s="60">
        <v>76</v>
      </c>
      <c r="FW60" s="60">
        <v>52</v>
      </c>
      <c r="FX60" s="60">
        <v>29</v>
      </c>
      <c r="FY60" s="108">
        <v>67.240593770769479</v>
      </c>
      <c r="FZ60" s="108">
        <v>77.982244752984741</v>
      </c>
      <c r="GA60" s="108">
        <v>50.2567297527074</v>
      </c>
      <c r="GB60" s="108">
        <v>27.632961362449507</v>
      </c>
      <c r="GC60" s="63">
        <v>37</v>
      </c>
      <c r="GD60" s="64">
        <v>34</v>
      </c>
      <c r="GE60" s="63">
        <v>27</v>
      </c>
      <c r="GF60" s="63">
        <v>44</v>
      </c>
      <c r="GG60" s="112">
        <v>49.586212932915622</v>
      </c>
      <c r="GH60" s="112">
        <v>41.526288420191747</v>
      </c>
      <c r="GI60" s="112">
        <v>35.710719900543452</v>
      </c>
      <c r="GJ60" s="112">
        <v>55.020196848976219</v>
      </c>
      <c r="GK60" s="63"/>
      <c r="GL60" s="63"/>
      <c r="GM60" s="63"/>
      <c r="GN60" s="64"/>
      <c r="GO60" s="63"/>
      <c r="GP60" s="63"/>
      <c r="GQ60" s="63"/>
      <c r="GR60" s="63"/>
      <c r="GS60" s="64"/>
      <c r="GT60" s="63"/>
      <c r="GU60" s="63"/>
      <c r="GV60" s="63"/>
      <c r="GW60" s="63"/>
      <c r="GX60" s="64"/>
      <c r="GY60" s="64"/>
      <c r="GZ60" s="64"/>
      <c r="HA60" s="64"/>
      <c r="HB60" s="64"/>
      <c r="HC60" s="64"/>
      <c r="HD60" s="65"/>
      <c r="HE60" s="65"/>
      <c r="HF60" s="65"/>
      <c r="HG60" s="65"/>
      <c r="HH60" s="65"/>
      <c r="HI60" s="66"/>
      <c r="HJ60" s="66"/>
      <c r="HK60" s="63"/>
      <c r="HL60" s="64"/>
      <c r="HM60" s="64"/>
      <c r="HN60" s="64"/>
      <c r="HO60" s="64"/>
      <c r="HP60" s="64"/>
      <c r="HQ60" s="64"/>
      <c r="HR60" s="64"/>
      <c r="HS60" s="64"/>
      <c r="HT60" s="64"/>
      <c r="HU60" s="39"/>
    </row>
    <row r="61" spans="1:229" x14ac:dyDescent="0.2">
      <c r="A61" s="37">
        <v>58</v>
      </c>
      <c r="B61" s="86" t="s">
        <v>116</v>
      </c>
      <c r="C61" s="93">
        <v>28164</v>
      </c>
      <c r="D61" s="93">
        <v>28297</v>
      </c>
      <c r="E61" s="93">
        <v>28368</v>
      </c>
      <c r="F61" s="93">
        <v>29750</v>
      </c>
      <c r="G61" s="93">
        <v>29604</v>
      </c>
      <c r="H61" s="43">
        <v>27321</v>
      </c>
      <c r="I61" s="43">
        <v>655</v>
      </c>
      <c r="J61" s="43">
        <v>933</v>
      </c>
      <c r="K61" s="43">
        <v>149</v>
      </c>
      <c r="L61" s="43">
        <v>727</v>
      </c>
      <c r="M61" s="44">
        <v>11073</v>
      </c>
      <c r="N61" s="44">
        <v>11014</v>
      </c>
      <c r="O61" s="45">
        <v>11014</v>
      </c>
      <c r="P61" s="45">
        <v>11373</v>
      </c>
      <c r="Q61" s="46">
        <v>11369</v>
      </c>
      <c r="R61" s="105">
        <v>23.325904701262868</v>
      </c>
      <c r="S61" s="105">
        <v>23.572181243414121</v>
      </c>
      <c r="T61" s="105">
        <v>24.942706390236104</v>
      </c>
      <c r="U61" s="105">
        <v>24.925572323170105</v>
      </c>
      <c r="V61" s="105">
        <v>25.443481848184817</v>
      </c>
      <c r="W61" s="105">
        <v>26.116947893452192</v>
      </c>
      <c r="X61" s="105">
        <v>25.516332982086407</v>
      </c>
      <c r="Y61" s="105">
        <v>26.248467729041199</v>
      </c>
      <c r="Z61" s="105">
        <v>27.779488758854328</v>
      </c>
      <c r="AA61" s="105">
        <v>27.217409240924091</v>
      </c>
      <c r="AB61" s="105">
        <v>49.442852594715056</v>
      </c>
      <c r="AC61" s="105">
        <v>49.088514225500525</v>
      </c>
      <c r="AD61" s="105">
        <v>51.191174119277299</v>
      </c>
      <c r="AE61" s="105">
        <v>52.705061082024436</v>
      </c>
      <c r="AF61" s="105">
        <v>52.660891089108908</v>
      </c>
      <c r="AG61" s="46">
        <v>7.75278445075344</v>
      </c>
      <c r="AH61" s="46">
        <v>8.4787503518153677</v>
      </c>
      <c r="AI61" s="46">
        <v>11.603231106243154</v>
      </c>
      <c r="AJ61" s="46">
        <v>10.297699594046009</v>
      </c>
      <c r="AK61" s="45">
        <v>9.3115503563264763</v>
      </c>
      <c r="AL61" s="49">
        <v>834</v>
      </c>
      <c r="AM61" s="49">
        <v>929</v>
      </c>
      <c r="AN61" s="49">
        <v>1199.4166666666667</v>
      </c>
      <c r="AO61" s="49">
        <v>929</v>
      </c>
      <c r="AP61" s="49">
        <v>1711.3333333333333</v>
      </c>
      <c r="AQ61" s="49">
        <v>28033.234386751035</v>
      </c>
      <c r="AR61" s="49">
        <v>28095.506177163388</v>
      </c>
      <c r="AS61" s="49">
        <v>28141.352041655817</v>
      </c>
      <c r="AT61" s="49">
        <v>28413.103315121505</v>
      </c>
      <c r="AU61" s="49">
        <v>28706.695041210649</v>
      </c>
      <c r="AV61" s="101">
        <v>47527.045417715657</v>
      </c>
      <c r="AW61" s="101">
        <v>46956.537321820877</v>
      </c>
      <c r="AX61" s="102">
        <v>41214.92866498552</v>
      </c>
      <c r="AY61" s="102">
        <v>43361.846796235826</v>
      </c>
      <c r="AZ61" s="102">
        <v>42447</v>
      </c>
      <c r="BA61" s="99">
        <v>12.251246111756549</v>
      </c>
      <c r="BB61" s="99">
        <v>13.629842180774748</v>
      </c>
      <c r="BC61" s="99">
        <v>18.856732658304367</v>
      </c>
      <c r="BD61" s="99">
        <v>15.154998383562628</v>
      </c>
      <c r="BE61" s="99">
        <v>15.868090633569057</v>
      </c>
      <c r="BF61" s="99">
        <v>19.031663595242083</v>
      </c>
      <c r="BG61" s="99">
        <v>18.042918454935624</v>
      </c>
      <c r="BH61" s="48">
        <v>25.692909369154904</v>
      </c>
      <c r="BI61" s="48">
        <v>21.731642398622203</v>
      </c>
      <c r="BJ61" s="48">
        <v>24.028382518948558</v>
      </c>
      <c r="BK61" s="44">
        <v>3899</v>
      </c>
      <c r="BL61" s="44">
        <v>3907</v>
      </c>
      <c r="BM61" s="44">
        <v>3910</v>
      </c>
      <c r="BN61" s="42">
        <v>3878</v>
      </c>
      <c r="BO61" s="45">
        <v>45.088484226724802</v>
      </c>
      <c r="BP61" s="45">
        <v>47.88840542615818</v>
      </c>
      <c r="BQ61" s="45">
        <v>49.744245524296673</v>
      </c>
      <c r="BR61" s="46">
        <v>49.045899948427021</v>
      </c>
      <c r="BS61" s="105">
        <v>0.56424724288279049</v>
      </c>
      <c r="BT61" s="105">
        <v>0.58868697210135656</v>
      </c>
      <c r="BU61" s="105">
        <v>0.61381074168797956</v>
      </c>
      <c r="BV61" s="105">
        <v>0.69623517276946878</v>
      </c>
      <c r="BW61" s="45">
        <v>10.746345216722236</v>
      </c>
      <c r="BX61" s="45">
        <v>11.645764013309444</v>
      </c>
      <c r="BY61" s="45">
        <v>12.327365728900256</v>
      </c>
      <c r="BZ61" s="45">
        <v>12.661165549252193</v>
      </c>
      <c r="CA61" s="44">
        <v>78.47025495750708</v>
      </c>
      <c r="CB61" s="44">
        <v>75.548589341692789</v>
      </c>
      <c r="CC61" s="44">
        <v>81.26888217522658</v>
      </c>
      <c r="CD61" s="44">
        <v>80.39</v>
      </c>
      <c r="CE61" s="45">
        <v>7.6487252124645888</v>
      </c>
      <c r="CF61" s="45">
        <v>7.523510971786834</v>
      </c>
      <c r="CG61" s="45">
        <v>7.8549848942598191</v>
      </c>
      <c r="CH61" s="45">
        <v>7.72</v>
      </c>
      <c r="CI61" s="48">
        <v>1301</v>
      </c>
      <c r="CJ61" s="51">
        <v>1468</v>
      </c>
      <c r="CK61" s="51">
        <v>1636</v>
      </c>
      <c r="CL61" s="57">
        <v>1594</v>
      </c>
      <c r="CM61" s="108">
        <v>11.524492869164673</v>
      </c>
      <c r="CN61" s="108">
        <v>11.677763724156584</v>
      </c>
      <c r="CO61" s="108">
        <v>11.676873224558548</v>
      </c>
      <c r="CP61" s="108">
        <v>11.055394880117628</v>
      </c>
      <c r="CQ61" s="60">
        <v>65</v>
      </c>
      <c r="CR61" s="60">
        <v>61</v>
      </c>
      <c r="CS61" s="60">
        <v>83</v>
      </c>
      <c r="CT61" s="60">
        <v>73</v>
      </c>
      <c r="CU61" s="108">
        <v>5.0900548159749412</v>
      </c>
      <c r="CV61" s="108">
        <v>4.2807017543859649</v>
      </c>
      <c r="CW61" s="108">
        <v>5.2037617554858935</v>
      </c>
      <c r="CX61" s="108">
        <v>4.709677419354839</v>
      </c>
      <c r="CY61" s="61">
        <v>90</v>
      </c>
      <c r="CZ61" s="57">
        <v>82</v>
      </c>
      <c r="DA61" s="60">
        <v>111</v>
      </c>
      <c r="DB61" s="60">
        <v>106</v>
      </c>
      <c r="DC61" s="108">
        <v>7.9505300353356887</v>
      </c>
      <c r="DD61" s="108">
        <v>6.3467492260061915</v>
      </c>
      <c r="DE61" s="108">
        <v>9.5442820292347381</v>
      </c>
      <c r="DF61" s="108">
        <v>8.8926174496644297</v>
      </c>
      <c r="DG61" s="108">
        <v>76.015936254980076</v>
      </c>
      <c r="DH61" s="108">
        <v>78.410689170182835</v>
      </c>
      <c r="DI61" s="108">
        <v>80.3125</v>
      </c>
      <c r="DJ61" s="108">
        <v>80.872913992297811</v>
      </c>
      <c r="DK61" s="108">
        <v>24.126455906821963</v>
      </c>
      <c r="DL61" s="108">
        <v>26.689895470383274</v>
      </c>
      <c r="DM61" s="108">
        <v>25.015441630636197</v>
      </c>
      <c r="DN61" s="108">
        <v>28.363866077068856</v>
      </c>
      <c r="DO61" s="108">
        <v>31.591083781706381</v>
      </c>
      <c r="DP61" s="108">
        <v>36.648501362397823</v>
      </c>
      <c r="DQ61" s="108">
        <v>40.097799511002442</v>
      </c>
      <c r="DR61" s="108">
        <v>44.193345888261142</v>
      </c>
      <c r="DS61" s="108">
        <v>45.925139368197506</v>
      </c>
      <c r="DT61" s="108">
        <v>40.119504908237303</v>
      </c>
      <c r="DU61" s="108">
        <v>37.987679671457904</v>
      </c>
      <c r="DV61" s="108">
        <v>40.122008446738619</v>
      </c>
      <c r="DW61" s="62">
        <v>288</v>
      </c>
      <c r="DX61" s="62">
        <v>7</v>
      </c>
      <c r="DY61" s="57">
        <v>18</v>
      </c>
      <c r="DZ61" s="60">
        <v>1</v>
      </c>
      <c r="EA61" s="60">
        <v>8</v>
      </c>
      <c r="EB61" s="60">
        <v>12</v>
      </c>
      <c r="EC61" s="60">
        <v>7</v>
      </c>
      <c r="ED61" s="57">
        <v>12</v>
      </c>
      <c r="EE61" s="60">
        <v>13</v>
      </c>
      <c r="EF61" s="60">
        <v>1182</v>
      </c>
      <c r="EG61" s="60">
        <v>1165</v>
      </c>
      <c r="EH61" s="60">
        <v>1246</v>
      </c>
      <c r="EI61" s="60">
        <v>1217</v>
      </c>
      <c r="EJ61" s="115">
        <v>235</v>
      </c>
      <c r="EK61" s="115">
        <v>0</v>
      </c>
      <c r="EL61" s="115">
        <v>4</v>
      </c>
      <c r="EM61" s="115">
        <v>1</v>
      </c>
      <c r="EN61" s="115">
        <v>1</v>
      </c>
      <c r="EO61" s="108">
        <v>1047.0369386128089</v>
      </c>
      <c r="EP61" s="108">
        <v>926.74351080670442</v>
      </c>
      <c r="EQ61" s="108">
        <v>889.32665267725861</v>
      </c>
      <c r="ER61" s="108">
        <v>844.06622139919409</v>
      </c>
      <c r="ES61" s="108">
        <v>883.24934588960434</v>
      </c>
      <c r="ET61" s="108">
        <v>796.91565859625882</v>
      </c>
      <c r="EU61" s="108">
        <v>751.92807437213719</v>
      </c>
      <c r="EV61" s="108">
        <v>680.92910651852605</v>
      </c>
      <c r="EW61" s="108">
        <v>1124.0803935304252</v>
      </c>
      <c r="EX61" s="108">
        <v>980.79618097348748</v>
      </c>
      <c r="EY61" s="108">
        <v>896.47011733441354</v>
      </c>
      <c r="EZ61" s="108">
        <v>816.44423132818406</v>
      </c>
      <c r="FA61" s="108">
        <v>684.84381008371463</v>
      </c>
      <c r="FB61" s="108">
        <v>635.37312105623062</v>
      </c>
      <c r="FC61" s="108">
        <v>622.65672028018275</v>
      </c>
      <c r="FD61" s="108">
        <v>565.45832050505658</v>
      </c>
      <c r="FE61" s="57">
        <v>269</v>
      </c>
      <c r="FF61" s="62">
        <v>306</v>
      </c>
      <c r="FG61" s="62">
        <v>348</v>
      </c>
      <c r="FH61" s="62">
        <v>308</v>
      </c>
      <c r="FI61" s="108">
        <v>201.4905108933751</v>
      </c>
      <c r="FJ61" s="108">
        <v>207.75951399840881</v>
      </c>
      <c r="FK61" s="108">
        <v>211.16523222673476</v>
      </c>
      <c r="FL61" s="108">
        <v>167.54759782962955</v>
      </c>
      <c r="FM61" s="62">
        <v>363</v>
      </c>
      <c r="FN61" s="62">
        <v>326</v>
      </c>
      <c r="FO61" s="57">
        <v>320</v>
      </c>
      <c r="FP61" s="62">
        <v>252</v>
      </c>
      <c r="FQ61" s="108">
        <v>265.50416952148436</v>
      </c>
      <c r="FR61" s="108">
        <v>218.75989821145816</v>
      </c>
      <c r="FS61" s="108">
        <v>190.00405946081293</v>
      </c>
      <c r="FT61" s="108">
        <v>137.68392623929532</v>
      </c>
      <c r="FU61" s="60">
        <v>97</v>
      </c>
      <c r="FV61" s="60">
        <v>75</v>
      </c>
      <c r="FW61" s="60">
        <v>71</v>
      </c>
      <c r="FX61" s="60">
        <v>72</v>
      </c>
      <c r="FY61" s="108">
        <v>69.306490922811037</v>
      </c>
      <c r="FZ61" s="108">
        <v>50.41616208124907</v>
      </c>
      <c r="GA61" s="108">
        <v>41.277221264572376</v>
      </c>
      <c r="GB61" s="108">
        <v>39.39043548216258</v>
      </c>
      <c r="GC61" s="63">
        <v>64</v>
      </c>
      <c r="GD61" s="64">
        <v>69</v>
      </c>
      <c r="GE61" s="63">
        <v>73</v>
      </c>
      <c r="GF61" s="63">
        <v>76</v>
      </c>
      <c r="GG61" s="112">
        <v>54.627156769703952</v>
      </c>
      <c r="GH61" s="112">
        <v>52.368833387134316</v>
      </c>
      <c r="GI61" s="112">
        <v>48.209584006850989</v>
      </c>
      <c r="GJ61" s="112">
        <v>47.096265246539396</v>
      </c>
      <c r="GK61" s="63"/>
      <c r="GL61" s="63"/>
      <c r="GM61" s="63"/>
      <c r="GN61" s="64"/>
      <c r="GO61" s="63"/>
      <c r="GP61" s="63"/>
      <c r="GQ61" s="63"/>
      <c r="GR61" s="63"/>
      <c r="GS61" s="64"/>
      <c r="GT61" s="63"/>
      <c r="GU61" s="63"/>
      <c r="GV61" s="63"/>
      <c r="GW61" s="63"/>
      <c r="GX61" s="64"/>
      <c r="GY61" s="64"/>
      <c r="GZ61" s="64"/>
      <c r="HA61" s="64"/>
      <c r="HB61" s="64"/>
      <c r="HC61" s="64"/>
      <c r="HD61" s="65"/>
      <c r="HE61" s="65"/>
      <c r="HF61" s="65"/>
      <c r="HG61" s="65"/>
      <c r="HH61" s="65"/>
      <c r="HI61" s="66"/>
      <c r="HJ61" s="66"/>
      <c r="HK61" s="63"/>
      <c r="HL61" s="64"/>
      <c r="HM61" s="64"/>
      <c r="HN61" s="64"/>
      <c r="HO61" s="64"/>
      <c r="HP61" s="64"/>
      <c r="HQ61" s="64"/>
      <c r="HR61" s="64"/>
      <c r="HS61" s="64"/>
      <c r="HT61" s="64"/>
      <c r="HU61" s="39"/>
    </row>
    <row r="62" spans="1:229" x14ac:dyDescent="0.2">
      <c r="A62" s="37">
        <v>59</v>
      </c>
      <c r="B62" s="86" t="s">
        <v>117</v>
      </c>
      <c r="C62" s="93">
        <v>9305</v>
      </c>
      <c r="D62" s="93">
        <v>9395</v>
      </c>
      <c r="E62" s="93">
        <v>9353</v>
      </c>
      <c r="F62" s="93">
        <v>9596</v>
      </c>
      <c r="G62" s="93">
        <v>9501</v>
      </c>
      <c r="H62" s="43">
        <v>9020</v>
      </c>
      <c r="I62" s="43">
        <v>101</v>
      </c>
      <c r="J62" s="43">
        <v>124</v>
      </c>
      <c r="K62" s="43">
        <v>81</v>
      </c>
      <c r="L62" s="43">
        <v>375</v>
      </c>
      <c r="M62" s="44">
        <v>4027</v>
      </c>
      <c r="N62" s="44">
        <v>4053</v>
      </c>
      <c r="O62" s="45">
        <v>4056</v>
      </c>
      <c r="P62" s="45">
        <v>4054</v>
      </c>
      <c r="Q62" s="46">
        <v>4038</v>
      </c>
      <c r="R62" s="105">
        <v>35.980638221584798</v>
      </c>
      <c r="S62" s="105">
        <v>35.652173913043477</v>
      </c>
      <c r="T62" s="105">
        <v>35.764144011756059</v>
      </c>
      <c r="U62" s="105">
        <v>33.164689462665734</v>
      </c>
      <c r="V62" s="105">
        <v>33.462966236521126</v>
      </c>
      <c r="W62" s="105">
        <v>30.835424883470779</v>
      </c>
      <c r="X62" s="105">
        <v>31.073646850044366</v>
      </c>
      <c r="Y62" s="105">
        <v>36.039676708302721</v>
      </c>
      <c r="Z62" s="105">
        <v>34.246336357292392</v>
      </c>
      <c r="AA62" s="105">
        <v>34.488244652642742</v>
      </c>
      <c r="AB62" s="105">
        <v>66.816063105055576</v>
      </c>
      <c r="AC62" s="105">
        <v>66.725820763087839</v>
      </c>
      <c r="AD62" s="105">
        <v>71.803820720058781</v>
      </c>
      <c r="AE62" s="105">
        <v>67.411025819958127</v>
      </c>
      <c r="AF62" s="105">
        <v>67.951210889163875</v>
      </c>
      <c r="AG62" s="46">
        <v>3.7931685223627101</v>
      </c>
      <c r="AH62" s="46">
        <v>4.3995032818875286</v>
      </c>
      <c r="AI62" s="46">
        <v>6.5820067966374527</v>
      </c>
      <c r="AJ62" s="46">
        <v>6.0377358490566042</v>
      </c>
      <c r="AK62" s="45">
        <v>5.9414826781547294</v>
      </c>
      <c r="AL62" s="49">
        <v>222.5</v>
      </c>
      <c r="AM62" s="49">
        <v>231.41666666666666</v>
      </c>
      <c r="AN62" s="49">
        <v>294.41666666666669</v>
      </c>
      <c r="AO62" s="49">
        <v>231.41666666666666</v>
      </c>
      <c r="AP62" s="49">
        <v>396.5</v>
      </c>
      <c r="AQ62" s="49">
        <v>38093.276006904198</v>
      </c>
      <c r="AR62" s="49">
        <v>41451.660117212385</v>
      </c>
      <c r="AS62" s="49">
        <v>39764.347240930147</v>
      </c>
      <c r="AT62" s="49">
        <v>42259.525773639834</v>
      </c>
      <c r="AU62" s="49">
        <v>43130.828333859594</v>
      </c>
      <c r="AV62" s="101">
        <v>39501.181280203717</v>
      </c>
      <c r="AW62" s="101">
        <v>43274.818832064579</v>
      </c>
      <c r="AX62" s="102">
        <v>43308.754825507953</v>
      </c>
      <c r="AY62" s="102">
        <v>46296.650034853432</v>
      </c>
      <c r="AZ62" s="102">
        <v>43726</v>
      </c>
      <c r="BA62" s="99">
        <v>11.518555225195463</v>
      </c>
      <c r="BB62" s="99">
        <v>10.639921508775755</v>
      </c>
      <c r="BC62" s="99">
        <v>10.565541429197721</v>
      </c>
      <c r="BD62" s="99">
        <v>10.525192143467121</v>
      </c>
      <c r="BE62" s="99">
        <v>12.691065662002153</v>
      </c>
      <c r="BF62" s="99">
        <v>14.643363249881908</v>
      </c>
      <c r="BG62" s="99">
        <v>14.100185528756958</v>
      </c>
      <c r="BH62" s="48">
        <v>14.219212865002117</v>
      </c>
      <c r="BI62" s="48">
        <v>15.866209262435678</v>
      </c>
      <c r="BJ62" s="48">
        <v>17.832469775474959</v>
      </c>
      <c r="BK62" s="44">
        <v>1477</v>
      </c>
      <c r="BL62" s="44">
        <v>1491</v>
      </c>
      <c r="BM62" s="44">
        <v>1475</v>
      </c>
      <c r="BN62" s="42">
        <v>1471</v>
      </c>
      <c r="BO62" s="45">
        <v>40.758293838862556</v>
      </c>
      <c r="BP62" s="45">
        <v>42.991281019450035</v>
      </c>
      <c r="BQ62" s="45">
        <v>43.050847457627121</v>
      </c>
      <c r="BR62" s="46">
        <v>43.3718558803535</v>
      </c>
      <c r="BS62" s="105">
        <v>3.2498307379823967</v>
      </c>
      <c r="BT62" s="105">
        <v>3.8900067069081152</v>
      </c>
      <c r="BU62" s="105">
        <v>4.0677966101694913</v>
      </c>
      <c r="BV62" s="105">
        <v>4.2148198504418763</v>
      </c>
      <c r="BW62" s="45">
        <v>16.113744075829384</v>
      </c>
      <c r="BX62" s="45">
        <v>16.834339369550637</v>
      </c>
      <c r="BY62" s="45">
        <v>15.932203389830509</v>
      </c>
      <c r="BZ62" s="45">
        <v>16.111488783140722</v>
      </c>
      <c r="CA62" s="44">
        <v>82.608695652173907</v>
      </c>
      <c r="CB62" s="44">
        <v>85.294117647058826</v>
      </c>
      <c r="CC62" s="44">
        <v>89.6</v>
      </c>
      <c r="CD62" s="44">
        <v>86.96</v>
      </c>
      <c r="CE62" s="45">
        <v>4.3478260869565215</v>
      </c>
      <c r="CF62" s="45">
        <v>2.9411764705882355</v>
      </c>
      <c r="CG62" s="45">
        <v>1.6</v>
      </c>
      <c r="CH62" s="45">
        <v>6.09</v>
      </c>
      <c r="CI62" s="48">
        <v>623</v>
      </c>
      <c r="CJ62" s="51">
        <v>565</v>
      </c>
      <c r="CK62" s="51">
        <v>620</v>
      </c>
      <c r="CL62" s="57">
        <v>622</v>
      </c>
      <c r="CM62" s="108">
        <v>12.056119980648283</v>
      </c>
      <c r="CN62" s="108">
        <v>11.315162317505457</v>
      </c>
      <c r="CO62" s="108">
        <v>12.953097252689856</v>
      </c>
      <c r="CP62" s="108">
        <v>13.191940615058325</v>
      </c>
      <c r="CQ62" s="60">
        <v>23</v>
      </c>
      <c r="CR62" s="60">
        <v>24</v>
      </c>
      <c r="CS62" s="60">
        <v>31</v>
      </c>
      <c r="CT62" s="60">
        <v>28</v>
      </c>
      <c r="CU62" s="108">
        <v>3.7828947368421053</v>
      </c>
      <c r="CV62" s="108">
        <v>4.2933810375670838</v>
      </c>
      <c r="CW62" s="108">
        <v>5.1580698835274541</v>
      </c>
      <c r="CX62" s="108">
        <v>4.6822742474916392</v>
      </c>
      <c r="CY62" s="61">
        <v>40</v>
      </c>
      <c r="CZ62" s="57">
        <v>50</v>
      </c>
      <c r="DA62" s="60">
        <v>44</v>
      </c>
      <c r="DB62" s="60">
        <v>50</v>
      </c>
      <c r="DC62" s="108">
        <v>6.968641114982578</v>
      </c>
      <c r="DD62" s="108">
        <v>9.2421441774491679</v>
      </c>
      <c r="DE62" s="108">
        <v>7.746478873239437</v>
      </c>
      <c r="DF62" s="108">
        <v>8.7873462214411244</v>
      </c>
      <c r="DG62" s="108">
        <v>85.831960461285007</v>
      </c>
      <c r="DH62" s="108">
        <v>77.5</v>
      </c>
      <c r="DI62" s="108">
        <v>85.760517799352755</v>
      </c>
      <c r="DJ62" s="108">
        <v>84.277879341864718</v>
      </c>
      <c r="DK62" s="108">
        <v>11.505922165820643</v>
      </c>
      <c r="DL62" s="108">
        <v>14.742451154529308</v>
      </c>
      <c r="DM62" s="108">
        <v>16.990291262135923</v>
      </c>
      <c r="DN62" s="108">
        <v>18.932038834951456</v>
      </c>
      <c r="DO62" s="108">
        <v>17.81701444622793</v>
      </c>
      <c r="DP62" s="108">
        <v>20.176991150442479</v>
      </c>
      <c r="DQ62" s="108">
        <v>28.225806451612904</v>
      </c>
      <c r="DR62" s="108">
        <v>34.62157809983897</v>
      </c>
      <c r="DS62" s="108">
        <v>32.088374539715936</v>
      </c>
      <c r="DT62" s="108">
        <v>18.26923076923077</v>
      </c>
      <c r="DU62" s="108">
        <v>34.152186938286398</v>
      </c>
      <c r="DV62" s="108">
        <v>31.984334203655351</v>
      </c>
      <c r="DW62" s="62">
        <v>96</v>
      </c>
      <c r="DX62" s="62">
        <v>3</v>
      </c>
      <c r="DY62" s="57">
        <v>1</v>
      </c>
      <c r="DZ62" s="60">
        <v>2</v>
      </c>
      <c r="EA62" s="60">
        <v>9</v>
      </c>
      <c r="EB62" s="60">
        <v>4</v>
      </c>
      <c r="EC62" s="60">
        <v>4</v>
      </c>
      <c r="ED62" s="57">
        <v>3</v>
      </c>
      <c r="EE62" s="60">
        <v>3</v>
      </c>
      <c r="EF62" s="60">
        <v>656</v>
      </c>
      <c r="EG62" s="60">
        <v>616</v>
      </c>
      <c r="EH62" s="60">
        <v>652</v>
      </c>
      <c r="EI62" s="60">
        <v>579</v>
      </c>
      <c r="EJ62" s="115">
        <v>97</v>
      </c>
      <c r="EK62" s="115">
        <v>0</v>
      </c>
      <c r="EL62" s="115">
        <v>1</v>
      </c>
      <c r="EM62" s="115">
        <v>0</v>
      </c>
      <c r="EN62" s="115">
        <v>2</v>
      </c>
      <c r="EO62" s="108">
        <v>1269.4726656990808</v>
      </c>
      <c r="EP62" s="108">
        <v>1233.6530951474977</v>
      </c>
      <c r="EQ62" s="108">
        <v>1362.1644207667398</v>
      </c>
      <c r="ER62" s="108">
        <v>1227.9957582184518</v>
      </c>
      <c r="ES62" s="108">
        <v>782.60076919990843</v>
      </c>
      <c r="ET62" s="108">
        <v>717.42760384249743</v>
      </c>
      <c r="EU62" s="108">
        <v>743.11631858056808</v>
      </c>
      <c r="EV62" s="108">
        <v>675.84226808347114</v>
      </c>
      <c r="EW62" s="108">
        <v>994.57982219853784</v>
      </c>
      <c r="EX62" s="108">
        <v>893.82706940498906</v>
      </c>
      <c r="EY62" s="108">
        <v>1000.8560167677723</v>
      </c>
      <c r="EZ62" s="108">
        <v>882.59531792861435</v>
      </c>
      <c r="FA62" s="108">
        <v>630.25748392803973</v>
      </c>
      <c r="FB62" s="108">
        <v>584.38874229342366</v>
      </c>
      <c r="FC62" s="108">
        <v>547.06793126889977</v>
      </c>
      <c r="FD62" s="108">
        <v>518.21088911733386</v>
      </c>
      <c r="FE62" s="57">
        <v>142</v>
      </c>
      <c r="FF62" s="62">
        <v>144</v>
      </c>
      <c r="FG62" s="62">
        <v>138</v>
      </c>
      <c r="FH62" s="62">
        <v>141</v>
      </c>
      <c r="FI62" s="108">
        <v>193.00035662737523</v>
      </c>
      <c r="FJ62" s="108">
        <v>181.19889375975168</v>
      </c>
      <c r="FK62" s="108">
        <v>178.05971197276659</v>
      </c>
      <c r="FL62" s="108">
        <v>183.14779157110621</v>
      </c>
      <c r="FM62" s="62">
        <v>196</v>
      </c>
      <c r="FN62" s="62">
        <v>131</v>
      </c>
      <c r="FO62" s="57">
        <v>113</v>
      </c>
      <c r="FP62" s="62">
        <v>117</v>
      </c>
      <c r="FQ62" s="108">
        <v>216.33651552125986</v>
      </c>
      <c r="FR62" s="108">
        <v>142.98094153061302</v>
      </c>
      <c r="FS62" s="108">
        <v>119.09715963707998</v>
      </c>
      <c r="FT62" s="108">
        <v>121.38847967137505</v>
      </c>
      <c r="FU62" s="60">
        <v>68</v>
      </c>
      <c r="FV62" s="60">
        <v>56</v>
      </c>
      <c r="FW62" s="60">
        <v>58</v>
      </c>
      <c r="FX62" s="60">
        <v>54</v>
      </c>
      <c r="FY62" s="108">
        <v>68.259652777834816</v>
      </c>
      <c r="FZ62" s="108">
        <v>55.168631695450344</v>
      </c>
      <c r="GA62" s="108">
        <v>54.928753109817251</v>
      </c>
      <c r="GB62" s="108">
        <v>53.046171532079356</v>
      </c>
      <c r="GC62" s="63">
        <v>17</v>
      </c>
      <c r="GD62" s="64">
        <v>25</v>
      </c>
      <c r="GE62" s="63">
        <v>33</v>
      </c>
      <c r="GF62" s="63">
        <v>25</v>
      </c>
      <c r="GG62" s="112" t="s">
        <v>39</v>
      </c>
      <c r="GH62" s="112">
        <v>45.113130395247865</v>
      </c>
      <c r="GI62" s="112">
        <v>45.557395214227675</v>
      </c>
      <c r="GJ62" s="112">
        <v>41.550995413934324</v>
      </c>
      <c r="GK62" s="63"/>
      <c r="GL62" s="63"/>
      <c r="GM62" s="63"/>
      <c r="GN62" s="64"/>
      <c r="GO62" s="63"/>
      <c r="GP62" s="63"/>
      <c r="GQ62" s="63"/>
      <c r="GR62" s="63"/>
      <c r="GS62" s="64"/>
      <c r="GT62" s="63"/>
      <c r="GU62" s="63"/>
      <c r="GV62" s="63"/>
      <c r="GW62" s="63"/>
      <c r="GX62" s="64"/>
      <c r="GY62" s="64"/>
      <c r="GZ62" s="64"/>
      <c r="HA62" s="64"/>
      <c r="HB62" s="64"/>
      <c r="HC62" s="64"/>
      <c r="HD62" s="65"/>
      <c r="HE62" s="65"/>
      <c r="HF62" s="65"/>
      <c r="HG62" s="65"/>
      <c r="HH62" s="65"/>
      <c r="HI62" s="66"/>
      <c r="HJ62" s="66"/>
      <c r="HK62" s="63"/>
      <c r="HL62" s="64"/>
      <c r="HM62" s="64"/>
      <c r="HN62" s="64"/>
      <c r="HO62" s="64"/>
      <c r="HP62" s="64"/>
      <c r="HQ62" s="64"/>
      <c r="HR62" s="64"/>
      <c r="HS62" s="64"/>
      <c r="HT62" s="64"/>
      <c r="HU62" s="39"/>
    </row>
    <row r="63" spans="1:229" x14ac:dyDescent="0.2">
      <c r="A63" s="37">
        <v>60</v>
      </c>
      <c r="B63" s="86" t="s">
        <v>118</v>
      </c>
      <c r="C63" s="93">
        <v>30708</v>
      </c>
      <c r="D63" s="93">
        <v>30694</v>
      </c>
      <c r="E63" s="93">
        <v>30776</v>
      </c>
      <c r="F63" s="93">
        <v>31600</v>
      </c>
      <c r="G63" s="93">
        <v>31456</v>
      </c>
      <c r="H63" s="43">
        <v>29830</v>
      </c>
      <c r="I63" s="43">
        <v>296</v>
      </c>
      <c r="J63" s="43">
        <v>500</v>
      </c>
      <c r="K63" s="43">
        <v>251</v>
      </c>
      <c r="L63" s="43">
        <v>1745</v>
      </c>
      <c r="M63" s="44">
        <v>12500</v>
      </c>
      <c r="N63" s="44">
        <v>12529</v>
      </c>
      <c r="O63" s="45">
        <v>12527</v>
      </c>
      <c r="P63" s="45">
        <v>12704</v>
      </c>
      <c r="Q63" s="46">
        <v>12708</v>
      </c>
      <c r="R63" s="105">
        <v>26.159787351421837</v>
      </c>
      <c r="S63" s="105">
        <v>26.447150804390319</v>
      </c>
      <c r="T63" s="105">
        <v>26.44076433121019</v>
      </c>
      <c r="U63" s="105">
        <v>25.840304935399239</v>
      </c>
      <c r="V63" s="105">
        <v>25.45239386618017</v>
      </c>
      <c r="W63" s="105">
        <v>27.84994232408847</v>
      </c>
      <c r="X63" s="105">
        <v>27.384353230090714</v>
      </c>
      <c r="Y63" s="105">
        <v>30.379617834394903</v>
      </c>
      <c r="Z63" s="105">
        <v>30.587594673531012</v>
      </c>
      <c r="AA63" s="105">
        <v>29.648439426063803</v>
      </c>
      <c r="AB63" s="105">
        <v>54.009729675510307</v>
      </c>
      <c r="AC63" s="105">
        <v>53.831504034481028</v>
      </c>
      <c r="AD63" s="105">
        <v>56.820382165605096</v>
      </c>
      <c r="AE63" s="105">
        <v>56.427899608930254</v>
      </c>
      <c r="AF63" s="105">
        <v>55.100833292243969</v>
      </c>
      <c r="AG63" s="46">
        <v>4.6475414745163803</v>
      </c>
      <c r="AH63" s="46">
        <v>4.9770020049534143</v>
      </c>
      <c r="AI63" s="46">
        <v>6.1212614919120218</v>
      </c>
      <c r="AJ63" s="46">
        <v>5.6824034334763951</v>
      </c>
      <c r="AK63" s="45">
        <v>6.0919603828916067</v>
      </c>
      <c r="AL63" s="49">
        <v>1045.5</v>
      </c>
      <c r="AM63" s="49">
        <v>1088</v>
      </c>
      <c r="AN63" s="49">
        <v>1292.3333333333333</v>
      </c>
      <c r="AO63" s="49">
        <v>1088</v>
      </c>
      <c r="AP63" s="49">
        <v>1756.5833333333333</v>
      </c>
      <c r="AQ63" s="49">
        <v>36046.992670775828</v>
      </c>
      <c r="AR63" s="49">
        <v>39246.748384340885</v>
      </c>
      <c r="AS63" s="49">
        <v>36549.455204535123</v>
      </c>
      <c r="AT63" s="49">
        <v>37789.296683675471</v>
      </c>
      <c r="AU63" s="49">
        <v>38824.294252288913</v>
      </c>
      <c r="AV63" s="101">
        <v>46853.341493763925</v>
      </c>
      <c r="AW63" s="101">
        <v>46306.699381801467</v>
      </c>
      <c r="AX63" s="102">
        <v>45851.332912271537</v>
      </c>
      <c r="AY63" s="102">
        <v>47967.785798143595</v>
      </c>
      <c r="AZ63" s="102">
        <v>49978</v>
      </c>
      <c r="BA63" s="99">
        <v>15.728510465352571</v>
      </c>
      <c r="BB63" s="99">
        <v>12.16069120348323</v>
      </c>
      <c r="BC63" s="99">
        <v>12.230972910584562</v>
      </c>
      <c r="BD63" s="99">
        <v>11.741541692645949</v>
      </c>
      <c r="BE63" s="99">
        <v>14.498448127847851</v>
      </c>
      <c r="BF63" s="99">
        <v>16.094483568075116</v>
      </c>
      <c r="BG63" s="99">
        <v>15.207030086386654</v>
      </c>
      <c r="BH63" s="48">
        <v>16.882022471910112</v>
      </c>
      <c r="BI63" s="48">
        <v>15.62330623306233</v>
      </c>
      <c r="BJ63" s="48">
        <v>20.417184694018509</v>
      </c>
      <c r="BK63" s="44">
        <v>5104</v>
      </c>
      <c r="BL63" s="44">
        <v>5071</v>
      </c>
      <c r="BM63" s="44">
        <v>5021</v>
      </c>
      <c r="BN63" s="42">
        <v>4977</v>
      </c>
      <c r="BO63" s="45">
        <v>36.402821316614421</v>
      </c>
      <c r="BP63" s="45">
        <v>38.670873594951686</v>
      </c>
      <c r="BQ63" s="45">
        <v>37.821151165106549</v>
      </c>
      <c r="BR63" s="46">
        <v>38.115330520393812</v>
      </c>
      <c r="BS63" s="105">
        <v>2.0180250783699059</v>
      </c>
      <c r="BT63" s="105">
        <v>1.5184381778741864</v>
      </c>
      <c r="BU63" s="105">
        <v>1.254730133439554</v>
      </c>
      <c r="BV63" s="105">
        <v>1.4667470363672894</v>
      </c>
      <c r="BW63" s="45">
        <v>15.517241379310345</v>
      </c>
      <c r="BX63" s="45">
        <v>15.657661210806546</v>
      </c>
      <c r="BY63" s="45">
        <v>15.674168492332205</v>
      </c>
      <c r="BZ63" s="45">
        <v>15.651999196302993</v>
      </c>
      <c r="CA63" s="44">
        <v>80.846774193548384</v>
      </c>
      <c r="CB63" s="44">
        <v>80.995475113122168</v>
      </c>
      <c r="CC63" s="44">
        <v>83.050847457627114</v>
      </c>
      <c r="CD63" s="44">
        <v>83.79</v>
      </c>
      <c r="CE63" s="45">
        <v>6.653225806451613</v>
      </c>
      <c r="CF63" s="45">
        <v>4.9773755656108598</v>
      </c>
      <c r="CG63" s="45">
        <v>5.9322033898305087</v>
      </c>
      <c r="CH63" s="45">
        <v>7.48</v>
      </c>
      <c r="CI63" s="48">
        <v>2042</v>
      </c>
      <c r="CJ63" s="51">
        <v>1723</v>
      </c>
      <c r="CK63" s="51">
        <v>1901</v>
      </c>
      <c r="CL63" s="57">
        <v>1965</v>
      </c>
      <c r="CM63" s="108">
        <v>12.530451697624613</v>
      </c>
      <c r="CN63" s="108">
        <v>11.020992976755492</v>
      </c>
      <c r="CO63" s="108">
        <v>12.235781776988235</v>
      </c>
      <c r="CP63" s="108">
        <v>12.658309390983934</v>
      </c>
      <c r="CQ63" s="60">
        <v>63</v>
      </c>
      <c r="CR63" s="60">
        <v>73</v>
      </c>
      <c r="CS63" s="60">
        <v>100</v>
      </c>
      <c r="CT63" s="60">
        <v>82</v>
      </c>
      <c r="CU63" s="108">
        <v>3.1468531468531467</v>
      </c>
      <c r="CV63" s="108">
        <v>4.3712574850299397</v>
      </c>
      <c r="CW63" s="108">
        <v>5.3705692803437168</v>
      </c>
      <c r="CX63" s="108">
        <v>4.3524416135881108</v>
      </c>
      <c r="CY63" s="61">
        <v>144</v>
      </c>
      <c r="CZ63" s="57">
        <v>138</v>
      </c>
      <c r="DA63" s="60">
        <v>172</v>
      </c>
      <c r="DB63" s="60">
        <v>133</v>
      </c>
      <c r="DC63" s="108">
        <v>7.4457083764219236</v>
      </c>
      <c r="DD63" s="108">
        <v>8.6683417085427141</v>
      </c>
      <c r="DE63" s="108">
        <v>9.8173515981735164</v>
      </c>
      <c r="DF63" s="108">
        <v>8.5256410256410255</v>
      </c>
      <c r="DG63" s="108">
        <v>73.897969291728572</v>
      </c>
      <c r="DH63" s="108">
        <v>78.962875662934593</v>
      </c>
      <c r="DI63" s="108">
        <v>84.598930481283418</v>
      </c>
      <c r="DJ63" s="108">
        <v>77.61732851985559</v>
      </c>
      <c r="DK63" s="108">
        <v>18.109452736318406</v>
      </c>
      <c r="DL63" s="108">
        <v>13.641686182669789</v>
      </c>
      <c r="DM63" s="108">
        <v>12.908324552160169</v>
      </c>
      <c r="DN63" s="108">
        <v>14.994829369183041</v>
      </c>
      <c r="DO63" s="108">
        <v>28.354554358472086</v>
      </c>
      <c r="DP63" s="108">
        <v>29.401510749564206</v>
      </c>
      <c r="DQ63" s="108">
        <v>34.034718569174117</v>
      </c>
      <c r="DR63" s="108">
        <v>34.368635437881871</v>
      </c>
      <c r="DS63" s="108">
        <v>37.722545390445973</v>
      </c>
      <c r="DT63" s="108">
        <v>30.808321422899795</v>
      </c>
      <c r="DU63" s="108">
        <v>35.511837279093029</v>
      </c>
      <c r="DV63" s="108">
        <v>29.557522123893804</v>
      </c>
      <c r="DW63" s="62">
        <v>357</v>
      </c>
      <c r="DX63" s="62">
        <v>8</v>
      </c>
      <c r="DY63" s="57">
        <v>6</v>
      </c>
      <c r="DZ63" s="60">
        <v>5</v>
      </c>
      <c r="EA63" s="60">
        <v>25</v>
      </c>
      <c r="EB63" s="60">
        <v>14</v>
      </c>
      <c r="EC63" s="60">
        <v>11</v>
      </c>
      <c r="ED63" s="57">
        <v>8</v>
      </c>
      <c r="EE63" s="60">
        <v>12</v>
      </c>
      <c r="EF63" s="60">
        <v>2020</v>
      </c>
      <c r="EG63" s="60">
        <v>1808</v>
      </c>
      <c r="EH63" s="60">
        <v>1783</v>
      </c>
      <c r="EI63" s="60">
        <v>1802</v>
      </c>
      <c r="EJ63" s="115">
        <v>360</v>
      </c>
      <c r="EK63" s="115">
        <v>2</v>
      </c>
      <c r="EL63" s="115">
        <v>1</v>
      </c>
      <c r="EM63" s="115">
        <v>0</v>
      </c>
      <c r="EN63" s="115">
        <v>4</v>
      </c>
      <c r="EO63" s="108">
        <v>1239.5451728306425</v>
      </c>
      <c r="EP63" s="108">
        <v>1156.468676841203</v>
      </c>
      <c r="EQ63" s="108">
        <v>1147.6275070157824</v>
      </c>
      <c r="ER63" s="108">
        <v>1160.828169086669</v>
      </c>
      <c r="ES63" s="108">
        <v>902.30890031391914</v>
      </c>
      <c r="ET63" s="108">
        <v>823.34106721029559</v>
      </c>
      <c r="EU63" s="108">
        <v>780.09250594953789</v>
      </c>
      <c r="EV63" s="108">
        <v>789.81070518303272</v>
      </c>
      <c r="EW63" s="108">
        <v>1183.3367362994181</v>
      </c>
      <c r="EX63" s="108">
        <v>1026.2874239475034</v>
      </c>
      <c r="EY63" s="108">
        <v>991.50983892780096</v>
      </c>
      <c r="EZ63" s="108">
        <v>1002.8831989045036</v>
      </c>
      <c r="FA63" s="108">
        <v>686.2333996066975</v>
      </c>
      <c r="FB63" s="108">
        <v>661.35767497031793</v>
      </c>
      <c r="FC63" s="108">
        <v>625.06284215115863</v>
      </c>
      <c r="FD63" s="108">
        <v>650.27880260567326</v>
      </c>
      <c r="FE63" s="57">
        <v>462</v>
      </c>
      <c r="FF63" s="62">
        <v>399</v>
      </c>
      <c r="FG63" s="62">
        <v>344</v>
      </c>
      <c r="FH63" s="62">
        <v>383</v>
      </c>
      <c r="FI63" s="108">
        <v>217.8810545549247</v>
      </c>
      <c r="FJ63" s="108">
        <v>200.46061775334977</v>
      </c>
      <c r="FK63" s="108">
        <v>164.07508514230898</v>
      </c>
      <c r="FL63" s="108">
        <v>180.48874622570418</v>
      </c>
      <c r="FM63" s="62">
        <v>602</v>
      </c>
      <c r="FN63" s="62">
        <v>441</v>
      </c>
      <c r="FO63" s="57">
        <v>388</v>
      </c>
      <c r="FP63" s="62">
        <v>359</v>
      </c>
      <c r="FQ63" s="108">
        <v>261.77316719551493</v>
      </c>
      <c r="FR63" s="108">
        <v>194.27969369977765</v>
      </c>
      <c r="FS63" s="108">
        <v>160.53477969290958</v>
      </c>
      <c r="FT63" s="108">
        <v>147.99466796842168</v>
      </c>
      <c r="FU63" s="60">
        <v>182</v>
      </c>
      <c r="FV63" s="60">
        <v>168</v>
      </c>
      <c r="FW63" s="60">
        <v>135</v>
      </c>
      <c r="FX63" s="60">
        <v>96</v>
      </c>
      <c r="FY63" s="108">
        <v>73.509774219286385</v>
      </c>
      <c r="FZ63" s="108">
        <v>69.16789586185844</v>
      </c>
      <c r="GA63" s="108">
        <v>52.977661529398262</v>
      </c>
      <c r="GB63" s="108">
        <v>36.069634245231185</v>
      </c>
      <c r="GC63" s="63">
        <v>78</v>
      </c>
      <c r="GD63" s="64">
        <v>61</v>
      </c>
      <c r="GE63" s="63">
        <v>69</v>
      </c>
      <c r="GF63" s="63">
        <v>99</v>
      </c>
      <c r="GG63" s="112">
        <v>42.881957553894253</v>
      </c>
      <c r="GH63" s="112">
        <v>31.942262671059758</v>
      </c>
      <c r="GI63" s="112">
        <v>37.894085040678966</v>
      </c>
      <c r="GJ63" s="112">
        <v>52.794319188042003</v>
      </c>
      <c r="GK63" s="63"/>
      <c r="GL63" s="63"/>
      <c r="GM63" s="63"/>
      <c r="GN63" s="64"/>
      <c r="GO63" s="63"/>
      <c r="GP63" s="63"/>
      <c r="GQ63" s="63"/>
      <c r="GR63" s="63"/>
      <c r="GS63" s="64"/>
      <c r="GT63" s="63"/>
      <c r="GU63" s="63"/>
      <c r="GV63" s="63"/>
      <c r="GW63" s="63"/>
      <c r="GX63" s="64"/>
      <c r="GY63" s="64"/>
      <c r="GZ63" s="64"/>
      <c r="HA63" s="64"/>
      <c r="HB63" s="64"/>
      <c r="HC63" s="64"/>
      <c r="HD63" s="65"/>
      <c r="HE63" s="65"/>
      <c r="HF63" s="65"/>
      <c r="HG63" s="65"/>
      <c r="HH63" s="65"/>
      <c r="HI63" s="66"/>
      <c r="HJ63" s="66"/>
      <c r="HK63" s="63"/>
      <c r="HL63" s="64"/>
      <c r="HM63" s="64"/>
      <c r="HN63" s="64"/>
      <c r="HO63" s="64"/>
      <c r="HP63" s="64"/>
      <c r="HQ63" s="64"/>
      <c r="HR63" s="64"/>
      <c r="HS63" s="64"/>
      <c r="HT63" s="64"/>
      <c r="HU63" s="39"/>
    </row>
    <row r="64" spans="1:229" x14ac:dyDescent="0.2">
      <c r="A64" s="37">
        <v>61</v>
      </c>
      <c r="B64" s="86" t="s">
        <v>119</v>
      </c>
      <c r="C64" s="93">
        <v>11065</v>
      </c>
      <c r="D64" s="93">
        <v>11030</v>
      </c>
      <c r="E64" s="93">
        <v>10869</v>
      </c>
      <c r="F64" s="93">
        <v>10995</v>
      </c>
      <c r="G64" s="93">
        <v>10894</v>
      </c>
      <c r="H64" s="43">
        <v>10688</v>
      </c>
      <c r="I64" s="43">
        <v>43</v>
      </c>
      <c r="J64" s="43">
        <v>27</v>
      </c>
      <c r="K64" s="43">
        <v>43</v>
      </c>
      <c r="L64" s="43">
        <v>108</v>
      </c>
      <c r="M64" s="44">
        <v>4697</v>
      </c>
      <c r="N64" s="44">
        <v>4703</v>
      </c>
      <c r="O64" s="45">
        <v>4672</v>
      </c>
      <c r="P64" s="45">
        <v>4736</v>
      </c>
      <c r="Q64" s="46">
        <v>4721</v>
      </c>
      <c r="R64" s="105">
        <v>33.32855504587156</v>
      </c>
      <c r="S64" s="105">
        <v>33.813156758312942</v>
      </c>
      <c r="T64" s="105">
        <v>33.200059232933512</v>
      </c>
      <c r="U64" s="105">
        <v>34.765799256505574</v>
      </c>
      <c r="V64" s="105">
        <v>34.948407357559446</v>
      </c>
      <c r="W64" s="105">
        <v>25.286697247706421</v>
      </c>
      <c r="X64" s="105">
        <v>24.960414567439184</v>
      </c>
      <c r="Y64" s="105">
        <v>27.750629349918555</v>
      </c>
      <c r="Z64" s="105">
        <v>28.728624535315983</v>
      </c>
      <c r="AA64" s="105">
        <v>27.964707641692836</v>
      </c>
      <c r="AB64" s="105">
        <v>58.615252293577981</v>
      </c>
      <c r="AC64" s="105">
        <v>58.773571325752123</v>
      </c>
      <c r="AD64" s="105">
        <v>60.950688582852067</v>
      </c>
      <c r="AE64" s="105">
        <v>63.494423791821561</v>
      </c>
      <c r="AF64" s="105">
        <v>62.913114999252279</v>
      </c>
      <c r="AG64" s="46">
        <v>4.5015550826649209</v>
      </c>
      <c r="AH64" s="46">
        <v>5.2648790058862005</v>
      </c>
      <c r="AI64" s="46">
        <v>7.389083945100543</v>
      </c>
      <c r="AJ64" s="46">
        <v>6.5647902697645408</v>
      </c>
      <c r="AK64" s="45">
        <v>5.6955966815571157</v>
      </c>
      <c r="AL64" s="49">
        <v>189.66666666666666</v>
      </c>
      <c r="AM64" s="49">
        <v>202.75</v>
      </c>
      <c r="AN64" s="49">
        <v>253.58333333333334</v>
      </c>
      <c r="AO64" s="49">
        <v>202.75</v>
      </c>
      <c r="AP64" s="49">
        <v>426.33333333333331</v>
      </c>
      <c r="AQ64" s="49">
        <v>36198.454241502302</v>
      </c>
      <c r="AR64" s="49">
        <v>39612.767459862065</v>
      </c>
      <c r="AS64" s="49">
        <v>38111.328380343395</v>
      </c>
      <c r="AT64" s="49">
        <v>40748.945165282697</v>
      </c>
      <c r="AU64" s="49">
        <v>43038.920506700939</v>
      </c>
      <c r="AV64" s="101">
        <v>46747.024288373796</v>
      </c>
      <c r="AW64" s="101">
        <v>49160.971491340111</v>
      </c>
      <c r="AX64" s="102">
        <v>51212.240853559051</v>
      </c>
      <c r="AY64" s="102">
        <v>46574.141096782478</v>
      </c>
      <c r="AZ64" s="102">
        <v>47165</v>
      </c>
      <c r="BA64" s="99">
        <v>9.1424851190476186</v>
      </c>
      <c r="BB64" s="99">
        <v>10.102611940298507</v>
      </c>
      <c r="BC64" s="99">
        <v>9.8929214441391071</v>
      </c>
      <c r="BD64" s="99">
        <v>10.507816113218018</v>
      </c>
      <c r="BE64" s="99">
        <v>10.264777176953197</v>
      </c>
      <c r="BF64" s="99">
        <v>12.901785714285714</v>
      </c>
      <c r="BG64" s="99">
        <v>13.370216689718765</v>
      </c>
      <c r="BH64" s="48">
        <v>13.777777777777779</v>
      </c>
      <c r="BI64" s="48">
        <v>15.086956521739131</v>
      </c>
      <c r="BJ64" s="48">
        <v>14.043691484618813</v>
      </c>
      <c r="BK64" s="44">
        <v>1333</v>
      </c>
      <c r="BL64" s="44">
        <v>1295</v>
      </c>
      <c r="BM64" s="44">
        <v>1269</v>
      </c>
      <c r="BN64" s="42">
        <v>1217</v>
      </c>
      <c r="BO64" s="45">
        <v>36.984246061515378</v>
      </c>
      <c r="BP64" s="45">
        <v>39.536679536679536</v>
      </c>
      <c r="BQ64" s="45">
        <v>39.952718676122934</v>
      </c>
      <c r="BR64" s="46">
        <v>38.37304847986853</v>
      </c>
      <c r="BS64" s="105">
        <v>0.2250562640660165</v>
      </c>
      <c r="BT64" s="105">
        <v>0.30888030888030887</v>
      </c>
      <c r="BU64" s="105">
        <v>0.15760441292356187</v>
      </c>
      <c r="BV64" s="105">
        <v>8.2169268693508629E-2</v>
      </c>
      <c r="BW64" s="45">
        <v>22.50562640660165</v>
      </c>
      <c r="BX64" s="45">
        <v>22.625482625482626</v>
      </c>
      <c r="BY64" s="45">
        <v>24.034672970843182</v>
      </c>
      <c r="BZ64" s="45">
        <v>23.171733771569432</v>
      </c>
      <c r="CA64" s="44">
        <v>87.128712871287135</v>
      </c>
      <c r="CB64" s="44">
        <v>87.387387387387392</v>
      </c>
      <c r="CC64" s="44">
        <v>88.181818181818187</v>
      </c>
      <c r="CD64" s="44">
        <v>83.15</v>
      </c>
      <c r="CE64" s="45">
        <v>1.9801980198019802</v>
      </c>
      <c r="CF64" s="45">
        <v>2.7027027027027026</v>
      </c>
      <c r="CG64" s="45">
        <v>0.90909090909090906</v>
      </c>
      <c r="CH64" s="45">
        <v>2.25</v>
      </c>
      <c r="CI64" s="48">
        <v>522</v>
      </c>
      <c r="CJ64" s="51">
        <v>529</v>
      </c>
      <c r="CK64" s="51">
        <v>598</v>
      </c>
      <c r="CL64" s="57">
        <v>626</v>
      </c>
      <c r="CM64" s="108">
        <v>9.5474997256465599</v>
      </c>
      <c r="CN64" s="108">
        <v>9.6005517141249701</v>
      </c>
      <c r="CO64" s="108">
        <v>10.653269912529172</v>
      </c>
      <c r="CP64" s="108">
        <v>11.412320201265199</v>
      </c>
      <c r="CQ64" s="60">
        <v>18</v>
      </c>
      <c r="CR64" s="60">
        <v>17</v>
      </c>
      <c r="CS64" s="60">
        <v>24</v>
      </c>
      <c r="CT64" s="60">
        <v>25</v>
      </c>
      <c r="CU64" s="108">
        <v>3.5363457760314341</v>
      </c>
      <c r="CV64" s="108">
        <v>3.3464566929133857</v>
      </c>
      <c r="CW64" s="108">
        <v>4.225352112676056</v>
      </c>
      <c r="CX64" s="108">
        <v>4.2662116040955631</v>
      </c>
      <c r="CY64" s="61">
        <v>32</v>
      </c>
      <c r="CZ64" s="57">
        <v>29</v>
      </c>
      <c r="DA64" s="60">
        <v>44</v>
      </c>
      <c r="DB64" s="60">
        <v>59</v>
      </c>
      <c r="DC64" s="108">
        <v>6.557377049180328</v>
      </c>
      <c r="DD64" s="108">
        <v>5.788423153692615</v>
      </c>
      <c r="DE64" s="108">
        <v>7.9136690647482011</v>
      </c>
      <c r="DF64" s="108">
        <v>10.207612456747405</v>
      </c>
      <c r="DG64" s="108">
        <v>79.092702169625241</v>
      </c>
      <c r="DH64" s="108">
        <v>89.142857142857139</v>
      </c>
      <c r="DI64" s="108">
        <v>88.127090301003349</v>
      </c>
      <c r="DJ64" s="108">
        <v>87.439613526570042</v>
      </c>
      <c r="DK64" s="108">
        <v>16.764132553606238</v>
      </c>
      <c r="DL64" s="108">
        <v>13.446969696969697</v>
      </c>
      <c r="DM64" s="108">
        <v>13.90284757118928</v>
      </c>
      <c r="DN64" s="108">
        <v>13.92</v>
      </c>
      <c r="DO64" s="108">
        <v>19.540229885057471</v>
      </c>
      <c r="DP64" s="108">
        <v>17.958412098298677</v>
      </c>
      <c r="DQ64" s="108">
        <v>23.411371237458194</v>
      </c>
      <c r="DR64" s="108">
        <v>27.316293929712462</v>
      </c>
      <c r="DS64" s="108">
        <v>24.767801857585141</v>
      </c>
      <c r="DT64" s="108">
        <v>15.19756838905775</v>
      </c>
      <c r="DU64" s="108">
        <v>16.932752781809384</v>
      </c>
      <c r="DV64" s="108">
        <v>13.174404015056462</v>
      </c>
      <c r="DW64" s="62">
        <v>124</v>
      </c>
      <c r="DX64" s="62">
        <v>1</v>
      </c>
      <c r="DY64" s="57">
        <v>1</v>
      </c>
      <c r="DZ64" s="60">
        <v>1</v>
      </c>
      <c r="EA64" s="60">
        <v>2</v>
      </c>
      <c r="EB64" s="60">
        <v>2</v>
      </c>
      <c r="EC64" s="60">
        <v>1</v>
      </c>
      <c r="ED64" s="57">
        <v>3</v>
      </c>
      <c r="EE64" s="60">
        <v>5</v>
      </c>
      <c r="EF64" s="60">
        <v>719</v>
      </c>
      <c r="EG64" s="60">
        <v>768</v>
      </c>
      <c r="EH64" s="60">
        <v>737</v>
      </c>
      <c r="EI64" s="60">
        <v>684</v>
      </c>
      <c r="EJ64" s="115">
        <v>142</v>
      </c>
      <c r="EK64" s="115">
        <v>0</v>
      </c>
      <c r="EL64" s="115">
        <v>1</v>
      </c>
      <c r="EM64" s="115">
        <v>0</v>
      </c>
      <c r="EN64" s="115">
        <v>0</v>
      </c>
      <c r="EO64" s="108">
        <v>1315.0674909463364</v>
      </c>
      <c r="EP64" s="108">
        <v>1393.8041051886535</v>
      </c>
      <c r="EQ64" s="108">
        <v>1312.9531648050167</v>
      </c>
      <c r="ER64" s="108">
        <v>1246.9691721510219</v>
      </c>
      <c r="ES64" s="108">
        <v>788.17012837054256</v>
      </c>
      <c r="ET64" s="108">
        <v>805.92673018836035</v>
      </c>
      <c r="EU64" s="108">
        <v>723.98201460231678</v>
      </c>
      <c r="EV64" s="108">
        <v>691.26783364044536</v>
      </c>
      <c r="EW64" s="108">
        <v>964.17493473959985</v>
      </c>
      <c r="EX64" s="108">
        <v>988.33677199781755</v>
      </c>
      <c r="EY64" s="108">
        <v>874.86596309354354</v>
      </c>
      <c r="EZ64" s="108">
        <v>847.25649128186035</v>
      </c>
      <c r="FA64" s="108">
        <v>657.21824454497607</v>
      </c>
      <c r="FB64" s="108">
        <v>654.07717142746162</v>
      </c>
      <c r="FC64" s="108">
        <v>612.64933391863769</v>
      </c>
      <c r="FD64" s="108">
        <v>558.08619730690714</v>
      </c>
      <c r="FE64" s="57">
        <v>167</v>
      </c>
      <c r="FF64" s="62">
        <v>165</v>
      </c>
      <c r="FG64" s="62">
        <v>159</v>
      </c>
      <c r="FH64" s="62">
        <v>146</v>
      </c>
      <c r="FI64" s="108">
        <v>196.7284985151145</v>
      </c>
      <c r="FJ64" s="108">
        <v>187.30103875144158</v>
      </c>
      <c r="FK64" s="108">
        <v>172.21781836744239</v>
      </c>
      <c r="FL64" s="108">
        <v>162.17366355384925</v>
      </c>
      <c r="FM64" s="62">
        <v>239</v>
      </c>
      <c r="FN64" s="62">
        <v>226</v>
      </c>
      <c r="FO64" s="57">
        <v>187</v>
      </c>
      <c r="FP64" s="62">
        <v>163</v>
      </c>
      <c r="FQ64" s="108">
        <v>252.63223200088993</v>
      </c>
      <c r="FR64" s="108">
        <v>225.56123638590279</v>
      </c>
      <c r="FS64" s="108">
        <v>177.06256447404178</v>
      </c>
      <c r="FT64" s="108">
        <v>142.4618477483271</v>
      </c>
      <c r="FU64" s="60">
        <v>49</v>
      </c>
      <c r="FV64" s="60">
        <v>72</v>
      </c>
      <c r="FW64" s="60">
        <v>50</v>
      </c>
      <c r="FX64" s="60">
        <v>52</v>
      </c>
      <c r="FY64" s="108">
        <v>50.7229411454149</v>
      </c>
      <c r="FZ64" s="108">
        <v>65.128510910341305</v>
      </c>
      <c r="GA64" s="108">
        <v>43.098281709297396</v>
      </c>
      <c r="GB64" s="108">
        <v>48.293730052192885</v>
      </c>
      <c r="GC64" s="63">
        <v>25</v>
      </c>
      <c r="GD64" s="64">
        <v>30</v>
      </c>
      <c r="GE64" s="63">
        <v>24</v>
      </c>
      <c r="GF64" s="63">
        <v>34</v>
      </c>
      <c r="GG64" s="112">
        <v>39.712774392363023</v>
      </c>
      <c r="GH64" s="112">
        <v>45.14161455813263</v>
      </c>
      <c r="GI64" s="112">
        <v>34.968415305929689</v>
      </c>
      <c r="GJ64" s="112">
        <v>51.547875312693265</v>
      </c>
      <c r="GK64" s="63"/>
      <c r="GL64" s="63"/>
      <c r="GM64" s="63"/>
      <c r="GN64" s="64"/>
      <c r="GO64" s="63"/>
      <c r="GP64" s="63"/>
      <c r="GQ64" s="63"/>
      <c r="GR64" s="63"/>
      <c r="GS64" s="64"/>
      <c r="GT64" s="63"/>
      <c r="GU64" s="63"/>
      <c r="GV64" s="63"/>
      <c r="GW64" s="63"/>
      <c r="GX64" s="64"/>
      <c r="GY64" s="64"/>
      <c r="GZ64" s="64"/>
      <c r="HA64" s="64"/>
      <c r="HB64" s="64"/>
      <c r="HC64" s="64"/>
      <c r="HD64" s="65"/>
      <c r="HE64" s="65"/>
      <c r="HF64" s="65"/>
      <c r="HG64" s="65"/>
      <c r="HH64" s="65"/>
      <c r="HI64" s="66"/>
      <c r="HJ64" s="66"/>
      <c r="HK64" s="63"/>
      <c r="HL64" s="64"/>
      <c r="HM64" s="64"/>
      <c r="HN64" s="64"/>
      <c r="HO64" s="64"/>
      <c r="HP64" s="64"/>
      <c r="HQ64" s="64"/>
      <c r="HR64" s="64"/>
      <c r="HS64" s="64"/>
      <c r="HT64" s="64"/>
      <c r="HU64" s="39"/>
    </row>
    <row r="65" spans="1:229" ht="21" customHeight="1" x14ac:dyDescent="0.2">
      <c r="A65" s="37">
        <v>62</v>
      </c>
      <c r="B65" s="86" t="s">
        <v>120</v>
      </c>
      <c r="C65" s="93">
        <v>499891</v>
      </c>
      <c r="D65" s="93">
        <v>501428</v>
      </c>
      <c r="E65" s="93">
        <v>506278</v>
      </c>
      <c r="F65" s="93">
        <v>508640</v>
      </c>
      <c r="G65" s="93">
        <v>514696</v>
      </c>
      <c r="H65" s="43">
        <v>373619</v>
      </c>
      <c r="I65" s="43">
        <v>57501</v>
      </c>
      <c r="J65" s="43">
        <v>5106</v>
      </c>
      <c r="K65" s="43">
        <v>62139</v>
      </c>
      <c r="L65" s="43">
        <v>37234</v>
      </c>
      <c r="M65" s="44">
        <v>207678</v>
      </c>
      <c r="N65" s="44">
        <v>208611</v>
      </c>
      <c r="O65" s="45">
        <v>209214</v>
      </c>
      <c r="P65" s="45">
        <v>202691</v>
      </c>
      <c r="Q65" s="46">
        <v>203818</v>
      </c>
      <c r="R65" s="105">
        <v>18.8723073084372</v>
      </c>
      <c r="S65" s="105">
        <v>19.422126495848712</v>
      </c>
      <c r="T65" s="105">
        <v>19.76332711845059</v>
      </c>
      <c r="U65" s="105">
        <v>17.514965345670142</v>
      </c>
      <c r="V65" s="105">
        <v>17.817781147678318</v>
      </c>
      <c r="W65" s="105">
        <v>29.616636764373894</v>
      </c>
      <c r="X65" s="105">
        <v>29.955105919643469</v>
      </c>
      <c r="Y65" s="105">
        <v>28.421527104986637</v>
      </c>
      <c r="Z65" s="105">
        <v>28.099064719573327</v>
      </c>
      <c r="AA65" s="105">
        <v>28.345785873111886</v>
      </c>
      <c r="AB65" s="105">
        <v>48.488944072811094</v>
      </c>
      <c r="AC65" s="105">
        <v>49.37723241549218</v>
      </c>
      <c r="AD65" s="105">
        <v>48.184854223437227</v>
      </c>
      <c r="AE65" s="105">
        <v>45.614030065243469</v>
      </c>
      <c r="AF65" s="105">
        <v>46.163567020790204</v>
      </c>
      <c r="AG65" s="46">
        <v>4.4499381953028427</v>
      </c>
      <c r="AH65" s="46">
        <v>5.2072072732336352</v>
      </c>
      <c r="AI65" s="46">
        <v>7.9170013781515083</v>
      </c>
      <c r="AJ65" s="46">
        <v>7.3305284217959281</v>
      </c>
      <c r="AK65" s="45">
        <v>6.6907557303049936</v>
      </c>
      <c r="AL65" s="49">
        <v>20744.583333333332</v>
      </c>
      <c r="AM65" s="49">
        <v>21546.5</v>
      </c>
      <c r="AN65" s="49">
        <v>25482.916666666668</v>
      </c>
      <c r="AO65" s="49">
        <v>21546.5</v>
      </c>
      <c r="AP65" s="49">
        <v>35928.833333333336</v>
      </c>
      <c r="AQ65" s="49">
        <v>48618.919005857781</v>
      </c>
      <c r="AR65" s="49">
        <v>48492.825825386608</v>
      </c>
      <c r="AS65" s="49">
        <v>45349.241332430509</v>
      </c>
      <c r="AT65" s="49">
        <v>45168.989491563203</v>
      </c>
      <c r="AU65" s="49">
        <v>45364.582199978242</v>
      </c>
      <c r="AV65" s="101">
        <v>56199.491743110411</v>
      </c>
      <c r="AW65" s="101">
        <v>55123.391304347831</v>
      </c>
      <c r="AX65" s="102">
        <v>50335.706717256224</v>
      </c>
      <c r="AY65" s="102">
        <v>51809.334923139009</v>
      </c>
      <c r="AZ65" s="102">
        <v>51719</v>
      </c>
      <c r="BA65" s="99">
        <v>13.50618009619922</v>
      </c>
      <c r="BB65" s="99">
        <v>13.481911038978447</v>
      </c>
      <c r="BC65" s="99">
        <v>16.444116456586354</v>
      </c>
      <c r="BD65" s="99">
        <v>17.150864347026676</v>
      </c>
      <c r="BE65" s="99">
        <v>17.693448206772189</v>
      </c>
      <c r="BF65" s="99">
        <v>19.289267826931773</v>
      </c>
      <c r="BG65" s="99">
        <v>18.717696488712527</v>
      </c>
      <c r="BH65" s="48">
        <v>25.528184371674314</v>
      </c>
      <c r="BI65" s="48">
        <v>24.899560550639471</v>
      </c>
      <c r="BJ65" s="48">
        <v>25.575399854135924</v>
      </c>
      <c r="BK65" s="44">
        <v>83710</v>
      </c>
      <c r="BL65" s="44">
        <v>84542</v>
      </c>
      <c r="BM65" s="44">
        <v>84777</v>
      </c>
      <c r="BN65" s="42">
        <v>85234</v>
      </c>
      <c r="BO65" s="45">
        <v>50.764544259945048</v>
      </c>
      <c r="BP65" s="45">
        <v>53.992098601878354</v>
      </c>
      <c r="BQ65" s="45">
        <v>53.777557592271492</v>
      </c>
      <c r="BR65" s="46">
        <v>55.650327334162426</v>
      </c>
      <c r="BS65" s="105">
        <v>23.54796320630749</v>
      </c>
      <c r="BT65" s="105">
        <v>21.596366303139266</v>
      </c>
      <c r="BU65" s="105">
        <v>21.773594253158286</v>
      </c>
      <c r="BV65" s="105">
        <v>21.875073327545344</v>
      </c>
      <c r="BW65" s="45">
        <v>15.28013379524549</v>
      </c>
      <c r="BX65" s="45">
        <v>15.699888812661163</v>
      </c>
      <c r="BY65" s="45">
        <v>15.957158191490617</v>
      </c>
      <c r="BZ65" s="45">
        <v>15.653377760048807</v>
      </c>
      <c r="CA65" s="44">
        <v>65.566162821532757</v>
      </c>
      <c r="CB65" s="44">
        <v>66.491349480968864</v>
      </c>
      <c r="CC65" s="44">
        <v>68.9124965054515</v>
      </c>
      <c r="CD65" s="44">
        <v>68.53</v>
      </c>
      <c r="CE65" s="45">
        <v>8.6979581012993901</v>
      </c>
      <c r="CF65" s="45">
        <v>7.5986159169550174</v>
      </c>
      <c r="CG65" s="45">
        <v>6.8772714565278168</v>
      </c>
      <c r="CH65" s="45">
        <v>8.3000000000000007</v>
      </c>
      <c r="CI65" s="48">
        <v>38150</v>
      </c>
      <c r="CJ65" s="51">
        <v>37472</v>
      </c>
      <c r="CK65" s="51">
        <v>36938</v>
      </c>
      <c r="CL65" s="57">
        <v>37870</v>
      </c>
      <c r="CM65" s="108">
        <v>15.722823316266961</v>
      </c>
      <c r="CN65" s="108">
        <v>15.108111780351795</v>
      </c>
      <c r="CO65" s="108">
        <v>14.748322656790265</v>
      </c>
      <c r="CP65" s="108">
        <v>14.962861521818239</v>
      </c>
      <c r="CQ65" s="60">
        <v>1817</v>
      </c>
      <c r="CR65" s="60">
        <v>1926</v>
      </c>
      <c r="CS65" s="60">
        <v>2055</v>
      </c>
      <c r="CT65" s="60">
        <v>1990</v>
      </c>
      <c r="CU65" s="108">
        <v>4.8921676853073421</v>
      </c>
      <c r="CV65" s="108">
        <v>5.3030094440926234</v>
      </c>
      <c r="CW65" s="108">
        <v>5.7476086591710018</v>
      </c>
      <c r="CX65" s="108">
        <v>5.4434050002735379</v>
      </c>
      <c r="CY65" s="61">
        <v>2628</v>
      </c>
      <c r="CZ65" s="57">
        <v>2307</v>
      </c>
      <c r="DA65" s="60">
        <v>2288</v>
      </c>
      <c r="DB65" s="60">
        <v>2651</v>
      </c>
      <c r="DC65" s="108">
        <v>7.9078024854812989</v>
      </c>
      <c r="DD65" s="108">
        <v>7.746549813639569</v>
      </c>
      <c r="DE65" s="108">
        <v>8.1889763779527556</v>
      </c>
      <c r="DF65" s="108">
        <v>8.4260377598372642</v>
      </c>
      <c r="DG65" s="108">
        <v>76.496923753021321</v>
      </c>
      <c r="DH65" s="108">
        <v>78.565032783570672</v>
      </c>
      <c r="DI65" s="108">
        <v>80.958219371875884</v>
      </c>
      <c r="DJ65" s="108">
        <v>78.421443707515749</v>
      </c>
      <c r="DK65" s="108">
        <v>13.60238746025548</v>
      </c>
      <c r="DL65" s="108">
        <v>10.824880268911562</v>
      </c>
      <c r="DM65" s="108">
        <v>7.9672460853325671</v>
      </c>
      <c r="DN65" s="108">
        <v>9.6632853576929207</v>
      </c>
      <c r="DO65" s="108">
        <v>31.025533476642373</v>
      </c>
      <c r="DP65" s="108">
        <v>33.510396924965967</v>
      </c>
      <c r="DQ65" s="108">
        <v>39.209685282487406</v>
      </c>
      <c r="DR65" s="108">
        <v>43.224749676362578</v>
      </c>
      <c r="DS65" s="108">
        <v>52.516243127907423</v>
      </c>
      <c r="DT65" s="108">
        <v>46.016167546607662</v>
      </c>
      <c r="DU65" s="108">
        <v>38.115450834316903</v>
      </c>
      <c r="DV65" s="108">
        <v>34.988664108824558</v>
      </c>
      <c r="DW65" s="62">
        <v>3921</v>
      </c>
      <c r="DX65" s="62">
        <v>1391</v>
      </c>
      <c r="DY65" s="57">
        <v>91</v>
      </c>
      <c r="DZ65" s="60">
        <v>1724</v>
      </c>
      <c r="EA65" s="60">
        <v>634</v>
      </c>
      <c r="EB65" s="60">
        <v>307</v>
      </c>
      <c r="EC65" s="60">
        <v>311</v>
      </c>
      <c r="ED65" s="57">
        <v>210</v>
      </c>
      <c r="EE65" s="60">
        <v>247</v>
      </c>
      <c r="EF65" s="60">
        <v>19823</v>
      </c>
      <c r="EG65" s="60">
        <v>20477</v>
      </c>
      <c r="EH65" s="60">
        <v>19112</v>
      </c>
      <c r="EI65" s="60">
        <v>18964</v>
      </c>
      <c r="EJ65" s="115">
        <v>3455</v>
      </c>
      <c r="EK65" s="115">
        <v>231</v>
      </c>
      <c r="EL65" s="115">
        <v>28</v>
      </c>
      <c r="EM65" s="115">
        <v>165</v>
      </c>
      <c r="EN65" s="115">
        <v>56</v>
      </c>
      <c r="EO65" s="108">
        <v>816.96861493672338</v>
      </c>
      <c r="EP65" s="108">
        <v>825.5999277494227</v>
      </c>
      <c r="EQ65" s="108">
        <v>763.08934597589348</v>
      </c>
      <c r="ER65" s="108">
        <v>749.2888985998444</v>
      </c>
      <c r="ES65" s="108">
        <v>834.55635244121413</v>
      </c>
      <c r="ET65" s="108">
        <v>807.89940578903975</v>
      </c>
      <c r="EU65" s="108">
        <v>709.37896267691849</v>
      </c>
      <c r="EV65" s="108">
        <v>662.19020908975756</v>
      </c>
      <c r="EW65" s="108">
        <v>1078.8760269026398</v>
      </c>
      <c r="EX65" s="108">
        <v>1008.1045760154786</v>
      </c>
      <c r="EY65" s="108">
        <v>848.85373691135533</v>
      </c>
      <c r="EZ65" s="108">
        <v>799.06814846843986</v>
      </c>
      <c r="FA65" s="108">
        <v>683.70025268438826</v>
      </c>
      <c r="FB65" s="108">
        <v>680.20487696308601</v>
      </c>
      <c r="FC65" s="108">
        <v>611.99038272023165</v>
      </c>
      <c r="FD65" s="108">
        <v>561.36222461112004</v>
      </c>
      <c r="FE65" s="57">
        <v>4747</v>
      </c>
      <c r="FF65" s="62">
        <v>4785</v>
      </c>
      <c r="FG65" s="62">
        <v>4584</v>
      </c>
      <c r="FH65" s="62">
        <v>4505</v>
      </c>
      <c r="FI65" s="108">
        <v>206.68615119518049</v>
      </c>
      <c r="FJ65" s="108">
        <v>197.80547732432899</v>
      </c>
      <c r="FK65" s="108">
        <v>179.36419178996255</v>
      </c>
      <c r="FL65" s="108">
        <v>164.657281661338</v>
      </c>
      <c r="FM65" s="62">
        <v>5236</v>
      </c>
      <c r="FN65" s="62">
        <v>4474</v>
      </c>
      <c r="FO65" s="57">
        <v>3475</v>
      </c>
      <c r="FP65" s="62">
        <v>3001</v>
      </c>
      <c r="FQ65" s="108">
        <v>220.17162061562891</v>
      </c>
      <c r="FR65" s="108">
        <v>174.51378111085552</v>
      </c>
      <c r="FS65" s="108">
        <v>126.44879656047485</v>
      </c>
      <c r="FT65" s="108">
        <v>101.59521620640871</v>
      </c>
      <c r="FU65" s="60">
        <v>1551</v>
      </c>
      <c r="FV65" s="60">
        <v>1610</v>
      </c>
      <c r="FW65" s="60">
        <v>1303</v>
      </c>
      <c r="FX65" s="60">
        <v>1083</v>
      </c>
      <c r="FY65" s="108">
        <v>64.228214373280579</v>
      </c>
      <c r="FZ65" s="108">
        <v>61.67308062479006</v>
      </c>
      <c r="GA65" s="108">
        <v>47.207954646461346</v>
      </c>
      <c r="GB65" s="108">
        <v>36.578814403344886</v>
      </c>
      <c r="GC65" s="63">
        <v>643</v>
      </c>
      <c r="GD65" s="64">
        <v>707</v>
      </c>
      <c r="GE65" s="63">
        <v>794</v>
      </c>
      <c r="GF65" s="63">
        <v>902</v>
      </c>
      <c r="GG65" s="112">
        <v>26.001053219060282</v>
      </c>
      <c r="GH65" s="112">
        <v>27.542767786053716</v>
      </c>
      <c r="GI65" s="112">
        <v>29.837014468135337</v>
      </c>
      <c r="GJ65" s="112">
        <v>32.582758690606866</v>
      </c>
      <c r="GK65" s="63"/>
      <c r="GL65" s="63"/>
      <c r="GM65" s="63"/>
      <c r="GN65" s="64"/>
      <c r="GO65" s="63"/>
      <c r="GP65" s="63"/>
      <c r="GQ65" s="63"/>
      <c r="GR65" s="63"/>
      <c r="GS65" s="64"/>
      <c r="GT65" s="63"/>
      <c r="GU65" s="63"/>
      <c r="GV65" s="63"/>
      <c r="GW65" s="63"/>
      <c r="GX65" s="64"/>
      <c r="GY65" s="64"/>
      <c r="GZ65" s="64"/>
      <c r="HA65" s="64"/>
      <c r="HB65" s="64"/>
      <c r="HC65" s="64"/>
      <c r="HD65" s="65"/>
      <c r="HE65" s="65"/>
      <c r="HF65" s="65"/>
      <c r="HG65" s="65"/>
      <c r="HH65" s="65"/>
      <c r="HI65" s="66"/>
      <c r="HJ65" s="66"/>
      <c r="HK65" s="63"/>
      <c r="HL65" s="64"/>
      <c r="HM65" s="64"/>
      <c r="HN65" s="64"/>
      <c r="HO65" s="64"/>
      <c r="HP65" s="64"/>
      <c r="HQ65" s="64"/>
      <c r="HR65" s="64"/>
      <c r="HS65" s="64"/>
      <c r="HT65" s="64"/>
      <c r="HU65" s="39"/>
    </row>
    <row r="66" spans="1:229" x14ac:dyDescent="0.2">
      <c r="A66" s="37">
        <v>63</v>
      </c>
      <c r="B66" s="86" t="s">
        <v>121</v>
      </c>
      <c r="C66" s="93">
        <v>4118</v>
      </c>
      <c r="D66" s="93">
        <v>4069</v>
      </c>
      <c r="E66" s="93">
        <v>4188</v>
      </c>
      <c r="F66" s="93">
        <v>4089</v>
      </c>
      <c r="G66" s="93">
        <v>4105</v>
      </c>
      <c r="H66" s="43">
        <v>3949</v>
      </c>
      <c r="I66" s="43">
        <v>12</v>
      </c>
      <c r="J66" s="43">
        <v>68</v>
      </c>
      <c r="K66" s="43">
        <v>12</v>
      </c>
      <c r="L66" s="43">
        <v>104</v>
      </c>
      <c r="M66" s="44">
        <v>1755</v>
      </c>
      <c r="N66" s="44">
        <v>1761</v>
      </c>
      <c r="O66" s="45">
        <v>1779</v>
      </c>
      <c r="P66" s="45">
        <v>1737</v>
      </c>
      <c r="Q66" s="46">
        <v>1747</v>
      </c>
      <c r="R66" s="105">
        <v>26.25925925925926</v>
      </c>
      <c r="S66" s="105">
        <v>25.725986597170515</v>
      </c>
      <c r="T66" s="105">
        <v>29.414003044140031</v>
      </c>
      <c r="U66" s="105">
        <v>27.631060307449744</v>
      </c>
      <c r="V66" s="105">
        <v>28.402832415420928</v>
      </c>
      <c r="W66" s="105">
        <v>26.25925925925926</v>
      </c>
      <c r="X66" s="105">
        <v>25.763216679076695</v>
      </c>
      <c r="Y66" s="105">
        <v>29.946727549467276</v>
      </c>
      <c r="Z66" s="105">
        <v>33.543555380370513</v>
      </c>
      <c r="AA66" s="105">
        <v>33.084185680566485</v>
      </c>
      <c r="AB66" s="105">
        <v>52.518518518518519</v>
      </c>
      <c r="AC66" s="105">
        <v>51.48920327624721</v>
      </c>
      <c r="AD66" s="105">
        <v>59.360730593607308</v>
      </c>
      <c r="AE66" s="105">
        <v>61.174615687820257</v>
      </c>
      <c r="AF66" s="105">
        <v>61.487018095987409</v>
      </c>
      <c r="AG66" s="46">
        <v>8.210251954821894</v>
      </c>
      <c r="AH66" s="46">
        <v>7.8481012658227849</v>
      </c>
      <c r="AI66" s="46">
        <v>10.519852640196479</v>
      </c>
      <c r="AJ66" s="46">
        <v>9.5354523227383865</v>
      </c>
      <c r="AK66" s="45">
        <v>8.2682023858494453</v>
      </c>
      <c r="AL66" s="49">
        <v>115.5</v>
      </c>
      <c r="AM66" s="49">
        <v>125.33333333333333</v>
      </c>
      <c r="AN66" s="49">
        <v>150.25</v>
      </c>
      <c r="AO66" s="49">
        <v>125.33333333333333</v>
      </c>
      <c r="AP66" s="49">
        <v>178.83333333333334</v>
      </c>
      <c r="AQ66" s="49">
        <v>31271.169522697655</v>
      </c>
      <c r="AR66" s="49">
        <v>33137.391185630644</v>
      </c>
      <c r="AS66" s="49">
        <v>31337.032155546494</v>
      </c>
      <c r="AT66" s="49">
        <v>33160.236120259717</v>
      </c>
      <c r="AU66" s="49">
        <v>35694.518879415344</v>
      </c>
      <c r="AV66" s="101">
        <v>43403.456665798534</v>
      </c>
      <c r="AW66" s="101">
        <v>44686.283553875241</v>
      </c>
      <c r="AX66" s="102">
        <v>43522.645930538783</v>
      </c>
      <c r="AY66" s="102">
        <v>46383.301518875887</v>
      </c>
      <c r="AZ66" s="102">
        <v>44658</v>
      </c>
      <c r="BA66" s="99">
        <v>11.072231942014497</v>
      </c>
      <c r="BB66" s="99">
        <v>11.535542625853783</v>
      </c>
      <c r="BC66" s="99">
        <v>11.086529006882989</v>
      </c>
      <c r="BD66" s="99">
        <v>11.020307082714215</v>
      </c>
      <c r="BE66" s="99">
        <v>11.408900909761496</v>
      </c>
      <c r="BF66" s="99">
        <v>13.411764705882353</v>
      </c>
      <c r="BG66" s="99">
        <v>14.441747572815533</v>
      </c>
      <c r="BH66" s="48">
        <v>15.934065934065934</v>
      </c>
      <c r="BI66" s="48">
        <v>16.102564102564102</v>
      </c>
      <c r="BJ66" s="48">
        <v>16.138917262512766</v>
      </c>
      <c r="BK66" s="44">
        <v>739</v>
      </c>
      <c r="BL66" s="44">
        <v>730</v>
      </c>
      <c r="BM66" s="44">
        <v>767</v>
      </c>
      <c r="BN66" s="42">
        <v>765</v>
      </c>
      <c r="BO66" s="45">
        <v>50.744248985115021</v>
      </c>
      <c r="BP66" s="45">
        <v>53.972602739726028</v>
      </c>
      <c r="BQ66" s="45">
        <v>50.195567144719689</v>
      </c>
      <c r="BR66" s="46">
        <v>50.326797385620914</v>
      </c>
      <c r="BS66" s="105">
        <v>0.2706359945872801</v>
      </c>
      <c r="BT66" s="105">
        <v>0</v>
      </c>
      <c r="BU66" s="105">
        <v>0</v>
      </c>
      <c r="BV66" s="105">
        <v>0.13071895424836602</v>
      </c>
      <c r="BW66" s="45">
        <v>14.343707713125847</v>
      </c>
      <c r="BX66" s="45">
        <v>13.561643835616438</v>
      </c>
      <c r="BY66" s="45">
        <v>13.689700130378096</v>
      </c>
      <c r="BZ66" s="45">
        <v>14.640522875816993</v>
      </c>
      <c r="CA66" s="44">
        <v>90.322580645161295</v>
      </c>
      <c r="CB66" s="44">
        <v>82.539682539682545</v>
      </c>
      <c r="CC66" s="44">
        <v>92.982456140350877</v>
      </c>
      <c r="CD66" s="44">
        <v>81.13</v>
      </c>
      <c r="CE66" s="45">
        <v>4.838709677419355</v>
      </c>
      <c r="CF66" s="45">
        <v>1.5873015873015872</v>
      </c>
      <c r="CG66" s="45">
        <v>5.2631578947368425</v>
      </c>
      <c r="CH66" s="45">
        <v>9.43</v>
      </c>
      <c r="CI66" s="48">
        <v>256</v>
      </c>
      <c r="CJ66" s="51">
        <v>236</v>
      </c>
      <c r="CK66" s="51">
        <v>231</v>
      </c>
      <c r="CL66" s="57">
        <v>277</v>
      </c>
      <c r="CM66" s="108">
        <v>11.607871587920558</v>
      </c>
      <c r="CN66" s="108">
        <v>11.01157148189623</v>
      </c>
      <c r="CO66" s="108">
        <v>10.791366906474821</v>
      </c>
      <c r="CP66" s="108">
        <v>13.466867616315815</v>
      </c>
      <c r="CQ66" s="60">
        <v>10</v>
      </c>
      <c r="CR66" s="60">
        <v>11</v>
      </c>
      <c r="CS66" s="60">
        <v>11</v>
      </c>
      <c r="CT66" s="60">
        <v>15</v>
      </c>
      <c r="CU66" s="108">
        <v>4</v>
      </c>
      <c r="CV66" s="108">
        <v>4.7826086956521738</v>
      </c>
      <c r="CW66" s="108">
        <v>4.8888888888888893</v>
      </c>
      <c r="CX66" s="108">
        <v>5.5147058823529411</v>
      </c>
      <c r="CY66" s="61">
        <v>16</v>
      </c>
      <c r="CZ66" s="57">
        <v>12</v>
      </c>
      <c r="DA66" s="60">
        <v>18</v>
      </c>
      <c r="DB66" s="60">
        <v>17</v>
      </c>
      <c r="DC66" s="108">
        <v>6.666666666666667</v>
      </c>
      <c r="DD66" s="108">
        <v>5.3811659192825116</v>
      </c>
      <c r="DE66" s="108">
        <v>8.2191780821917817</v>
      </c>
      <c r="DF66" s="108">
        <v>6.8</v>
      </c>
      <c r="DG66" s="108">
        <v>70.980392156862749</v>
      </c>
      <c r="DH66" s="108">
        <v>76.92307692307692</v>
      </c>
      <c r="DI66" s="108">
        <v>80.786026200873366</v>
      </c>
      <c r="DJ66" s="108">
        <v>83.712121212121218</v>
      </c>
      <c r="DK66" s="108">
        <v>10.756972111553784</v>
      </c>
      <c r="DL66" s="108">
        <v>14.042553191489361</v>
      </c>
      <c r="DM66" s="108">
        <v>13.973799126637555</v>
      </c>
      <c r="DN66" s="108">
        <v>19.565217391304348</v>
      </c>
      <c r="DO66" s="108">
        <v>21.09375</v>
      </c>
      <c r="DP66" s="108">
        <v>23.305084745762713</v>
      </c>
      <c r="DQ66" s="108">
        <v>29.437229437229437</v>
      </c>
      <c r="DR66" s="108">
        <v>29.602888086642601</v>
      </c>
      <c r="DS66" s="108">
        <v>37.533512064343164</v>
      </c>
      <c r="DT66" s="108" t="s">
        <v>39</v>
      </c>
      <c r="DU66" s="108">
        <v>25.062656641604011</v>
      </c>
      <c r="DV66" s="108" t="s">
        <v>39</v>
      </c>
      <c r="DW66" s="62">
        <v>52</v>
      </c>
      <c r="DX66" s="62">
        <v>154</v>
      </c>
      <c r="DY66" s="57">
        <v>1</v>
      </c>
      <c r="DZ66" s="60">
        <v>0</v>
      </c>
      <c r="EA66" s="60">
        <v>3</v>
      </c>
      <c r="EB66" s="60">
        <v>1</v>
      </c>
      <c r="EC66" s="60">
        <v>2</v>
      </c>
      <c r="ED66" s="57">
        <v>3</v>
      </c>
      <c r="EE66" s="60">
        <v>0</v>
      </c>
      <c r="EF66" s="60">
        <v>278</v>
      </c>
      <c r="EG66" s="60">
        <v>257</v>
      </c>
      <c r="EH66" s="60">
        <v>236</v>
      </c>
      <c r="EI66" s="60">
        <v>200</v>
      </c>
      <c r="EJ66" s="115">
        <v>50</v>
      </c>
      <c r="EK66" s="115">
        <v>0</v>
      </c>
      <c r="EL66" s="115">
        <v>1</v>
      </c>
      <c r="EM66" s="115">
        <v>0</v>
      </c>
      <c r="EN66" s="115">
        <v>0</v>
      </c>
      <c r="EO66" s="108">
        <v>1260.5423052507481</v>
      </c>
      <c r="EP66" s="108">
        <v>1199.1414706980217</v>
      </c>
      <c r="EQ66" s="108">
        <v>1102.4946276744838</v>
      </c>
      <c r="ER66" s="108">
        <v>972.33701200836208</v>
      </c>
      <c r="ES66" s="108">
        <v>903.11688906544532</v>
      </c>
      <c r="ET66" s="108">
        <v>848.91854409561574</v>
      </c>
      <c r="EU66" s="108">
        <v>744.37777542465096</v>
      </c>
      <c r="EV66" s="108">
        <v>688.43697795434218</v>
      </c>
      <c r="EW66" s="108">
        <v>1146.8878849186651</v>
      </c>
      <c r="EX66" s="108">
        <v>1045.6546048326447</v>
      </c>
      <c r="EY66" s="108">
        <v>930.09558581391786</v>
      </c>
      <c r="EZ66" s="108">
        <v>957.01894185231004</v>
      </c>
      <c r="FA66" s="108">
        <v>693.9336510993935</v>
      </c>
      <c r="FB66" s="108">
        <v>664.07407245982552</v>
      </c>
      <c r="FC66" s="108">
        <v>589.87209017995303</v>
      </c>
      <c r="FD66" s="108">
        <v>481.34812633779916</v>
      </c>
      <c r="FE66" s="57">
        <v>50</v>
      </c>
      <c r="FF66" s="62">
        <v>47</v>
      </c>
      <c r="FG66" s="62">
        <v>50</v>
      </c>
      <c r="FH66" s="62">
        <v>52</v>
      </c>
      <c r="FI66" s="108">
        <v>169.23372264205753</v>
      </c>
      <c r="FJ66" s="108">
        <v>165.5188004030629</v>
      </c>
      <c r="FK66" s="108">
        <v>169.53396656843228</v>
      </c>
      <c r="FL66" s="108">
        <v>182.53926198948494</v>
      </c>
      <c r="FM66" s="62">
        <v>72</v>
      </c>
      <c r="FN66" s="62">
        <v>76</v>
      </c>
      <c r="FO66" s="57">
        <v>59</v>
      </c>
      <c r="FP66" s="62">
        <v>45</v>
      </c>
      <c r="FQ66" s="108">
        <v>233.95611086024789</v>
      </c>
      <c r="FR66" s="108">
        <v>250.88893988522591</v>
      </c>
      <c r="FS66" s="108">
        <v>177.90112663817519</v>
      </c>
      <c r="FT66" s="108">
        <v>148.33951707854487</v>
      </c>
      <c r="FU66" s="60">
        <v>31</v>
      </c>
      <c r="FV66" s="60">
        <v>33</v>
      </c>
      <c r="FW66" s="60">
        <v>22</v>
      </c>
      <c r="FX66" s="60">
        <v>9</v>
      </c>
      <c r="FY66" s="108">
        <v>91.392703956888667</v>
      </c>
      <c r="FZ66" s="108">
        <v>98.837786048486976</v>
      </c>
      <c r="GA66" s="108">
        <v>66.962970269640124</v>
      </c>
      <c r="GB66" s="108" t="s">
        <v>39</v>
      </c>
      <c r="GC66" s="63">
        <v>17</v>
      </c>
      <c r="GD66" s="64">
        <v>8</v>
      </c>
      <c r="GE66" s="63">
        <v>15</v>
      </c>
      <c r="GF66" s="63">
        <v>11</v>
      </c>
      <c r="GG66" s="112" t="s">
        <v>39</v>
      </c>
      <c r="GH66" s="112" t="s">
        <v>39</v>
      </c>
      <c r="GI66" s="112" t="s">
        <v>39</v>
      </c>
      <c r="GJ66" s="112" t="s">
        <v>39</v>
      </c>
      <c r="GK66" s="63"/>
      <c r="GL66" s="63"/>
      <c r="GM66" s="63"/>
      <c r="GN66" s="64"/>
      <c r="GO66" s="63"/>
      <c r="GP66" s="63"/>
      <c r="GQ66" s="63"/>
      <c r="GR66" s="63"/>
      <c r="GS66" s="64"/>
      <c r="GT66" s="63"/>
      <c r="GU66" s="63"/>
      <c r="GV66" s="63"/>
      <c r="GW66" s="63"/>
      <c r="GX66" s="64"/>
      <c r="GY66" s="64"/>
      <c r="GZ66" s="64"/>
      <c r="HA66" s="64"/>
      <c r="HB66" s="64"/>
      <c r="HC66" s="64"/>
      <c r="HD66" s="65"/>
      <c r="HE66" s="65"/>
      <c r="HF66" s="65"/>
      <c r="HG66" s="65"/>
      <c r="HH66" s="65"/>
      <c r="HI66" s="66"/>
      <c r="HJ66" s="66"/>
      <c r="HK66" s="63"/>
      <c r="HL66" s="64"/>
      <c r="HM66" s="64"/>
      <c r="HN66" s="64"/>
      <c r="HO66" s="64"/>
      <c r="HP66" s="64"/>
      <c r="HQ66" s="64"/>
      <c r="HR66" s="64"/>
      <c r="HS66" s="64"/>
      <c r="HT66" s="64"/>
      <c r="HU66" s="39"/>
    </row>
    <row r="67" spans="1:229" x14ac:dyDescent="0.2">
      <c r="A67" s="37">
        <v>64</v>
      </c>
      <c r="B67" s="86" t="s">
        <v>122</v>
      </c>
      <c r="C67" s="93">
        <v>15519</v>
      </c>
      <c r="D67" s="93">
        <v>15493</v>
      </c>
      <c r="E67" s="93">
        <v>15464</v>
      </c>
      <c r="F67" s="93">
        <v>16059</v>
      </c>
      <c r="G67" s="93">
        <v>15972</v>
      </c>
      <c r="H67" s="43">
        <v>14260</v>
      </c>
      <c r="I67" s="43">
        <v>95</v>
      </c>
      <c r="J67" s="43">
        <v>806</v>
      </c>
      <c r="K67" s="43">
        <v>514</v>
      </c>
      <c r="L67" s="43">
        <v>346</v>
      </c>
      <c r="M67" s="44">
        <v>6564</v>
      </c>
      <c r="N67" s="44">
        <v>6538</v>
      </c>
      <c r="O67" s="45">
        <v>6521</v>
      </c>
      <c r="P67" s="45">
        <v>6580</v>
      </c>
      <c r="Q67" s="46">
        <v>6579</v>
      </c>
      <c r="R67" s="105">
        <v>31.436596275876418</v>
      </c>
      <c r="S67" s="105">
        <v>31.452794640988067</v>
      </c>
      <c r="T67" s="105">
        <v>33.564088696592755</v>
      </c>
      <c r="U67" s="105">
        <v>33.027139874739042</v>
      </c>
      <c r="V67" s="105">
        <v>32.925554161438725</v>
      </c>
      <c r="W67" s="105">
        <v>30.001040257983981</v>
      </c>
      <c r="X67" s="105">
        <v>30.709650408205988</v>
      </c>
      <c r="Y67" s="105">
        <v>33.704705246078959</v>
      </c>
      <c r="Z67" s="105">
        <v>34.603340292275576</v>
      </c>
      <c r="AA67" s="105">
        <v>34.075700543705565</v>
      </c>
      <c r="AB67" s="105">
        <v>61.437636533860399</v>
      </c>
      <c r="AC67" s="105">
        <v>62.162445049194055</v>
      </c>
      <c r="AD67" s="105">
        <v>67.268793942671721</v>
      </c>
      <c r="AE67" s="105">
        <v>67.630480167014611</v>
      </c>
      <c r="AF67" s="105">
        <v>67.001254705144291</v>
      </c>
      <c r="AG67" s="46">
        <v>4.7808764940239046</v>
      </c>
      <c r="AH67" s="46">
        <v>5.3578026850597364</v>
      </c>
      <c r="AI67" s="46">
        <v>6.998463175316231</v>
      </c>
      <c r="AJ67" s="46">
        <v>6.5362485615650172</v>
      </c>
      <c r="AK67" s="45">
        <v>5.853151697067652</v>
      </c>
      <c r="AL67" s="49">
        <v>286.33333333333331</v>
      </c>
      <c r="AM67" s="49">
        <v>303.25</v>
      </c>
      <c r="AN67" s="49">
        <v>382.83333333333331</v>
      </c>
      <c r="AO67" s="49">
        <v>303.25</v>
      </c>
      <c r="AP67" s="49">
        <v>545.25</v>
      </c>
      <c r="AQ67" s="49">
        <v>36489.674602857296</v>
      </c>
      <c r="AR67" s="49">
        <v>41967.796574736873</v>
      </c>
      <c r="AS67" s="49">
        <v>40647.01365147817</v>
      </c>
      <c r="AT67" s="49">
        <v>42112.729178212066</v>
      </c>
      <c r="AU67" s="49">
        <v>42779.426496368644</v>
      </c>
      <c r="AV67" s="101">
        <v>50096.016258162839</v>
      </c>
      <c r="AW67" s="101">
        <v>47206.233893628982</v>
      </c>
      <c r="AX67" s="102">
        <v>48807.014407771145</v>
      </c>
      <c r="AY67" s="102">
        <v>48386.601304252115</v>
      </c>
      <c r="AZ67" s="102">
        <v>47858</v>
      </c>
      <c r="BA67" s="99">
        <v>9.0228552500828094</v>
      </c>
      <c r="BB67" s="99">
        <v>9.9057855626326958</v>
      </c>
      <c r="BC67" s="99">
        <v>10.045236828100053</v>
      </c>
      <c r="BD67" s="99">
        <v>9.5846036585365848</v>
      </c>
      <c r="BE67" s="99">
        <v>10.379407256004088</v>
      </c>
      <c r="BF67" s="99">
        <v>12.20815752461322</v>
      </c>
      <c r="BG67" s="99">
        <v>12.156092083099383</v>
      </c>
      <c r="BH67" s="48">
        <v>12.93836344314559</v>
      </c>
      <c r="BI67" s="48">
        <v>13.858626805168482</v>
      </c>
      <c r="BJ67" s="48">
        <v>14.496505306756408</v>
      </c>
      <c r="BK67" s="44">
        <v>2231</v>
      </c>
      <c r="BL67" s="44">
        <v>2190</v>
      </c>
      <c r="BM67" s="44">
        <v>2188</v>
      </c>
      <c r="BN67" s="42">
        <v>2146</v>
      </c>
      <c r="BO67" s="45">
        <v>34.379202151501566</v>
      </c>
      <c r="BP67" s="45">
        <v>34.520547945205479</v>
      </c>
      <c r="BQ67" s="45">
        <v>36.745886654478973</v>
      </c>
      <c r="BR67" s="46">
        <v>38.816402609506056</v>
      </c>
      <c r="BS67" s="105">
        <v>0.98610488570147914</v>
      </c>
      <c r="BT67" s="105">
        <v>0.91324200913242004</v>
      </c>
      <c r="BU67" s="105">
        <v>0.82266910420475325</v>
      </c>
      <c r="BV67" s="105">
        <v>0.65237651444547995</v>
      </c>
      <c r="BW67" s="45">
        <v>15.23980277902286</v>
      </c>
      <c r="BX67" s="45">
        <v>14.657534246575343</v>
      </c>
      <c r="BY67" s="45">
        <v>16.13345521023766</v>
      </c>
      <c r="BZ67" s="45">
        <v>15.890027958993477</v>
      </c>
      <c r="CA67" s="44">
        <v>85.714285714285708</v>
      </c>
      <c r="CB67" s="44">
        <v>87.441860465116278</v>
      </c>
      <c r="CC67" s="44">
        <v>86.956521739130437</v>
      </c>
      <c r="CD67" s="44">
        <v>85</v>
      </c>
      <c r="CE67" s="45">
        <v>7.1428571428571432</v>
      </c>
      <c r="CF67" s="45">
        <v>3.7209302325581395</v>
      </c>
      <c r="CG67" s="45">
        <v>3.0434782608695654</v>
      </c>
      <c r="CH67" s="45">
        <v>6.5</v>
      </c>
      <c r="CI67" s="48">
        <v>1023</v>
      </c>
      <c r="CJ67" s="51">
        <v>960</v>
      </c>
      <c r="CK67" s="51">
        <v>1051</v>
      </c>
      <c r="CL67" s="57">
        <v>991</v>
      </c>
      <c r="CM67" s="108">
        <v>11.982149759302857</v>
      </c>
      <c r="CN67" s="108">
        <v>11.575469650565511</v>
      </c>
      <c r="CO67" s="108">
        <v>13.052657724788872</v>
      </c>
      <c r="CP67" s="108">
        <v>12.623078196848688</v>
      </c>
      <c r="CQ67" s="60">
        <v>33</v>
      </c>
      <c r="CR67" s="60">
        <v>25</v>
      </c>
      <c r="CS67" s="60">
        <v>35</v>
      </c>
      <c r="CT67" s="60">
        <v>37</v>
      </c>
      <c r="CU67" s="108">
        <v>3.2738095238095237</v>
      </c>
      <c r="CV67" s="108">
        <v>2.6968716289104639</v>
      </c>
      <c r="CW67" s="108">
        <v>3.4722222222222223</v>
      </c>
      <c r="CX67" s="108">
        <v>3.8581856100104277</v>
      </c>
      <c r="CY67" s="61">
        <v>58</v>
      </c>
      <c r="CZ67" s="57">
        <v>49</v>
      </c>
      <c r="DA67" s="60">
        <v>72</v>
      </c>
      <c r="DB67" s="60">
        <v>78</v>
      </c>
      <c r="DC67" s="108">
        <v>6.1310782241014801</v>
      </c>
      <c r="DD67" s="108">
        <v>5.6581986143187066</v>
      </c>
      <c r="DE67" s="108">
        <v>8.3044982698961931</v>
      </c>
      <c r="DF67" s="108">
        <v>8.9449541284403669</v>
      </c>
      <c r="DG67" s="108">
        <v>88.126919140225183</v>
      </c>
      <c r="DH67" s="108">
        <v>87.554585152838428</v>
      </c>
      <c r="DI67" s="108">
        <v>85.426653883029715</v>
      </c>
      <c r="DJ67" s="108">
        <v>84.028484231943025</v>
      </c>
      <c r="DK67" s="108">
        <v>13.437849944008958</v>
      </c>
      <c r="DL67" s="108">
        <v>15.132275132275133</v>
      </c>
      <c r="DM67" s="108">
        <v>16.937799043062199</v>
      </c>
      <c r="DN67" s="108">
        <v>18.888888888888889</v>
      </c>
      <c r="DO67" s="108">
        <v>20.821114369501466</v>
      </c>
      <c r="DP67" s="108">
        <v>24.608967674661105</v>
      </c>
      <c r="DQ67" s="108">
        <v>28.544243577545195</v>
      </c>
      <c r="DR67" s="108">
        <v>39.051463168516648</v>
      </c>
      <c r="DS67" s="108">
        <v>29.671494171670787</v>
      </c>
      <c r="DT67" s="108">
        <v>29.924366984544559</v>
      </c>
      <c r="DU67" s="108">
        <v>24.807241032517599</v>
      </c>
      <c r="DV67" s="108">
        <v>32.878909382518046</v>
      </c>
      <c r="DW67" s="62">
        <v>162</v>
      </c>
      <c r="DX67" s="62">
        <v>2</v>
      </c>
      <c r="DY67" s="57">
        <v>12</v>
      </c>
      <c r="DZ67" s="60">
        <v>15</v>
      </c>
      <c r="EA67" s="60">
        <v>6</v>
      </c>
      <c r="EB67" s="60">
        <v>2</v>
      </c>
      <c r="EC67" s="60">
        <v>5</v>
      </c>
      <c r="ED67" s="57">
        <v>3</v>
      </c>
      <c r="EE67" s="60">
        <v>3</v>
      </c>
      <c r="EF67" s="60">
        <v>1053</v>
      </c>
      <c r="EG67" s="60">
        <v>1069</v>
      </c>
      <c r="EH67" s="60">
        <v>1028</v>
      </c>
      <c r="EI67" s="60">
        <v>930</v>
      </c>
      <c r="EJ67" s="115">
        <v>186</v>
      </c>
      <c r="EK67" s="115">
        <v>0</v>
      </c>
      <c r="EL67" s="115">
        <v>5</v>
      </c>
      <c r="EM67" s="115">
        <v>1</v>
      </c>
      <c r="EN67" s="115">
        <v>0</v>
      </c>
      <c r="EO67" s="108">
        <v>1233.3532450191503</v>
      </c>
      <c r="EP67" s="108">
        <v>1288.9767767140136</v>
      </c>
      <c r="EQ67" s="108">
        <v>1276.7014406358669</v>
      </c>
      <c r="ER67" s="108">
        <v>1184.6077419847911</v>
      </c>
      <c r="ES67" s="108">
        <v>770.70432277493387</v>
      </c>
      <c r="ET67" s="108">
        <v>804.17258808658175</v>
      </c>
      <c r="EU67" s="108">
        <v>743.03217067161177</v>
      </c>
      <c r="EV67" s="108">
        <v>684.64359811655936</v>
      </c>
      <c r="EW67" s="108">
        <v>969.40392461575948</v>
      </c>
      <c r="EX67" s="108">
        <v>1015.0471673758195</v>
      </c>
      <c r="EY67" s="108">
        <v>960.58075116727503</v>
      </c>
      <c r="EZ67" s="108">
        <v>857.25035268991337</v>
      </c>
      <c r="FA67" s="108">
        <v>615.78728238612575</v>
      </c>
      <c r="FB67" s="108">
        <v>632.72462414599511</v>
      </c>
      <c r="FC67" s="108">
        <v>569.04469389474593</v>
      </c>
      <c r="FD67" s="108">
        <v>553.8365978624289</v>
      </c>
      <c r="FE67" s="57">
        <v>247</v>
      </c>
      <c r="FF67" s="62">
        <v>246</v>
      </c>
      <c r="FG67" s="62">
        <v>232</v>
      </c>
      <c r="FH67" s="62">
        <v>217</v>
      </c>
      <c r="FI67" s="108">
        <v>193.67178680257751</v>
      </c>
      <c r="FJ67" s="108">
        <v>197.75621174528251</v>
      </c>
      <c r="FK67" s="108">
        <v>186.04516542094865</v>
      </c>
      <c r="FL67" s="108">
        <v>174.16413493553122</v>
      </c>
      <c r="FM67" s="62">
        <v>363</v>
      </c>
      <c r="FN67" s="62">
        <v>309</v>
      </c>
      <c r="FO67" s="57">
        <v>276</v>
      </c>
      <c r="FP67" s="62">
        <v>212</v>
      </c>
      <c r="FQ67" s="108">
        <v>247.01549775030486</v>
      </c>
      <c r="FR67" s="108">
        <v>225.38941691810447</v>
      </c>
      <c r="FS67" s="108">
        <v>180.70474190198911</v>
      </c>
      <c r="FT67" s="108">
        <v>140.79638640698738</v>
      </c>
      <c r="FU67" s="60">
        <v>103</v>
      </c>
      <c r="FV67" s="60">
        <v>91</v>
      </c>
      <c r="FW67" s="60">
        <v>81</v>
      </c>
      <c r="FX67" s="60">
        <v>57</v>
      </c>
      <c r="FY67" s="108">
        <v>65.986151728821568</v>
      </c>
      <c r="FZ67" s="108">
        <v>59.679414712583487</v>
      </c>
      <c r="GA67" s="108">
        <v>51.750024806838368</v>
      </c>
      <c r="GB67" s="108">
        <v>38.625798544175261</v>
      </c>
      <c r="GC67" s="63">
        <v>52</v>
      </c>
      <c r="GD67" s="64">
        <v>40</v>
      </c>
      <c r="GE67" s="63">
        <v>43</v>
      </c>
      <c r="GF67" s="63">
        <v>48</v>
      </c>
      <c r="GG67" s="112">
        <v>54.987968404350177</v>
      </c>
      <c r="GH67" s="112">
        <v>46.484109946562086</v>
      </c>
      <c r="GI67" s="112">
        <v>46.004774615609577</v>
      </c>
      <c r="GJ67" s="112">
        <v>48.736467802953229</v>
      </c>
      <c r="GK67" s="63"/>
      <c r="GL67" s="63"/>
      <c r="GM67" s="63"/>
      <c r="GN67" s="64"/>
      <c r="GO67" s="63"/>
      <c r="GP67" s="63"/>
      <c r="GQ67" s="63"/>
      <c r="GR67" s="63"/>
      <c r="GS67" s="64"/>
      <c r="GT67" s="63"/>
      <c r="GU67" s="63"/>
      <c r="GV67" s="63"/>
      <c r="GW67" s="63"/>
      <c r="GX67" s="64"/>
      <c r="GY67" s="64"/>
      <c r="GZ67" s="64"/>
      <c r="HA67" s="64"/>
      <c r="HB67" s="64"/>
      <c r="HC67" s="64"/>
      <c r="HD67" s="65"/>
      <c r="HE67" s="65"/>
      <c r="HF67" s="65"/>
      <c r="HG67" s="65"/>
      <c r="HH67" s="65"/>
      <c r="HI67" s="66"/>
      <c r="HJ67" s="66"/>
      <c r="HK67" s="63"/>
      <c r="HL67" s="64"/>
      <c r="HM67" s="64"/>
      <c r="HN67" s="64"/>
      <c r="HO67" s="64"/>
      <c r="HP67" s="64"/>
      <c r="HQ67" s="64"/>
      <c r="HR67" s="64"/>
      <c r="HS67" s="64"/>
      <c r="HT67" s="64"/>
      <c r="HU67" s="39"/>
    </row>
    <row r="68" spans="1:229" x14ac:dyDescent="0.2">
      <c r="A68" s="37">
        <v>65</v>
      </c>
      <c r="B68" s="86" t="s">
        <v>123</v>
      </c>
      <c r="C68" s="93">
        <v>16132</v>
      </c>
      <c r="D68" s="93">
        <v>15861</v>
      </c>
      <c r="E68" s="93">
        <v>15718</v>
      </c>
      <c r="F68" s="93">
        <v>15730</v>
      </c>
      <c r="G68" s="93">
        <v>15500</v>
      </c>
      <c r="H68" s="43">
        <v>15090</v>
      </c>
      <c r="I68" s="43">
        <v>49</v>
      </c>
      <c r="J68" s="43">
        <v>124</v>
      </c>
      <c r="K68" s="43">
        <v>71</v>
      </c>
      <c r="L68" s="43">
        <v>1060</v>
      </c>
      <c r="M68" s="44">
        <v>6827</v>
      </c>
      <c r="N68" s="44">
        <v>6817</v>
      </c>
      <c r="O68" s="45">
        <v>6760</v>
      </c>
      <c r="P68" s="45">
        <v>6564</v>
      </c>
      <c r="Q68" s="46">
        <v>6516</v>
      </c>
      <c r="R68" s="105">
        <v>29.1736432581503</v>
      </c>
      <c r="S68" s="105">
        <v>29.380513231756215</v>
      </c>
      <c r="T68" s="105">
        <v>29.8306824012314</v>
      </c>
      <c r="U68" s="105">
        <v>31.314273961332784</v>
      </c>
      <c r="V68" s="105">
        <v>31.497454016418995</v>
      </c>
      <c r="W68" s="105">
        <v>29.715355067467744</v>
      </c>
      <c r="X68" s="105">
        <v>29.611066559743385</v>
      </c>
      <c r="Y68" s="105">
        <v>31.46228835300154</v>
      </c>
      <c r="Z68" s="105">
        <v>30.450431921020158</v>
      </c>
      <c r="AA68" s="105">
        <v>29.574976618518132</v>
      </c>
      <c r="AB68" s="105">
        <v>58.888998325618047</v>
      </c>
      <c r="AC68" s="105">
        <v>58.991579791499596</v>
      </c>
      <c r="AD68" s="105">
        <v>61.29297075423294</v>
      </c>
      <c r="AE68" s="105">
        <v>61.764705882352942</v>
      </c>
      <c r="AF68" s="105">
        <v>61.072430634937128</v>
      </c>
      <c r="AG68" s="46">
        <v>5.3325485579752794</v>
      </c>
      <c r="AH68" s="46">
        <v>5.7244464838820699</v>
      </c>
      <c r="AI68" s="46">
        <v>8.1609456694703333</v>
      </c>
      <c r="AJ68" s="46">
        <v>7.6399394856278366</v>
      </c>
      <c r="AK68" s="45">
        <v>6.8776093166337064</v>
      </c>
      <c r="AL68" s="49">
        <v>352.58333333333331</v>
      </c>
      <c r="AM68" s="49">
        <v>359.58333333333331</v>
      </c>
      <c r="AN68" s="49">
        <v>453.16666666666669</v>
      </c>
      <c r="AO68" s="49">
        <v>359.58333333333331</v>
      </c>
      <c r="AP68" s="49">
        <v>621.25</v>
      </c>
      <c r="AQ68" s="49">
        <v>36847.85436944398</v>
      </c>
      <c r="AR68" s="49">
        <v>43757.468768592196</v>
      </c>
      <c r="AS68" s="49">
        <v>39599.809654372482</v>
      </c>
      <c r="AT68" s="49">
        <v>42581.08040970123</v>
      </c>
      <c r="AU68" s="49">
        <v>42832.322580645159</v>
      </c>
      <c r="AV68" s="101">
        <v>48943.88490995553</v>
      </c>
      <c r="AW68" s="101">
        <v>48504.865018137236</v>
      </c>
      <c r="AX68" s="102">
        <v>49183.420813193057</v>
      </c>
      <c r="AY68" s="102">
        <v>51470.981509337049</v>
      </c>
      <c r="AZ68" s="102">
        <v>49153</v>
      </c>
      <c r="BA68" s="99">
        <v>9.4686907020872866</v>
      </c>
      <c r="BB68" s="99">
        <v>10.955995882655687</v>
      </c>
      <c r="BC68" s="99">
        <v>10.700363825363825</v>
      </c>
      <c r="BD68" s="99">
        <v>11.26375415066085</v>
      </c>
      <c r="BE68" s="99">
        <v>11.071546323771843</v>
      </c>
      <c r="BF68" s="99">
        <v>13.137721385144065</v>
      </c>
      <c r="BG68" s="99">
        <v>14.908194025760482</v>
      </c>
      <c r="BH68" s="48">
        <v>15.6957928802589</v>
      </c>
      <c r="BI68" s="48">
        <v>16.973757677275266</v>
      </c>
      <c r="BJ68" s="48">
        <v>17.140371229698374</v>
      </c>
      <c r="BK68" s="44">
        <v>2014</v>
      </c>
      <c r="BL68" s="44">
        <v>1969</v>
      </c>
      <c r="BM68" s="44">
        <v>1825</v>
      </c>
      <c r="BN68" s="42">
        <v>1789</v>
      </c>
      <c r="BO68" s="45">
        <v>39.076464746772594</v>
      </c>
      <c r="BP68" s="45">
        <v>43.473844591163029</v>
      </c>
      <c r="BQ68" s="45">
        <v>41.643835616438359</v>
      </c>
      <c r="BR68" s="46">
        <v>42.817216321967578</v>
      </c>
      <c r="BS68" s="105">
        <v>10.12909632571996</v>
      </c>
      <c r="BT68" s="105">
        <v>9.9035043169121373</v>
      </c>
      <c r="BU68" s="105">
        <v>9.9726027397260282</v>
      </c>
      <c r="BV68" s="105">
        <v>7.8814980435997768</v>
      </c>
      <c r="BW68" s="45">
        <v>14.746772591857001</v>
      </c>
      <c r="BX68" s="45">
        <v>15.439309294057898</v>
      </c>
      <c r="BY68" s="45">
        <v>15.232876712328768</v>
      </c>
      <c r="BZ68" s="45">
        <v>15.259921743991056</v>
      </c>
      <c r="CA68" s="44">
        <v>85.641025641025635</v>
      </c>
      <c r="CB68" s="44">
        <v>84.530386740331494</v>
      </c>
      <c r="CC68" s="44">
        <v>89.85507246376811</v>
      </c>
      <c r="CD68" s="44">
        <v>87.34</v>
      </c>
      <c r="CE68" s="45">
        <v>3.5897435897435899</v>
      </c>
      <c r="CF68" s="45">
        <v>2.2099447513812156</v>
      </c>
      <c r="CG68" s="45">
        <v>2.8985507246376812</v>
      </c>
      <c r="CH68" s="45">
        <v>5.0599999999999996</v>
      </c>
      <c r="CI68" s="48">
        <v>992</v>
      </c>
      <c r="CJ68" s="51">
        <v>1012</v>
      </c>
      <c r="CK68" s="51">
        <v>1014</v>
      </c>
      <c r="CL68" s="57">
        <v>919</v>
      </c>
      <c r="CM68" s="108">
        <v>11.476168440536789</v>
      </c>
      <c r="CN68" s="108">
        <v>11.907983761840324</v>
      </c>
      <c r="CO68" s="108">
        <v>12.08596050012515</v>
      </c>
      <c r="CP68" s="108">
        <v>11.641605756197666</v>
      </c>
      <c r="CQ68" s="60">
        <v>45</v>
      </c>
      <c r="CR68" s="60">
        <v>39</v>
      </c>
      <c r="CS68" s="60">
        <v>48</v>
      </c>
      <c r="CT68" s="60">
        <v>38</v>
      </c>
      <c r="CU68" s="108">
        <v>4.6826222684703431</v>
      </c>
      <c r="CV68" s="108">
        <v>3.9473684210526314</v>
      </c>
      <c r="CW68" s="108">
        <v>4.8241206030150749</v>
      </c>
      <c r="CX68" s="108">
        <v>4.2792792792792795</v>
      </c>
      <c r="CY68" s="61">
        <v>62</v>
      </c>
      <c r="CZ68" s="57">
        <v>75</v>
      </c>
      <c r="DA68" s="60">
        <v>83</v>
      </c>
      <c r="DB68" s="60">
        <v>50</v>
      </c>
      <c r="DC68" s="108">
        <v>6.8206820682068203</v>
      </c>
      <c r="DD68" s="108">
        <v>8.0818965517241388</v>
      </c>
      <c r="DE68" s="108">
        <v>8.9924160346695565</v>
      </c>
      <c r="DF68" s="108">
        <v>6.1728395061728394</v>
      </c>
      <c r="DG68" s="108">
        <v>84.766839378238345</v>
      </c>
      <c r="DH68" s="108">
        <v>83.417085427135675</v>
      </c>
      <c r="DI68" s="108">
        <v>85.104270109235358</v>
      </c>
      <c r="DJ68" s="108">
        <v>85.698689956331876</v>
      </c>
      <c r="DK68" s="108">
        <v>13.612565445026178</v>
      </c>
      <c r="DL68" s="108">
        <v>15.184815184815184</v>
      </c>
      <c r="DM68" s="108">
        <v>14.781746031746032</v>
      </c>
      <c r="DN68" s="108">
        <v>17.864923747276688</v>
      </c>
      <c r="DO68" s="108">
        <v>22.782258064516128</v>
      </c>
      <c r="DP68" s="108">
        <v>25</v>
      </c>
      <c r="DQ68" s="108">
        <v>33.826429980276131</v>
      </c>
      <c r="DR68" s="108">
        <v>37.214363438520131</v>
      </c>
      <c r="DS68" s="108">
        <v>39.483971853010161</v>
      </c>
      <c r="DT68" s="108">
        <v>38.358008075370122</v>
      </c>
      <c r="DU68" s="108">
        <v>32.717358376249621</v>
      </c>
      <c r="DV68" s="108">
        <v>33.825816485225502</v>
      </c>
      <c r="DW68" s="62">
        <v>171</v>
      </c>
      <c r="DX68" s="62">
        <v>129</v>
      </c>
      <c r="DY68" s="57">
        <v>4</v>
      </c>
      <c r="DZ68" s="60">
        <v>5</v>
      </c>
      <c r="EA68" s="60">
        <v>18</v>
      </c>
      <c r="EB68" s="60">
        <v>10</v>
      </c>
      <c r="EC68" s="60">
        <v>7</v>
      </c>
      <c r="ED68" s="57">
        <v>4</v>
      </c>
      <c r="EE68" s="60">
        <v>2</v>
      </c>
      <c r="EF68" s="60">
        <v>1115</v>
      </c>
      <c r="EG68" s="60">
        <v>1106</v>
      </c>
      <c r="EH68" s="60">
        <v>1016</v>
      </c>
      <c r="EI68" s="60">
        <v>999</v>
      </c>
      <c r="EJ68" s="115">
        <v>188</v>
      </c>
      <c r="EK68" s="115">
        <v>0</v>
      </c>
      <c r="EL68" s="115">
        <v>1</v>
      </c>
      <c r="EM68" s="115">
        <v>0</v>
      </c>
      <c r="EN68" s="115">
        <v>1</v>
      </c>
      <c r="EO68" s="108">
        <v>1289.9120777417861</v>
      </c>
      <c r="EP68" s="108">
        <v>1301.4061304936165</v>
      </c>
      <c r="EQ68" s="108">
        <v>1210.9798686515931</v>
      </c>
      <c r="ER68" s="108">
        <v>1265.5020838347627</v>
      </c>
      <c r="ES68" s="108">
        <v>823.33278077853902</v>
      </c>
      <c r="ET68" s="108">
        <v>794.64365134710454</v>
      </c>
      <c r="EU68" s="108">
        <v>751.67338985083995</v>
      </c>
      <c r="EV68" s="108">
        <v>774.06358907203412</v>
      </c>
      <c r="EW68" s="108">
        <v>1041.8968802031191</v>
      </c>
      <c r="EX68" s="108">
        <v>1039.8118804040128</v>
      </c>
      <c r="EY68" s="108">
        <v>863.310945399616</v>
      </c>
      <c r="EZ68" s="108">
        <v>930.98111289332155</v>
      </c>
      <c r="FA68" s="108">
        <v>648.93942546848064</v>
      </c>
      <c r="FB68" s="108">
        <v>601.73808880100739</v>
      </c>
      <c r="FC68" s="108">
        <v>658.48606378443151</v>
      </c>
      <c r="FD68" s="108">
        <v>644.05095272360018</v>
      </c>
      <c r="FE68" s="57">
        <v>238</v>
      </c>
      <c r="FF68" s="62">
        <v>229</v>
      </c>
      <c r="FG68" s="62">
        <v>225</v>
      </c>
      <c r="FH68" s="62">
        <v>227</v>
      </c>
      <c r="FI68" s="108">
        <v>185.05233420400191</v>
      </c>
      <c r="FJ68" s="108">
        <v>178.29526846370203</v>
      </c>
      <c r="FK68" s="108">
        <v>175.76971194255759</v>
      </c>
      <c r="FL68" s="108">
        <v>191.42019534980798</v>
      </c>
      <c r="FM68" s="62">
        <v>361</v>
      </c>
      <c r="FN68" s="62">
        <v>304</v>
      </c>
      <c r="FO68" s="57">
        <v>242</v>
      </c>
      <c r="FP68" s="62">
        <v>206</v>
      </c>
      <c r="FQ68" s="108">
        <v>250.08226512793595</v>
      </c>
      <c r="FR68" s="108">
        <v>208.32300427330628</v>
      </c>
      <c r="FS68" s="108">
        <v>172.38685221147583</v>
      </c>
      <c r="FT68" s="108">
        <v>149.14546077825503</v>
      </c>
      <c r="FU68" s="60">
        <v>123</v>
      </c>
      <c r="FV68" s="60">
        <v>120</v>
      </c>
      <c r="FW68" s="60">
        <v>77</v>
      </c>
      <c r="FX68" s="60">
        <v>55</v>
      </c>
      <c r="FY68" s="108">
        <v>82.733738737028375</v>
      </c>
      <c r="FZ68" s="108">
        <v>78.914407007348757</v>
      </c>
      <c r="GA68" s="108">
        <v>48.783809887879784</v>
      </c>
      <c r="GB68" s="108">
        <v>36.367726882022346</v>
      </c>
      <c r="GC68" s="63">
        <v>48</v>
      </c>
      <c r="GD68" s="64">
        <v>50</v>
      </c>
      <c r="GE68" s="63">
        <v>47</v>
      </c>
      <c r="GF68" s="63">
        <v>45</v>
      </c>
      <c r="GG68" s="112">
        <v>49.91673455130227</v>
      </c>
      <c r="GH68" s="112">
        <v>49.258948682356433</v>
      </c>
      <c r="GI68" s="112">
        <v>42.569745873684781</v>
      </c>
      <c r="GJ68" s="112">
        <v>46.892441605016906</v>
      </c>
      <c r="GK68" s="63"/>
      <c r="GL68" s="63"/>
      <c r="GM68" s="63"/>
      <c r="GN68" s="64"/>
      <c r="GO68" s="63"/>
      <c r="GP68" s="63"/>
      <c r="GQ68" s="63"/>
      <c r="GR68" s="63"/>
      <c r="GS68" s="64"/>
      <c r="GT68" s="63"/>
      <c r="GU68" s="63"/>
      <c r="GV68" s="63"/>
      <c r="GW68" s="63"/>
      <c r="GX68" s="64"/>
      <c r="GY68" s="64"/>
      <c r="GZ68" s="64"/>
      <c r="HA68" s="64"/>
      <c r="HB68" s="64"/>
      <c r="HC68" s="64"/>
      <c r="HD68" s="65"/>
      <c r="HE68" s="65"/>
      <c r="HF68" s="65"/>
      <c r="HG68" s="65"/>
      <c r="HH68" s="65"/>
      <c r="HI68" s="66"/>
      <c r="HJ68" s="66"/>
      <c r="HK68" s="63"/>
      <c r="HL68" s="64"/>
      <c r="HM68" s="64"/>
      <c r="HN68" s="64"/>
      <c r="HO68" s="64"/>
      <c r="HP68" s="64"/>
      <c r="HQ68" s="64"/>
      <c r="HR68" s="64"/>
      <c r="HS68" s="64"/>
      <c r="HT68" s="64"/>
      <c r="HU68" s="39"/>
    </row>
    <row r="69" spans="1:229" x14ac:dyDescent="0.2">
      <c r="A69" s="37">
        <v>66</v>
      </c>
      <c r="B69" s="86" t="s">
        <v>124</v>
      </c>
      <c r="C69" s="93">
        <v>61955</v>
      </c>
      <c r="D69" s="93">
        <v>62390</v>
      </c>
      <c r="E69" s="93">
        <v>62723</v>
      </c>
      <c r="F69" s="93">
        <v>64142</v>
      </c>
      <c r="G69" s="93">
        <v>64409</v>
      </c>
      <c r="H69" s="43">
        <v>59470</v>
      </c>
      <c r="I69" s="43">
        <v>2209</v>
      </c>
      <c r="J69" s="43">
        <v>386</v>
      </c>
      <c r="K69" s="43">
        <v>1406</v>
      </c>
      <c r="L69" s="43">
        <v>5136</v>
      </c>
      <c r="M69" s="44">
        <v>21831</v>
      </c>
      <c r="N69" s="44">
        <v>21914</v>
      </c>
      <c r="O69" s="45">
        <v>21993</v>
      </c>
      <c r="P69" s="45">
        <v>22315</v>
      </c>
      <c r="Q69" s="46">
        <v>22423</v>
      </c>
      <c r="R69" s="105">
        <v>16.658581098251208</v>
      </c>
      <c r="S69" s="105">
        <v>17.055618145448694</v>
      </c>
      <c r="T69" s="105">
        <v>18.215107271959063</v>
      </c>
      <c r="U69" s="105">
        <v>17.95584516187829</v>
      </c>
      <c r="V69" s="105">
        <v>18.556396445535327</v>
      </c>
      <c r="W69" s="105">
        <v>26.467530667405917</v>
      </c>
      <c r="X69" s="105">
        <v>26.392752856781552</v>
      </c>
      <c r="Y69" s="105">
        <v>29.015069715036852</v>
      </c>
      <c r="Z69" s="105">
        <v>28.183454466747168</v>
      </c>
      <c r="AA69" s="105">
        <v>27.824367628008453</v>
      </c>
      <c r="AB69" s="105">
        <v>43.126111765657129</v>
      </c>
      <c r="AC69" s="105">
        <v>43.448371002230246</v>
      </c>
      <c r="AD69" s="105">
        <v>47.230176986995914</v>
      </c>
      <c r="AE69" s="105">
        <v>46.139299628625459</v>
      </c>
      <c r="AF69" s="105">
        <v>46.38076407354378</v>
      </c>
      <c r="AG69" s="46">
        <v>5.0245478839102606</v>
      </c>
      <c r="AH69" s="46">
        <v>5.8341956296792254</v>
      </c>
      <c r="AI69" s="46">
        <v>8.826580515130857</v>
      </c>
      <c r="AJ69" s="46">
        <v>8.0766374572998672</v>
      </c>
      <c r="AK69" s="45">
        <v>7.0600696020577995</v>
      </c>
      <c r="AL69" s="49">
        <v>895.83333333333337</v>
      </c>
      <c r="AM69" s="49">
        <v>950.08333333333337</v>
      </c>
      <c r="AN69" s="49">
        <v>1357.5</v>
      </c>
      <c r="AO69" s="49">
        <v>950.08333333333337</v>
      </c>
      <c r="AP69" s="49">
        <v>1876.9166666666667</v>
      </c>
      <c r="AQ69" s="49">
        <v>33225.363502007182</v>
      </c>
      <c r="AR69" s="49">
        <v>33089.016842989302</v>
      </c>
      <c r="AS69" s="49">
        <v>32065.368684744219</v>
      </c>
      <c r="AT69" s="49">
        <v>32312.05592283043</v>
      </c>
      <c r="AU69" s="49">
        <v>32631.247185952274</v>
      </c>
      <c r="AV69" s="101">
        <v>60135.398081430678</v>
      </c>
      <c r="AW69" s="101">
        <v>61246.703469064531</v>
      </c>
      <c r="AX69" s="102">
        <v>58380.738329518914</v>
      </c>
      <c r="AY69" s="102">
        <v>57669.65731280038</v>
      </c>
      <c r="AZ69" s="102">
        <v>56781</v>
      </c>
      <c r="BA69" s="99">
        <v>7.6841039731029248</v>
      </c>
      <c r="BB69" s="99">
        <v>9.171157943741159</v>
      </c>
      <c r="BC69" s="99">
        <v>11.783348764333025</v>
      </c>
      <c r="BD69" s="99">
        <v>10.289479217775286</v>
      </c>
      <c r="BE69" s="99">
        <v>11.219034974319555</v>
      </c>
      <c r="BF69" s="99">
        <v>8.737650933040614</v>
      </c>
      <c r="BG69" s="99">
        <v>9.970652971386647</v>
      </c>
      <c r="BH69" s="48">
        <v>14.067151263412946</v>
      </c>
      <c r="BI69" s="48">
        <v>12.134003350083752</v>
      </c>
      <c r="BJ69" s="48">
        <v>13.842693565976008</v>
      </c>
      <c r="BK69" s="44">
        <v>8518</v>
      </c>
      <c r="BL69" s="44">
        <v>8598</v>
      </c>
      <c r="BM69" s="44">
        <v>8452</v>
      </c>
      <c r="BN69" s="42">
        <v>8566</v>
      </c>
      <c r="BO69" s="45">
        <v>31.227987790561166</v>
      </c>
      <c r="BP69" s="45">
        <v>36.903931146778319</v>
      </c>
      <c r="BQ69" s="45">
        <v>37.458589682915289</v>
      </c>
      <c r="BR69" s="46">
        <v>38.32593976184917</v>
      </c>
      <c r="BS69" s="105">
        <v>10.13148626438131</v>
      </c>
      <c r="BT69" s="105">
        <v>10.688532216794604</v>
      </c>
      <c r="BU69" s="105">
        <v>11.133459536204448</v>
      </c>
      <c r="BV69" s="105">
        <v>11.919215503151996</v>
      </c>
      <c r="BW69" s="45">
        <v>16.318384597323316</v>
      </c>
      <c r="BX69" s="45">
        <v>16.573621772505234</v>
      </c>
      <c r="BY69" s="45">
        <v>15.759583530525319</v>
      </c>
      <c r="BZ69" s="45">
        <v>16.005136586504786</v>
      </c>
      <c r="CA69" s="44">
        <v>75.928297055057612</v>
      </c>
      <c r="CB69" s="44">
        <v>74.61809635722679</v>
      </c>
      <c r="CC69" s="44">
        <v>76.477683956574182</v>
      </c>
      <c r="CD69" s="44">
        <v>82.34</v>
      </c>
      <c r="CE69" s="45">
        <v>5.5057618437900127</v>
      </c>
      <c r="CF69" s="45">
        <v>5.7579318448883665</v>
      </c>
      <c r="CG69" s="45">
        <v>4.704463208685163</v>
      </c>
      <c r="CH69" s="45">
        <v>4.38</v>
      </c>
      <c r="CI69" s="48">
        <v>3076</v>
      </c>
      <c r="CJ69" s="51">
        <v>3417</v>
      </c>
      <c r="CK69" s="51">
        <v>3847</v>
      </c>
      <c r="CL69" s="57">
        <v>3791</v>
      </c>
      <c r="CM69" s="108">
        <v>11.908310653602109</v>
      </c>
      <c r="CN69" s="108">
        <v>12.325372520587376</v>
      </c>
      <c r="CO69" s="108">
        <v>12.755516503920822</v>
      </c>
      <c r="CP69" s="108">
        <v>12.011317442866241</v>
      </c>
      <c r="CQ69" s="60">
        <v>133</v>
      </c>
      <c r="CR69" s="60">
        <v>174</v>
      </c>
      <c r="CS69" s="60">
        <v>172</v>
      </c>
      <c r="CT69" s="60">
        <v>179</v>
      </c>
      <c r="CU69" s="108">
        <v>4.4422177688710756</v>
      </c>
      <c r="CV69" s="108">
        <v>5.2791262135922334</v>
      </c>
      <c r="CW69" s="108">
        <v>4.6311254711900913</v>
      </c>
      <c r="CX69" s="108">
        <v>4.8787135459253204</v>
      </c>
      <c r="CY69" s="61">
        <v>200</v>
      </c>
      <c r="CZ69" s="57">
        <v>267</v>
      </c>
      <c r="DA69" s="60">
        <v>307</v>
      </c>
      <c r="DB69" s="60">
        <v>260</v>
      </c>
      <c r="DC69" s="108">
        <v>7.5357950263752826</v>
      </c>
      <c r="DD69" s="108">
        <v>8.4627575277337552</v>
      </c>
      <c r="DE69" s="108">
        <v>8.8193047974719914</v>
      </c>
      <c r="DF69" s="108">
        <v>7.8835657974530022</v>
      </c>
      <c r="DG69" s="108">
        <v>84.170013386880854</v>
      </c>
      <c r="DH69" s="108">
        <v>83.353221957040574</v>
      </c>
      <c r="DI69" s="108">
        <v>85.369057000262671</v>
      </c>
      <c r="DJ69" s="108">
        <v>83.659779983901259</v>
      </c>
      <c r="DK69" s="108">
        <v>14.920848770629842</v>
      </c>
      <c r="DL69" s="108">
        <v>15.020820939916716</v>
      </c>
      <c r="DM69" s="108">
        <v>11.832460732984293</v>
      </c>
      <c r="DN69" s="108">
        <v>12.031872509960159</v>
      </c>
      <c r="DO69" s="108">
        <v>24.479843953185956</v>
      </c>
      <c r="DP69" s="108">
        <v>27.847730600292827</v>
      </c>
      <c r="DQ69" s="108">
        <v>31.505068884845333</v>
      </c>
      <c r="DR69" s="108">
        <v>36.66578739118966</v>
      </c>
      <c r="DS69" s="108">
        <v>21.270036991368681</v>
      </c>
      <c r="DT69" s="108">
        <v>21.045485403937544</v>
      </c>
      <c r="DU69" s="108">
        <v>19.790611279972982</v>
      </c>
      <c r="DV69" s="108">
        <v>20.237601878712528</v>
      </c>
      <c r="DW69" s="62">
        <v>602</v>
      </c>
      <c r="DX69" s="62">
        <v>53</v>
      </c>
      <c r="DY69" s="57">
        <v>0</v>
      </c>
      <c r="DZ69" s="60">
        <v>13</v>
      </c>
      <c r="EA69" s="60">
        <v>95</v>
      </c>
      <c r="EB69" s="60">
        <v>23</v>
      </c>
      <c r="EC69" s="60">
        <v>7</v>
      </c>
      <c r="ED69" s="57">
        <v>24</v>
      </c>
      <c r="EE69" s="60">
        <v>13</v>
      </c>
      <c r="EF69" s="60">
        <v>2008</v>
      </c>
      <c r="EG69" s="60">
        <v>2074</v>
      </c>
      <c r="EH69" s="60">
        <v>2149</v>
      </c>
      <c r="EI69" s="60">
        <v>2155</v>
      </c>
      <c r="EJ69" s="115">
        <v>452</v>
      </c>
      <c r="EK69" s="115">
        <v>0</v>
      </c>
      <c r="EL69" s="115">
        <v>3</v>
      </c>
      <c r="EM69" s="115">
        <v>0</v>
      </c>
      <c r="EN69" s="115">
        <v>2</v>
      </c>
      <c r="EO69" s="108">
        <v>777.36956412331062</v>
      </c>
      <c r="EP69" s="108">
        <v>748.1071878167462</v>
      </c>
      <c r="EQ69" s="108">
        <v>712.5449692468377</v>
      </c>
      <c r="ER69" s="108">
        <v>682.78525690785409</v>
      </c>
      <c r="ES69" s="108">
        <v>787.91536744971665</v>
      </c>
      <c r="ET69" s="108">
        <v>757.83872591396926</v>
      </c>
      <c r="EU69" s="108">
        <v>730.70380568794894</v>
      </c>
      <c r="EV69" s="108">
        <v>651.10939130105726</v>
      </c>
      <c r="EW69" s="108">
        <v>1007.0471174815576</v>
      </c>
      <c r="EX69" s="108">
        <v>925.22711764322207</v>
      </c>
      <c r="EY69" s="108">
        <v>874.23193575530513</v>
      </c>
      <c r="EZ69" s="108">
        <v>778.2277723103648</v>
      </c>
      <c r="FA69" s="108">
        <v>629.32869774247308</v>
      </c>
      <c r="FB69" s="108">
        <v>636.49881068958166</v>
      </c>
      <c r="FC69" s="108">
        <v>623.87747343196315</v>
      </c>
      <c r="FD69" s="108">
        <v>555.65826314114122</v>
      </c>
      <c r="FE69" s="57">
        <v>459</v>
      </c>
      <c r="FF69" s="62">
        <v>487</v>
      </c>
      <c r="FG69" s="62">
        <v>544</v>
      </c>
      <c r="FH69" s="62">
        <v>540</v>
      </c>
      <c r="FI69" s="108">
        <v>191.69192091440945</v>
      </c>
      <c r="FJ69" s="108">
        <v>189.43769357536831</v>
      </c>
      <c r="FK69" s="108">
        <v>192.79057025275165</v>
      </c>
      <c r="FL69" s="108">
        <v>169.41938439059319</v>
      </c>
      <c r="FM69" s="62">
        <v>557</v>
      </c>
      <c r="FN69" s="62">
        <v>494</v>
      </c>
      <c r="FO69" s="57">
        <v>480</v>
      </c>
      <c r="FP69" s="62">
        <v>406</v>
      </c>
      <c r="FQ69" s="108">
        <v>217.26656668336622</v>
      </c>
      <c r="FR69" s="108">
        <v>177.56205149433197</v>
      </c>
      <c r="FS69" s="108">
        <v>161.30672386752224</v>
      </c>
      <c r="FT69" s="108">
        <v>119.55770765907275</v>
      </c>
      <c r="FU69" s="60">
        <v>182</v>
      </c>
      <c r="FV69" s="60">
        <v>154</v>
      </c>
      <c r="FW69" s="60">
        <v>123</v>
      </c>
      <c r="FX69" s="60">
        <v>117</v>
      </c>
      <c r="FY69" s="108">
        <v>68.475784096601586</v>
      </c>
      <c r="FZ69" s="108">
        <v>53.837917878598816</v>
      </c>
      <c r="GA69" s="108">
        <v>40.809902947335573</v>
      </c>
      <c r="GB69" s="108">
        <v>34.29713832024904</v>
      </c>
      <c r="GC69" s="63">
        <v>84</v>
      </c>
      <c r="GD69" s="64">
        <v>112</v>
      </c>
      <c r="GE69" s="63">
        <v>108</v>
      </c>
      <c r="GF69" s="63">
        <v>121</v>
      </c>
      <c r="GG69" s="112">
        <v>31.620319066880494</v>
      </c>
      <c r="GH69" s="112">
        <v>39.800251958825257</v>
      </c>
      <c r="GI69" s="112">
        <v>34.926816932000861</v>
      </c>
      <c r="GJ69" s="112">
        <v>36.46722350134921</v>
      </c>
      <c r="GK69" s="63"/>
      <c r="GL69" s="63"/>
      <c r="GM69" s="63"/>
      <c r="GN69" s="64"/>
      <c r="GO69" s="63"/>
      <c r="GP69" s="63"/>
      <c r="GQ69" s="63"/>
      <c r="GR69" s="63"/>
      <c r="GS69" s="64"/>
      <c r="GT69" s="63"/>
      <c r="GU69" s="63"/>
      <c r="GV69" s="63"/>
      <c r="GW69" s="63"/>
      <c r="GX69" s="64"/>
      <c r="GY69" s="64"/>
      <c r="GZ69" s="64"/>
      <c r="HA69" s="64"/>
      <c r="HB69" s="64"/>
      <c r="HC69" s="64"/>
      <c r="HD69" s="65"/>
      <c r="HE69" s="65"/>
      <c r="HF69" s="65"/>
      <c r="HG69" s="65"/>
      <c r="HH69" s="65"/>
      <c r="HI69" s="66"/>
      <c r="HJ69" s="66"/>
      <c r="HK69" s="63"/>
      <c r="HL69" s="64"/>
      <c r="HM69" s="64"/>
      <c r="HN69" s="64"/>
      <c r="HO69" s="64"/>
      <c r="HP69" s="64"/>
      <c r="HQ69" s="64"/>
      <c r="HR69" s="64"/>
      <c r="HS69" s="64"/>
      <c r="HT69" s="64"/>
      <c r="HU69" s="39"/>
    </row>
    <row r="70" spans="1:229" ht="21" customHeight="1" x14ac:dyDescent="0.2">
      <c r="A70" s="37">
        <v>67</v>
      </c>
      <c r="B70" s="86" t="s">
        <v>125</v>
      </c>
      <c r="C70" s="93">
        <v>9498</v>
      </c>
      <c r="D70" s="93">
        <v>9476</v>
      </c>
      <c r="E70" s="93">
        <v>9483</v>
      </c>
      <c r="F70" s="93">
        <v>9687</v>
      </c>
      <c r="G70" s="93">
        <v>9614</v>
      </c>
      <c r="H70" s="43">
        <v>9311</v>
      </c>
      <c r="I70" s="43">
        <v>72</v>
      </c>
      <c r="J70" s="43">
        <v>44</v>
      </c>
      <c r="K70" s="43">
        <v>62</v>
      </c>
      <c r="L70" s="43">
        <v>220</v>
      </c>
      <c r="M70" s="44">
        <v>3918</v>
      </c>
      <c r="N70" s="44">
        <v>3923</v>
      </c>
      <c r="O70" s="45">
        <v>3945</v>
      </c>
      <c r="P70" s="45">
        <v>3918</v>
      </c>
      <c r="Q70" s="46">
        <v>3915</v>
      </c>
      <c r="R70" s="105">
        <v>31.043344183655989</v>
      </c>
      <c r="S70" s="105">
        <v>31.626297577854672</v>
      </c>
      <c r="T70" s="105">
        <v>31.07870695713282</v>
      </c>
      <c r="U70" s="105">
        <v>31.730935500605224</v>
      </c>
      <c r="V70" s="105">
        <v>31.386861313868614</v>
      </c>
      <c r="W70" s="105">
        <v>31.677231454514306</v>
      </c>
      <c r="X70" s="105">
        <v>32.318339100346023</v>
      </c>
      <c r="Y70" s="105">
        <v>35.523541813070977</v>
      </c>
      <c r="Z70" s="105">
        <v>35.777278229292754</v>
      </c>
      <c r="AA70" s="105">
        <v>35.696906499826206</v>
      </c>
      <c r="AB70" s="105">
        <v>62.720575638170295</v>
      </c>
      <c r="AC70" s="105">
        <v>63.944636678200695</v>
      </c>
      <c r="AD70" s="105">
        <v>66.602248770203801</v>
      </c>
      <c r="AE70" s="105">
        <v>67.508213729897975</v>
      </c>
      <c r="AF70" s="105">
        <v>67.08376781369482</v>
      </c>
      <c r="AG70" s="46">
        <v>3.2042182113161632</v>
      </c>
      <c r="AH70" s="46">
        <v>3.8267875125881168</v>
      </c>
      <c r="AI70" s="46">
        <v>5.5314105096799686</v>
      </c>
      <c r="AJ70" s="46">
        <v>5.1870420362514462</v>
      </c>
      <c r="AK70" s="45">
        <v>4.63768115942029</v>
      </c>
      <c r="AL70" s="49">
        <v>118.83333333333333</v>
      </c>
      <c r="AM70" s="49">
        <v>130.58333333333334</v>
      </c>
      <c r="AN70" s="49">
        <v>174.58333333333334</v>
      </c>
      <c r="AO70" s="49">
        <v>130.58333333333334</v>
      </c>
      <c r="AP70" s="49">
        <v>287.83333333333331</v>
      </c>
      <c r="AQ70" s="49">
        <v>37881.721939619914</v>
      </c>
      <c r="AR70" s="49">
        <v>42329.744866912974</v>
      </c>
      <c r="AS70" s="49">
        <v>38816.026591742011</v>
      </c>
      <c r="AT70" s="49">
        <v>42416.80439517241</v>
      </c>
      <c r="AU70" s="49">
        <v>45457.457873933847</v>
      </c>
      <c r="AV70" s="101">
        <v>49233.545051171495</v>
      </c>
      <c r="AW70" s="101">
        <v>50256.920042916267</v>
      </c>
      <c r="AX70" s="102">
        <v>50469.912900804986</v>
      </c>
      <c r="AY70" s="102">
        <v>46163.578112961804</v>
      </c>
      <c r="AZ70" s="102">
        <v>49920</v>
      </c>
      <c r="BA70" s="99">
        <v>8.8479362000215538</v>
      </c>
      <c r="BB70" s="99">
        <v>8.9750513014364408</v>
      </c>
      <c r="BC70" s="99">
        <v>9.2018576520142563</v>
      </c>
      <c r="BD70" s="99">
        <v>10.765322324547475</v>
      </c>
      <c r="BE70" s="99">
        <v>10.899967972670012</v>
      </c>
      <c r="BF70" s="99">
        <v>11.041852181656278</v>
      </c>
      <c r="BG70" s="99">
        <v>11.175942549371634</v>
      </c>
      <c r="BH70" s="48">
        <v>11.451342281879194</v>
      </c>
      <c r="BI70" s="48">
        <v>13.987730061349692</v>
      </c>
      <c r="BJ70" s="48">
        <v>14.620123203285422</v>
      </c>
      <c r="BK70" s="44">
        <v>1555</v>
      </c>
      <c r="BL70" s="44">
        <v>1568</v>
      </c>
      <c r="BM70" s="44">
        <v>1584</v>
      </c>
      <c r="BN70" s="42">
        <v>1592</v>
      </c>
      <c r="BO70" s="45">
        <v>29.389067524115756</v>
      </c>
      <c r="BP70" s="45">
        <v>33.482142857142854</v>
      </c>
      <c r="BQ70" s="45">
        <v>35.479797979797979</v>
      </c>
      <c r="BR70" s="46">
        <v>34.359296482412063</v>
      </c>
      <c r="BS70" s="105">
        <v>1.8006430868167203</v>
      </c>
      <c r="BT70" s="105">
        <v>1.5943877551020409</v>
      </c>
      <c r="BU70" s="105">
        <v>2.0202020202020203</v>
      </c>
      <c r="BV70" s="105">
        <v>1.9472361809045227</v>
      </c>
      <c r="BW70" s="45">
        <v>16.077170418006432</v>
      </c>
      <c r="BX70" s="45">
        <v>14.158163265306122</v>
      </c>
      <c r="BY70" s="45">
        <v>15.025252525252526</v>
      </c>
      <c r="BZ70" s="45">
        <v>13.316582914572864</v>
      </c>
      <c r="CA70" s="44">
        <v>80.952380952380949</v>
      </c>
      <c r="CB70" s="44">
        <v>85.483870967741936</v>
      </c>
      <c r="CC70" s="44">
        <v>84.552845528455279</v>
      </c>
      <c r="CD70" s="44">
        <v>81.38</v>
      </c>
      <c r="CE70" s="45">
        <v>1.3605442176870748</v>
      </c>
      <c r="CF70" s="45">
        <v>1.6129032258064515</v>
      </c>
      <c r="CG70" s="45">
        <v>1.6260162601626016</v>
      </c>
      <c r="CH70" s="45">
        <v>6.21</v>
      </c>
      <c r="CI70" s="48">
        <v>582</v>
      </c>
      <c r="CJ70" s="51">
        <v>574</v>
      </c>
      <c r="CK70" s="51">
        <v>652</v>
      </c>
      <c r="CL70" s="57">
        <v>614</v>
      </c>
      <c r="CM70" s="108">
        <v>11.767798289423135</v>
      </c>
      <c r="CN70" s="108">
        <v>11.780883771524742</v>
      </c>
      <c r="CO70" s="108">
        <v>13.571458307314433</v>
      </c>
      <c r="CP70" s="108">
        <v>12.856484777419491</v>
      </c>
      <c r="CQ70" s="60">
        <v>22</v>
      </c>
      <c r="CR70" s="60">
        <v>24</v>
      </c>
      <c r="CS70" s="60">
        <v>32</v>
      </c>
      <c r="CT70" s="60">
        <v>24</v>
      </c>
      <c r="CU70" s="108">
        <v>3.9145907473309607</v>
      </c>
      <c r="CV70" s="108">
        <v>4.3165467625899279</v>
      </c>
      <c r="CW70" s="108">
        <v>5.0314465408805029</v>
      </c>
      <c r="CX70" s="108">
        <v>3.9800995024875623</v>
      </c>
      <c r="CY70" s="61">
        <v>41</v>
      </c>
      <c r="CZ70" s="57">
        <v>44</v>
      </c>
      <c r="DA70" s="60">
        <v>61</v>
      </c>
      <c r="DB70" s="60">
        <v>53</v>
      </c>
      <c r="DC70" s="108">
        <v>8.2329317269076299</v>
      </c>
      <c r="DD70" s="108">
        <v>8.8531187122736412</v>
      </c>
      <c r="DE70" s="108">
        <v>10.066006600660065</v>
      </c>
      <c r="DF70" s="108">
        <v>9.4138543516873892</v>
      </c>
      <c r="DG70" s="108">
        <v>84.163701067615662</v>
      </c>
      <c r="DH70" s="108">
        <v>85.055350553505534</v>
      </c>
      <c r="DI70" s="108">
        <v>87.230769230769226</v>
      </c>
      <c r="DJ70" s="108">
        <v>86.162361623616235</v>
      </c>
      <c r="DK70" s="108">
        <v>11.524163568773234</v>
      </c>
      <c r="DL70" s="108">
        <v>10.124333925399645</v>
      </c>
      <c r="DM70" s="108">
        <v>9.4135802469135808</v>
      </c>
      <c r="DN70" s="108">
        <v>10.440456769983687</v>
      </c>
      <c r="DO70" s="108">
        <v>13.745704467353951</v>
      </c>
      <c r="DP70" s="108">
        <v>21.080139372822298</v>
      </c>
      <c r="DQ70" s="108">
        <v>20.70552147239264</v>
      </c>
      <c r="DR70" s="108">
        <v>25.407166123778502</v>
      </c>
      <c r="DS70" s="108">
        <v>23.427866831072748</v>
      </c>
      <c r="DT70" s="108">
        <v>38.961038961038959</v>
      </c>
      <c r="DU70" s="108">
        <v>22.222222222222221</v>
      </c>
      <c r="DV70" s="108">
        <v>20.97428958051421</v>
      </c>
      <c r="DW70" s="62">
        <v>103</v>
      </c>
      <c r="DX70" s="62">
        <v>2</v>
      </c>
      <c r="DY70" s="57">
        <v>0</v>
      </c>
      <c r="DZ70" s="60">
        <v>0</v>
      </c>
      <c r="EA70" s="60">
        <v>2</v>
      </c>
      <c r="EB70" s="60">
        <v>6</v>
      </c>
      <c r="EC70" s="60">
        <v>6</v>
      </c>
      <c r="ED70" s="57">
        <v>2</v>
      </c>
      <c r="EE70" s="60">
        <v>1</v>
      </c>
      <c r="EF70" s="60">
        <v>540</v>
      </c>
      <c r="EG70" s="60">
        <v>596</v>
      </c>
      <c r="EH70" s="60">
        <v>619</v>
      </c>
      <c r="EI70" s="60">
        <v>638</v>
      </c>
      <c r="EJ70" s="115">
        <v>118</v>
      </c>
      <c r="EK70" s="115">
        <v>0</v>
      </c>
      <c r="EL70" s="115">
        <v>0</v>
      </c>
      <c r="EM70" s="115">
        <v>0</v>
      </c>
      <c r="EN70" s="115">
        <v>0</v>
      </c>
      <c r="EO70" s="108">
        <v>1091.8575732454456</v>
      </c>
      <c r="EP70" s="108">
        <v>1223.2415902140672</v>
      </c>
      <c r="EQ70" s="108">
        <v>1288.4559343907415</v>
      </c>
      <c r="ER70" s="108">
        <v>1335.9018384354454</v>
      </c>
      <c r="ES70" s="108">
        <v>724.99020046380133</v>
      </c>
      <c r="ET70" s="108">
        <v>746.37695916747725</v>
      </c>
      <c r="EU70" s="108">
        <v>754.37497284218171</v>
      </c>
      <c r="EV70" s="108">
        <v>775.93734747666758</v>
      </c>
      <c r="EW70" s="108">
        <v>961.0668995631645</v>
      </c>
      <c r="EX70" s="108">
        <v>961.95646278364177</v>
      </c>
      <c r="EY70" s="108">
        <v>1062.9966218892989</v>
      </c>
      <c r="EZ70" s="108">
        <v>1141.472428132925</v>
      </c>
      <c r="FA70" s="108">
        <v>541.53587205977715</v>
      </c>
      <c r="FB70" s="108">
        <v>587.4835790292027</v>
      </c>
      <c r="FC70" s="108">
        <v>553.92328932098189</v>
      </c>
      <c r="FD70" s="108">
        <v>505.65629113197804</v>
      </c>
      <c r="FE70" s="57">
        <v>137</v>
      </c>
      <c r="FF70" s="62">
        <v>129</v>
      </c>
      <c r="FG70" s="62">
        <v>129</v>
      </c>
      <c r="FH70" s="62">
        <v>133</v>
      </c>
      <c r="FI70" s="108">
        <v>196.43259592673002</v>
      </c>
      <c r="FJ70" s="108">
        <v>176.00122506499389</v>
      </c>
      <c r="FK70" s="108">
        <v>173.58500330313828</v>
      </c>
      <c r="FL70" s="108">
        <v>175.04529742771143</v>
      </c>
      <c r="FM70" s="62">
        <v>191</v>
      </c>
      <c r="FN70" s="62">
        <v>175</v>
      </c>
      <c r="FO70" s="57">
        <v>148</v>
      </c>
      <c r="FP70" s="62">
        <v>154</v>
      </c>
      <c r="FQ70" s="108">
        <v>236.28998804968603</v>
      </c>
      <c r="FR70" s="108">
        <v>204.85771161558722</v>
      </c>
      <c r="FS70" s="108">
        <v>172.06103450516551</v>
      </c>
      <c r="FT70" s="108">
        <v>173.76585233046313</v>
      </c>
      <c r="FU70" s="60">
        <v>49</v>
      </c>
      <c r="FV70" s="60">
        <v>64</v>
      </c>
      <c r="FW70" s="60">
        <v>55</v>
      </c>
      <c r="FX70" s="60">
        <v>39</v>
      </c>
      <c r="FY70" s="108">
        <v>55.884513327160846</v>
      </c>
      <c r="FZ70" s="108">
        <v>77.031222653051003</v>
      </c>
      <c r="GA70" s="108">
        <v>60.275431927312667</v>
      </c>
      <c r="GB70" s="108">
        <v>44.01031972453054</v>
      </c>
      <c r="GC70" s="63">
        <v>17</v>
      </c>
      <c r="GD70" s="64">
        <v>20</v>
      </c>
      <c r="GE70" s="63">
        <v>24</v>
      </c>
      <c r="GF70" s="63">
        <v>37</v>
      </c>
      <c r="GG70" s="112" t="s">
        <v>39</v>
      </c>
      <c r="GH70" s="112">
        <v>33.430646743341462</v>
      </c>
      <c r="GI70" s="112">
        <v>42.57685937085084</v>
      </c>
      <c r="GJ70" s="112">
        <v>52.397008958307772</v>
      </c>
      <c r="GK70" s="63"/>
      <c r="GL70" s="63"/>
      <c r="GM70" s="63"/>
      <c r="GN70" s="64"/>
      <c r="GO70" s="63"/>
      <c r="GP70" s="63"/>
      <c r="GQ70" s="63"/>
      <c r="GR70" s="63"/>
      <c r="GS70" s="64"/>
      <c r="GT70" s="63"/>
      <c r="GU70" s="63"/>
      <c r="GV70" s="63"/>
      <c r="GW70" s="63"/>
      <c r="GX70" s="64"/>
      <c r="GY70" s="64"/>
      <c r="GZ70" s="64"/>
      <c r="HA70" s="64"/>
      <c r="HB70" s="64"/>
      <c r="HC70" s="64"/>
      <c r="HD70" s="65"/>
      <c r="HE70" s="65"/>
      <c r="HF70" s="65"/>
      <c r="HG70" s="65"/>
      <c r="HH70" s="65"/>
      <c r="HI70" s="66"/>
      <c r="HJ70" s="66"/>
      <c r="HK70" s="63"/>
      <c r="HL70" s="64"/>
      <c r="HM70" s="64"/>
      <c r="HN70" s="64"/>
      <c r="HO70" s="64"/>
      <c r="HP70" s="64"/>
      <c r="HQ70" s="64"/>
      <c r="HR70" s="64"/>
      <c r="HS70" s="64"/>
      <c r="HT70" s="64"/>
      <c r="HU70" s="39"/>
    </row>
    <row r="71" spans="1:229" x14ac:dyDescent="0.2">
      <c r="A71" s="37">
        <v>68</v>
      </c>
      <c r="B71" s="86" t="s">
        <v>126</v>
      </c>
      <c r="C71" s="93">
        <v>15946</v>
      </c>
      <c r="D71" s="93">
        <v>15865</v>
      </c>
      <c r="E71" s="93">
        <v>15911</v>
      </c>
      <c r="F71" s="93">
        <v>15629</v>
      </c>
      <c r="G71" s="93">
        <v>15540</v>
      </c>
      <c r="H71" s="43">
        <v>14674</v>
      </c>
      <c r="I71" s="43">
        <v>45</v>
      </c>
      <c r="J71" s="43">
        <v>207</v>
      </c>
      <c r="K71" s="43">
        <v>391</v>
      </c>
      <c r="L71" s="43">
        <v>127</v>
      </c>
      <c r="M71" s="44">
        <v>6404</v>
      </c>
      <c r="N71" s="44">
        <v>6376</v>
      </c>
      <c r="O71" s="45">
        <v>6366</v>
      </c>
      <c r="P71" s="45">
        <v>6300</v>
      </c>
      <c r="Q71" s="46">
        <v>6301</v>
      </c>
      <c r="R71" s="105">
        <v>18.640392230812747</v>
      </c>
      <c r="S71" s="105">
        <v>18.78134165957044</v>
      </c>
      <c r="T71" s="105">
        <v>20.647149460708782</v>
      </c>
      <c r="U71" s="105">
        <v>22.321428571428573</v>
      </c>
      <c r="V71" s="105">
        <v>22.792648821414303</v>
      </c>
      <c r="W71" s="105">
        <v>31.708466905525174</v>
      </c>
      <c r="X71" s="105">
        <v>31.327467120825055</v>
      </c>
      <c r="Y71" s="105">
        <v>32.578967642526962</v>
      </c>
      <c r="Z71" s="105">
        <v>32.728174603174601</v>
      </c>
      <c r="AA71" s="105">
        <v>32.42109468637635</v>
      </c>
      <c r="AB71" s="105">
        <v>50.348859136337921</v>
      </c>
      <c r="AC71" s="105">
        <v>50.108808780395499</v>
      </c>
      <c r="AD71" s="105">
        <v>53.226117103235744</v>
      </c>
      <c r="AE71" s="105">
        <v>55.049603174603178</v>
      </c>
      <c r="AF71" s="105">
        <v>55.213743507790653</v>
      </c>
      <c r="AG71" s="46">
        <v>6.3964793777504863</v>
      </c>
      <c r="AH71" s="46">
        <v>4.8968535111481559</v>
      </c>
      <c r="AI71" s="46">
        <v>7.9071226859115153</v>
      </c>
      <c r="AJ71" s="46">
        <v>6.0693952089375873</v>
      </c>
      <c r="AK71" s="45">
        <v>5.1735500878734619</v>
      </c>
      <c r="AL71" s="49">
        <v>154.25</v>
      </c>
      <c r="AM71" s="49">
        <v>190.16666666666666</v>
      </c>
      <c r="AN71" s="49">
        <v>277.58333333333331</v>
      </c>
      <c r="AO71" s="49">
        <v>190.16666666666666</v>
      </c>
      <c r="AP71" s="49">
        <v>409.66666666666669</v>
      </c>
      <c r="AQ71" s="49">
        <v>37852.283802351318</v>
      </c>
      <c r="AR71" s="49">
        <v>40312.811676452606</v>
      </c>
      <c r="AS71" s="49">
        <v>35938.579157647051</v>
      </c>
      <c r="AT71" s="49">
        <v>37223.897917348128</v>
      </c>
      <c r="AU71" s="49">
        <v>40637.516087516087</v>
      </c>
      <c r="AV71" s="101">
        <v>52481.644162784192</v>
      </c>
      <c r="AW71" s="101">
        <v>51943.155469268895</v>
      </c>
      <c r="AX71" s="102">
        <v>49117.366207227649</v>
      </c>
      <c r="AY71" s="102">
        <v>48702.260281762479</v>
      </c>
      <c r="AZ71" s="102">
        <v>48344</v>
      </c>
      <c r="BA71" s="99">
        <v>8.2376944656975262</v>
      </c>
      <c r="BB71" s="99">
        <v>8.2196168876929985</v>
      </c>
      <c r="BC71" s="99">
        <v>8.3924576542026212</v>
      </c>
      <c r="BD71" s="99">
        <v>9.3772416041734594</v>
      </c>
      <c r="BE71" s="99">
        <v>12.14080459770115</v>
      </c>
      <c r="BF71" s="99">
        <v>9.2820884699057284</v>
      </c>
      <c r="BG71" s="99">
        <v>9.5866533864541825</v>
      </c>
      <c r="BH71" s="48">
        <v>10.716025328787142</v>
      </c>
      <c r="BI71" s="48">
        <v>12.462311557788945</v>
      </c>
      <c r="BJ71" s="48">
        <v>15.431317986339488</v>
      </c>
      <c r="BK71" s="44">
        <v>3123</v>
      </c>
      <c r="BL71" s="44">
        <v>3064</v>
      </c>
      <c r="BM71" s="44">
        <v>3057</v>
      </c>
      <c r="BN71" s="42">
        <v>3023</v>
      </c>
      <c r="BO71" s="45">
        <v>31.316042267050914</v>
      </c>
      <c r="BP71" s="45">
        <v>37.206266318537857</v>
      </c>
      <c r="BQ71" s="45">
        <v>34.510958456002619</v>
      </c>
      <c r="BR71" s="46">
        <v>34.270592127026134</v>
      </c>
      <c r="BS71" s="105">
        <v>0.51232788984950373</v>
      </c>
      <c r="BT71" s="105">
        <v>0.6201044386422977</v>
      </c>
      <c r="BU71" s="105">
        <v>0.49067713444553485</v>
      </c>
      <c r="BV71" s="105">
        <v>0.6615944426066821</v>
      </c>
      <c r="BW71" s="45">
        <v>15.04963176432917</v>
      </c>
      <c r="BX71" s="45">
        <v>15.796344647519582</v>
      </c>
      <c r="BY71" s="45">
        <v>16.094210009813544</v>
      </c>
      <c r="BZ71" s="45">
        <v>16.109824677472709</v>
      </c>
      <c r="CA71" s="44">
        <v>92.307692307692307</v>
      </c>
      <c r="CB71" s="44">
        <v>94.676806083650192</v>
      </c>
      <c r="CC71" s="44">
        <v>91.699604743083</v>
      </c>
      <c r="CD71" s="44">
        <v>87.41</v>
      </c>
      <c r="CE71" s="45">
        <v>3.4615384615384617</v>
      </c>
      <c r="CF71" s="45">
        <v>1.520912547528517</v>
      </c>
      <c r="CG71" s="45">
        <v>3.9525691699604741</v>
      </c>
      <c r="CH71" s="45">
        <v>4.07</v>
      </c>
      <c r="CI71" s="48">
        <v>1268</v>
      </c>
      <c r="CJ71" s="51">
        <v>1115</v>
      </c>
      <c r="CK71" s="51">
        <v>1071</v>
      </c>
      <c r="CL71" s="57">
        <v>978</v>
      </c>
      <c r="CM71" s="108">
        <v>16.063850003167161</v>
      </c>
      <c r="CN71" s="108">
        <v>13.751171624488185</v>
      </c>
      <c r="CO71" s="108">
        <v>13.132886169390932</v>
      </c>
      <c r="CP71" s="108">
        <v>12.396851351865232</v>
      </c>
      <c r="CQ71" s="60">
        <v>42</v>
      </c>
      <c r="CR71" s="60">
        <v>52</v>
      </c>
      <c r="CS71" s="60">
        <v>51</v>
      </c>
      <c r="CT71" s="60">
        <v>40</v>
      </c>
      <c r="CU71" s="108">
        <v>3.3843674456083805</v>
      </c>
      <c r="CV71" s="108">
        <v>4.7186932849364789</v>
      </c>
      <c r="CW71" s="108">
        <v>4.918032786885246</v>
      </c>
      <c r="CX71" s="108">
        <v>4.2105263157894735</v>
      </c>
      <c r="CY71" s="61">
        <v>82</v>
      </c>
      <c r="CZ71" s="57">
        <v>79</v>
      </c>
      <c r="DA71" s="60">
        <v>70</v>
      </c>
      <c r="DB71" s="60">
        <v>67</v>
      </c>
      <c r="DC71" s="108">
        <v>6.7489711934156382</v>
      </c>
      <c r="DD71" s="108">
        <v>7.3148148148148149</v>
      </c>
      <c r="DE71" s="108">
        <v>7.2689511941848393</v>
      </c>
      <c r="DF71" s="108">
        <v>7.7100115074798623</v>
      </c>
      <c r="DG71" s="108">
        <v>83.968253968253961</v>
      </c>
      <c r="DH71" s="108">
        <v>84.220018034265109</v>
      </c>
      <c r="DI71" s="108">
        <v>84.745762711864401</v>
      </c>
      <c r="DJ71" s="108">
        <v>84.397905759162299</v>
      </c>
      <c r="DK71" s="108">
        <v>16.149562450278442</v>
      </c>
      <c r="DL71" s="108">
        <v>16.546762589928058</v>
      </c>
      <c r="DM71" s="108">
        <v>15.233644859813085</v>
      </c>
      <c r="DN71" s="108">
        <v>17.809621289662232</v>
      </c>
      <c r="DO71" s="108">
        <v>20.599842146803471</v>
      </c>
      <c r="DP71" s="108">
        <v>24.843049327354262</v>
      </c>
      <c r="DQ71" s="108">
        <v>29.878618113912232</v>
      </c>
      <c r="DR71" s="108">
        <v>33.742331288343557</v>
      </c>
      <c r="DS71" s="108">
        <v>51.455923414439567</v>
      </c>
      <c r="DT71" s="108">
        <v>35.571808510638299</v>
      </c>
      <c r="DU71" s="108">
        <v>28.173472617917064</v>
      </c>
      <c r="DV71" s="108">
        <v>26.997041420118343</v>
      </c>
      <c r="DW71" s="62">
        <v>168</v>
      </c>
      <c r="DX71" s="62">
        <v>8</v>
      </c>
      <c r="DY71" s="57">
        <v>4</v>
      </c>
      <c r="DZ71" s="60">
        <v>6</v>
      </c>
      <c r="EA71" s="60">
        <v>2</v>
      </c>
      <c r="EB71" s="60">
        <v>9</v>
      </c>
      <c r="EC71" s="60">
        <v>7</v>
      </c>
      <c r="ED71" s="57">
        <v>8</v>
      </c>
      <c r="EE71" s="60">
        <v>5</v>
      </c>
      <c r="EF71" s="60">
        <v>694</v>
      </c>
      <c r="EG71" s="60">
        <v>681</v>
      </c>
      <c r="EH71" s="60">
        <v>682</v>
      </c>
      <c r="EI71" s="60">
        <v>655</v>
      </c>
      <c r="EJ71" s="115">
        <v>151</v>
      </c>
      <c r="EK71" s="115">
        <v>0</v>
      </c>
      <c r="EL71" s="115">
        <v>0</v>
      </c>
      <c r="EM71" s="115">
        <v>3</v>
      </c>
      <c r="EN71" s="115">
        <v>0</v>
      </c>
      <c r="EO71" s="108">
        <v>879.20440869069489</v>
      </c>
      <c r="EP71" s="108">
        <v>839.86976468847126</v>
      </c>
      <c r="EQ71" s="108">
        <v>836.28649556719108</v>
      </c>
      <c r="ER71" s="108">
        <v>830.2594719296244</v>
      </c>
      <c r="ES71" s="108">
        <v>844.77127528560754</v>
      </c>
      <c r="ET71" s="108">
        <v>786.61916757420772</v>
      </c>
      <c r="EU71" s="108">
        <v>735.62843782169853</v>
      </c>
      <c r="EV71" s="108">
        <v>699.30404008796677</v>
      </c>
      <c r="EW71" s="108">
        <v>1016.0613677669567</v>
      </c>
      <c r="EX71" s="108">
        <v>927.6992917886231</v>
      </c>
      <c r="EY71" s="108">
        <v>947.97645651426114</v>
      </c>
      <c r="EZ71" s="108">
        <v>838.34006625949417</v>
      </c>
      <c r="FA71" s="108">
        <v>688.59919990974595</v>
      </c>
      <c r="FB71" s="108">
        <v>653.48807624620804</v>
      </c>
      <c r="FC71" s="108">
        <v>556.78033616133575</v>
      </c>
      <c r="FD71" s="108">
        <v>571.96996098551472</v>
      </c>
      <c r="FE71" s="57">
        <v>152</v>
      </c>
      <c r="FF71" s="62">
        <v>160</v>
      </c>
      <c r="FG71" s="62">
        <v>154</v>
      </c>
      <c r="FH71" s="62">
        <v>147</v>
      </c>
      <c r="FI71" s="108">
        <v>188.65774540961985</v>
      </c>
      <c r="FJ71" s="108">
        <v>191.65836997553276</v>
      </c>
      <c r="FK71" s="108">
        <v>180.96577221664458</v>
      </c>
      <c r="FL71" s="108">
        <v>159.68450556327971</v>
      </c>
      <c r="FM71" s="62">
        <v>207</v>
      </c>
      <c r="FN71" s="62">
        <v>223</v>
      </c>
      <c r="FO71" s="57">
        <v>188</v>
      </c>
      <c r="FP71" s="62">
        <v>162</v>
      </c>
      <c r="FQ71" s="108">
        <v>251.0761797825773</v>
      </c>
      <c r="FR71" s="108">
        <v>256.36123954372255</v>
      </c>
      <c r="FS71" s="108">
        <v>192.77899063850467</v>
      </c>
      <c r="FT71" s="108">
        <v>170.55454418836726</v>
      </c>
      <c r="FU71" s="60">
        <v>65</v>
      </c>
      <c r="FV71" s="60">
        <v>49</v>
      </c>
      <c r="FW71" s="60">
        <v>43</v>
      </c>
      <c r="FX71" s="60">
        <v>39</v>
      </c>
      <c r="FY71" s="108">
        <v>75.650398061878633</v>
      </c>
      <c r="FZ71" s="108">
        <v>53.385230995345744</v>
      </c>
      <c r="GA71" s="108">
        <v>44.473541222744906</v>
      </c>
      <c r="GB71" s="108">
        <v>41.217201962354856</v>
      </c>
      <c r="GC71" s="63">
        <v>43</v>
      </c>
      <c r="GD71" s="64">
        <v>38</v>
      </c>
      <c r="GE71" s="63">
        <v>33</v>
      </c>
      <c r="GF71" s="63">
        <v>33</v>
      </c>
      <c r="GG71" s="112">
        <v>56.375202229135695</v>
      </c>
      <c r="GH71" s="112">
        <v>45.027086129302198</v>
      </c>
      <c r="GI71" s="112">
        <v>37.68692028293367</v>
      </c>
      <c r="GJ71" s="112">
        <v>36.750312576047961</v>
      </c>
      <c r="GK71" s="63"/>
      <c r="GL71" s="63"/>
      <c r="GM71" s="63"/>
      <c r="GN71" s="64"/>
      <c r="GO71" s="63"/>
      <c r="GP71" s="63"/>
      <c r="GQ71" s="63"/>
      <c r="GR71" s="63"/>
      <c r="GS71" s="64"/>
      <c r="GT71" s="63"/>
      <c r="GU71" s="63"/>
      <c r="GV71" s="63"/>
      <c r="GW71" s="63"/>
      <c r="GX71" s="64"/>
      <c r="GY71" s="64"/>
      <c r="GZ71" s="64"/>
      <c r="HA71" s="64"/>
      <c r="HB71" s="64"/>
      <c r="HC71" s="64"/>
      <c r="HD71" s="65"/>
      <c r="HE71" s="65"/>
      <c r="HF71" s="65"/>
      <c r="HG71" s="65"/>
      <c r="HH71" s="65"/>
      <c r="HI71" s="66"/>
      <c r="HJ71" s="66"/>
      <c r="HK71" s="63"/>
      <c r="HL71" s="64"/>
      <c r="HM71" s="64"/>
      <c r="HN71" s="64"/>
      <c r="HO71" s="64"/>
      <c r="HP71" s="64"/>
      <c r="HQ71" s="64"/>
      <c r="HR71" s="64"/>
      <c r="HS71" s="64"/>
      <c r="HT71" s="64"/>
      <c r="HU71" s="39"/>
    </row>
    <row r="72" spans="1:229" x14ac:dyDescent="0.2">
      <c r="A72" s="37">
        <v>69</v>
      </c>
      <c r="B72" s="86" t="s">
        <v>127</v>
      </c>
      <c r="C72" s="93">
        <v>196694</v>
      </c>
      <c r="D72" s="93">
        <v>196864</v>
      </c>
      <c r="E72" s="93">
        <v>197767</v>
      </c>
      <c r="F72" s="93">
        <v>200226</v>
      </c>
      <c r="G72" s="93">
        <v>200255</v>
      </c>
      <c r="H72" s="43">
        <v>186242</v>
      </c>
      <c r="I72" s="43">
        <v>2918</v>
      </c>
      <c r="J72" s="43">
        <v>4604</v>
      </c>
      <c r="K72" s="43">
        <v>2052</v>
      </c>
      <c r="L72" s="43">
        <v>2612</v>
      </c>
      <c r="M72" s="44">
        <v>84311</v>
      </c>
      <c r="N72" s="44">
        <v>84553</v>
      </c>
      <c r="O72" s="45">
        <v>84657</v>
      </c>
      <c r="P72" s="45">
        <v>84783</v>
      </c>
      <c r="Q72" s="46">
        <v>84993</v>
      </c>
      <c r="R72" s="105">
        <v>22.801529886148007</v>
      </c>
      <c r="S72" s="105">
        <v>23.019097776754343</v>
      </c>
      <c r="T72" s="105">
        <v>23.708426009268834</v>
      </c>
      <c r="U72" s="105">
        <v>23.383457541414945</v>
      </c>
      <c r="V72" s="105">
        <v>23.531960201196902</v>
      </c>
      <c r="W72" s="105">
        <v>22.992765654648956</v>
      </c>
      <c r="X72" s="105">
        <v>23.214458153510172</v>
      </c>
      <c r="Y72" s="105">
        <v>23.407895617761049</v>
      </c>
      <c r="Z72" s="105">
        <v>23.774455762814011</v>
      </c>
      <c r="AA72" s="105">
        <v>23.514337114953921</v>
      </c>
      <c r="AB72" s="105">
        <v>45.794295540796966</v>
      </c>
      <c r="AC72" s="105">
        <v>46.233555930264515</v>
      </c>
      <c r="AD72" s="105">
        <v>47.116321627029883</v>
      </c>
      <c r="AE72" s="105">
        <v>47.157913304228956</v>
      </c>
      <c r="AF72" s="105">
        <v>47.046297316150827</v>
      </c>
      <c r="AG72" s="46">
        <v>5.6372051675991148</v>
      </c>
      <c r="AH72" s="46">
        <v>6.277423785722462</v>
      </c>
      <c r="AI72" s="46">
        <v>9.4989197195988346</v>
      </c>
      <c r="AJ72" s="46">
        <v>7.9291835389396361</v>
      </c>
      <c r="AK72" s="45">
        <v>7.3589579970721823</v>
      </c>
      <c r="AL72" s="49">
        <v>7161.75</v>
      </c>
      <c r="AM72" s="49">
        <v>7562.75</v>
      </c>
      <c r="AN72" s="49">
        <v>9437.6666666666661</v>
      </c>
      <c r="AO72" s="49">
        <v>7562.75</v>
      </c>
      <c r="AP72" s="49">
        <v>12565.333333333334</v>
      </c>
      <c r="AQ72" s="49">
        <v>38046.861095818553</v>
      </c>
      <c r="AR72" s="49">
        <v>38044.567743251384</v>
      </c>
      <c r="AS72" s="49">
        <v>36464.846754406615</v>
      </c>
      <c r="AT72" s="49">
        <v>37176.959774000978</v>
      </c>
      <c r="AU72" s="49">
        <v>38059.209507877458</v>
      </c>
      <c r="AV72" s="101">
        <v>46321.75546681328</v>
      </c>
      <c r="AW72" s="101">
        <v>45921.184591018246</v>
      </c>
      <c r="AX72" s="102">
        <v>45539.932627006063</v>
      </c>
      <c r="AY72" s="102">
        <v>43415.488191106873</v>
      </c>
      <c r="AZ72" s="102">
        <v>44475</v>
      </c>
      <c r="BA72" s="99">
        <v>14.868821863737772</v>
      </c>
      <c r="BB72" s="99">
        <v>14.392523364485982</v>
      </c>
      <c r="BC72" s="99">
        <v>16.415768697322097</v>
      </c>
      <c r="BD72" s="99">
        <v>17.359595338685057</v>
      </c>
      <c r="BE72" s="99">
        <v>17.523862091949116</v>
      </c>
      <c r="BF72" s="99">
        <v>18.565849252105529</v>
      </c>
      <c r="BG72" s="99">
        <v>14.544344455947545</v>
      </c>
      <c r="BH72" s="48">
        <v>18.151569196369152</v>
      </c>
      <c r="BI72" s="48">
        <v>21.597787518263409</v>
      </c>
      <c r="BJ72" s="48">
        <v>21.279580708348774</v>
      </c>
      <c r="BK72" s="44">
        <v>25733</v>
      </c>
      <c r="BL72" s="44">
        <v>25506</v>
      </c>
      <c r="BM72" s="44">
        <v>25167</v>
      </c>
      <c r="BN72" s="42">
        <v>25150</v>
      </c>
      <c r="BO72" s="45">
        <v>37.535460303889948</v>
      </c>
      <c r="BP72" s="45">
        <v>39.857288481141694</v>
      </c>
      <c r="BQ72" s="45">
        <v>40.863034926689714</v>
      </c>
      <c r="BR72" s="46">
        <v>42.190854870775347</v>
      </c>
      <c r="BS72" s="105">
        <v>0.20596121711421134</v>
      </c>
      <c r="BT72" s="105">
        <v>0.2077942444914922</v>
      </c>
      <c r="BU72" s="105">
        <v>0.15099137759764772</v>
      </c>
      <c r="BV72" s="105">
        <v>0.15904572564612326</v>
      </c>
      <c r="BW72" s="45">
        <v>15.792950685889714</v>
      </c>
      <c r="BX72" s="45">
        <v>16.36085626911315</v>
      </c>
      <c r="BY72" s="45">
        <v>16.438192871617595</v>
      </c>
      <c r="BZ72" s="45">
        <v>16.652087475149106</v>
      </c>
      <c r="CA72" s="44">
        <v>78.700043917435224</v>
      </c>
      <c r="CB72" s="44">
        <v>77.297990594271056</v>
      </c>
      <c r="CC72" s="44">
        <v>76.288209606986896</v>
      </c>
      <c r="CD72" s="44">
        <v>76.73</v>
      </c>
      <c r="CE72" s="45">
        <v>7.158541941150637</v>
      </c>
      <c r="CF72" s="45">
        <v>7.3535699016673792</v>
      </c>
      <c r="CG72" s="45">
        <v>6.5938864628820957</v>
      </c>
      <c r="CH72" s="45">
        <v>7.07</v>
      </c>
      <c r="CI72" s="48">
        <v>10542</v>
      </c>
      <c r="CJ72" s="51">
        <v>10056</v>
      </c>
      <c r="CK72" s="51">
        <v>10520</v>
      </c>
      <c r="CL72" s="57">
        <v>10523</v>
      </c>
      <c r="CM72" s="108">
        <v>10.659122437341509</v>
      </c>
      <c r="CN72" s="108">
        <v>10.226371346634938</v>
      </c>
      <c r="CO72" s="108">
        <v>10.624502607648834</v>
      </c>
      <c r="CP72" s="108">
        <v>10.609937830583803</v>
      </c>
      <c r="CQ72" s="60">
        <v>432</v>
      </c>
      <c r="CR72" s="60">
        <v>468</v>
      </c>
      <c r="CS72" s="60">
        <v>477</v>
      </c>
      <c r="CT72" s="60">
        <v>446</v>
      </c>
      <c r="CU72" s="108">
        <v>4.2023346303501947</v>
      </c>
      <c r="CV72" s="108">
        <v>4.7901740020470829</v>
      </c>
      <c r="CW72" s="108">
        <v>4.6787641000490439</v>
      </c>
      <c r="CX72" s="108">
        <v>4.3854473942969516</v>
      </c>
      <c r="CY72" s="61">
        <v>690</v>
      </c>
      <c r="CZ72" s="57">
        <v>748</v>
      </c>
      <c r="DA72" s="60">
        <v>947</v>
      </c>
      <c r="DB72" s="60">
        <v>805</v>
      </c>
      <c r="DC72" s="108">
        <v>7.1178048277284915</v>
      </c>
      <c r="DD72" s="108">
        <v>8.267020335985853</v>
      </c>
      <c r="DE72" s="108">
        <v>9.6988938959442859</v>
      </c>
      <c r="DF72" s="108">
        <v>8.3845432767420061</v>
      </c>
      <c r="DG72" s="108">
        <v>87.985969014907923</v>
      </c>
      <c r="DH72" s="108">
        <v>87.153806847215122</v>
      </c>
      <c r="DI72" s="108">
        <v>88.589191774270688</v>
      </c>
      <c r="DJ72" s="108">
        <v>88.364348677766898</v>
      </c>
      <c r="DK72" s="108">
        <v>23.017565235049243</v>
      </c>
      <c r="DL72" s="108">
        <v>22.02593689369958</v>
      </c>
      <c r="DM72" s="108">
        <v>22.504052636597692</v>
      </c>
      <c r="DN72" s="108">
        <v>21.060297116224877</v>
      </c>
      <c r="DO72" s="108">
        <v>30.44220914784589</v>
      </c>
      <c r="DP72" s="108">
        <v>33.131031738135512</v>
      </c>
      <c r="DQ72" s="108">
        <v>38.448374215630345</v>
      </c>
      <c r="DR72" s="108">
        <v>41.066844157079018</v>
      </c>
      <c r="DS72" s="108">
        <v>30.277984406424775</v>
      </c>
      <c r="DT72" s="108">
        <v>27.646047214550002</v>
      </c>
      <c r="DU72" s="108">
        <v>23.441446903101951</v>
      </c>
      <c r="DV72" s="108">
        <v>20.08997828110456</v>
      </c>
      <c r="DW72" s="62">
        <v>1876</v>
      </c>
      <c r="DX72" s="62">
        <v>46</v>
      </c>
      <c r="DY72" s="57">
        <v>93</v>
      </c>
      <c r="DZ72" s="60">
        <v>29</v>
      </c>
      <c r="EA72" s="60">
        <v>34</v>
      </c>
      <c r="EB72" s="60">
        <v>74</v>
      </c>
      <c r="EC72" s="60">
        <v>72</v>
      </c>
      <c r="ED72" s="57">
        <v>56</v>
      </c>
      <c r="EE72" s="60">
        <v>52</v>
      </c>
      <c r="EF72" s="60">
        <v>10968</v>
      </c>
      <c r="EG72" s="60">
        <v>10964</v>
      </c>
      <c r="EH72" s="60">
        <v>10636</v>
      </c>
      <c r="EI72" s="60">
        <v>10287</v>
      </c>
      <c r="EJ72" s="115">
        <v>2032</v>
      </c>
      <c r="EK72" s="115">
        <v>8</v>
      </c>
      <c r="EL72" s="115">
        <v>34</v>
      </c>
      <c r="EM72" s="115">
        <v>3</v>
      </c>
      <c r="EN72" s="115">
        <v>2</v>
      </c>
      <c r="EO72" s="108">
        <v>1108.9855330370108</v>
      </c>
      <c r="EP72" s="108">
        <v>1114.9754916915817</v>
      </c>
      <c r="EQ72" s="108">
        <v>1074.1654917771198</v>
      </c>
      <c r="ER72" s="108">
        <v>1037.198807024761</v>
      </c>
      <c r="ES72" s="108">
        <v>900.93286596087205</v>
      </c>
      <c r="ET72" s="108">
        <v>869.22635073749427</v>
      </c>
      <c r="EU72" s="108">
        <v>797.5544362184653</v>
      </c>
      <c r="EV72" s="108">
        <v>758.48335319593798</v>
      </c>
      <c r="EW72" s="108">
        <v>1139.9618694125672</v>
      </c>
      <c r="EX72" s="108">
        <v>1070.4868332115357</v>
      </c>
      <c r="EY72" s="108">
        <v>958.47654049426444</v>
      </c>
      <c r="EZ72" s="108">
        <v>914.7645941594194</v>
      </c>
      <c r="FA72" s="108">
        <v>735.19297233694351</v>
      </c>
      <c r="FB72" s="108">
        <v>724.14903084758771</v>
      </c>
      <c r="FC72" s="108">
        <v>672.60858538270224</v>
      </c>
      <c r="FD72" s="108">
        <v>638.31663392105258</v>
      </c>
      <c r="FE72" s="57">
        <v>2468</v>
      </c>
      <c r="FF72" s="62">
        <v>2526</v>
      </c>
      <c r="FG72" s="62">
        <v>2456</v>
      </c>
      <c r="FH72" s="62">
        <v>2455</v>
      </c>
      <c r="FI72" s="108">
        <v>203.24504801606753</v>
      </c>
      <c r="FJ72" s="108">
        <v>203.89002789264219</v>
      </c>
      <c r="FK72" s="108">
        <v>193.53715325300169</v>
      </c>
      <c r="FL72" s="108">
        <v>188.67106779890503</v>
      </c>
      <c r="FM72" s="62">
        <v>3433</v>
      </c>
      <c r="FN72" s="62">
        <v>2923</v>
      </c>
      <c r="FO72" s="57">
        <v>2596</v>
      </c>
      <c r="FP72" s="62">
        <v>2200</v>
      </c>
      <c r="FQ72" s="108">
        <v>276.30929931686961</v>
      </c>
      <c r="FR72" s="108">
        <v>226.43479250846821</v>
      </c>
      <c r="FS72" s="108">
        <v>185.84937503451349</v>
      </c>
      <c r="FT72" s="108">
        <v>154.63949412868382</v>
      </c>
      <c r="FU72" s="60">
        <v>870</v>
      </c>
      <c r="FV72" s="60">
        <v>791</v>
      </c>
      <c r="FW72" s="60">
        <v>654</v>
      </c>
      <c r="FX72" s="60">
        <v>499</v>
      </c>
      <c r="FY72" s="108">
        <v>69.232101309253494</v>
      </c>
      <c r="FZ72" s="108">
        <v>59.862567594508192</v>
      </c>
      <c r="GA72" s="108">
        <v>45.81362853484098</v>
      </c>
      <c r="GB72" s="108">
        <v>34.622848422160075</v>
      </c>
      <c r="GC72" s="63">
        <v>388</v>
      </c>
      <c r="GD72" s="64">
        <v>452</v>
      </c>
      <c r="GE72" s="63">
        <v>485</v>
      </c>
      <c r="GF72" s="63">
        <v>507</v>
      </c>
      <c r="GG72" s="112">
        <v>36.038160939099555</v>
      </c>
      <c r="GH72" s="112">
        <v>40.082570751763967</v>
      </c>
      <c r="GI72" s="112">
        <v>42.252838190366866</v>
      </c>
      <c r="GJ72" s="112">
        <v>42.457610569531163</v>
      </c>
      <c r="GK72" s="63"/>
      <c r="GL72" s="63"/>
      <c r="GM72" s="63"/>
      <c r="GN72" s="64"/>
      <c r="GO72" s="63"/>
      <c r="GP72" s="63"/>
      <c r="GQ72" s="63"/>
      <c r="GR72" s="63"/>
      <c r="GS72" s="64"/>
      <c r="GT72" s="63"/>
      <c r="GU72" s="63"/>
      <c r="GV72" s="63"/>
      <c r="GW72" s="63"/>
      <c r="GX72" s="64"/>
      <c r="GY72" s="64"/>
      <c r="GZ72" s="64"/>
      <c r="HA72" s="64"/>
      <c r="HB72" s="64"/>
      <c r="HC72" s="64"/>
      <c r="HD72" s="65"/>
      <c r="HE72" s="65"/>
      <c r="HF72" s="65"/>
      <c r="HG72" s="65"/>
      <c r="HH72" s="65"/>
      <c r="HI72" s="66"/>
      <c r="HJ72" s="66"/>
      <c r="HK72" s="63"/>
      <c r="HL72" s="64"/>
      <c r="HM72" s="64"/>
      <c r="HN72" s="64"/>
      <c r="HO72" s="64"/>
      <c r="HP72" s="64"/>
      <c r="HQ72" s="64"/>
      <c r="HR72" s="64"/>
      <c r="HS72" s="64"/>
      <c r="HT72" s="64"/>
      <c r="HU72" s="39"/>
    </row>
    <row r="73" spans="1:229" x14ac:dyDescent="0.2">
      <c r="A73" s="37">
        <v>70</v>
      </c>
      <c r="B73" s="86" t="s">
        <v>128</v>
      </c>
      <c r="C73" s="93">
        <v>126642</v>
      </c>
      <c r="D73" s="93">
        <v>128937</v>
      </c>
      <c r="E73" s="93">
        <v>131939</v>
      </c>
      <c r="F73" s="93">
        <v>129928</v>
      </c>
      <c r="G73" s="93">
        <v>132556</v>
      </c>
      <c r="H73" s="43">
        <v>116999</v>
      </c>
      <c r="I73" s="43">
        <v>3724</v>
      </c>
      <c r="J73" s="43">
        <v>1278</v>
      </c>
      <c r="K73" s="43">
        <v>7901</v>
      </c>
      <c r="L73" s="43">
        <v>6052</v>
      </c>
      <c r="M73" s="44">
        <v>43963</v>
      </c>
      <c r="N73" s="44">
        <v>44645</v>
      </c>
      <c r="O73" s="45">
        <v>45396</v>
      </c>
      <c r="P73" s="45">
        <v>45108</v>
      </c>
      <c r="Q73" s="46">
        <v>45656</v>
      </c>
      <c r="R73" s="105">
        <v>9.4570135746606336</v>
      </c>
      <c r="S73" s="105">
        <v>9.9151498563021754</v>
      </c>
      <c r="T73" s="105">
        <v>10.776087804334503</v>
      </c>
      <c r="U73" s="105">
        <v>11.537309650517198</v>
      </c>
      <c r="V73" s="105">
        <v>12.014341443615127</v>
      </c>
      <c r="W73" s="105">
        <v>37.47650539505743</v>
      </c>
      <c r="X73" s="105">
        <v>37.132201998084028</v>
      </c>
      <c r="Y73" s="105">
        <v>36.23934481029584</v>
      </c>
      <c r="Z73" s="105">
        <v>38.125187181790956</v>
      </c>
      <c r="AA73" s="105">
        <v>37.438834644959073</v>
      </c>
      <c r="AB73" s="105">
        <v>46.933518969718065</v>
      </c>
      <c r="AC73" s="105">
        <v>47.047351854386207</v>
      </c>
      <c r="AD73" s="105">
        <v>47.015432614630342</v>
      </c>
      <c r="AE73" s="105">
        <v>49.66249683230815</v>
      </c>
      <c r="AF73" s="105">
        <v>49.453176088574196</v>
      </c>
      <c r="AG73" s="46">
        <v>4.10017488250082</v>
      </c>
      <c r="AH73" s="46">
        <v>4.9242271978132415</v>
      </c>
      <c r="AI73" s="46">
        <v>7.5619070429656832</v>
      </c>
      <c r="AJ73" s="46">
        <v>6.9648833873452691</v>
      </c>
      <c r="AK73" s="45">
        <v>5.9929416759539356</v>
      </c>
      <c r="AL73" s="49">
        <v>1034.75</v>
      </c>
      <c r="AM73" s="49">
        <v>1179.0833333333333</v>
      </c>
      <c r="AN73" s="49">
        <v>1574.0833333333333</v>
      </c>
      <c r="AO73" s="49">
        <v>1179.0833333333333</v>
      </c>
      <c r="AP73" s="49">
        <v>2476.5833333333335</v>
      </c>
      <c r="AQ73" s="49">
        <v>44117.193190457154</v>
      </c>
      <c r="AR73" s="49">
        <v>44171.870728224967</v>
      </c>
      <c r="AS73" s="49">
        <v>42715.228650943063</v>
      </c>
      <c r="AT73" s="49">
        <v>44119.427085266565</v>
      </c>
      <c r="AU73" s="49">
        <v>45399.868734723437</v>
      </c>
      <c r="AV73" s="101">
        <v>85935.763169063663</v>
      </c>
      <c r="AW73" s="101">
        <v>84452.813314259445</v>
      </c>
      <c r="AX73" s="102">
        <v>88207.014137421502</v>
      </c>
      <c r="AY73" s="102">
        <v>80778.782849359792</v>
      </c>
      <c r="AZ73" s="102">
        <v>81586</v>
      </c>
      <c r="BA73" s="99">
        <v>4.1915116102716379</v>
      </c>
      <c r="BB73" s="99">
        <v>4.3504493844960388</v>
      </c>
      <c r="BC73" s="99">
        <v>4.8460276828277564</v>
      </c>
      <c r="BD73" s="99">
        <v>5.0515775523331961</v>
      </c>
      <c r="BE73" s="99">
        <v>5.7679102769512474</v>
      </c>
      <c r="BF73" s="99">
        <v>4.9948219549111768</v>
      </c>
      <c r="BG73" s="99">
        <v>5.1438489454583705</v>
      </c>
      <c r="BH73" s="48">
        <v>5.8888596260205421</v>
      </c>
      <c r="BI73" s="48">
        <v>6.1661923441786533</v>
      </c>
      <c r="BJ73" s="48">
        <v>7.1293165283328213</v>
      </c>
      <c r="BK73" s="44">
        <v>20604</v>
      </c>
      <c r="BL73" s="44">
        <v>21202</v>
      </c>
      <c r="BM73" s="44">
        <v>21751</v>
      </c>
      <c r="BN73" s="42">
        <v>22330</v>
      </c>
      <c r="BO73" s="45">
        <v>17.31702582022908</v>
      </c>
      <c r="BP73" s="45">
        <v>19.163286482407319</v>
      </c>
      <c r="BQ73" s="45">
        <v>20.109420256539931</v>
      </c>
      <c r="BR73" s="46">
        <v>21.692789968652036</v>
      </c>
      <c r="BS73" s="105">
        <v>5.6979227334498157</v>
      </c>
      <c r="BT73" s="105">
        <v>5.8626544665597589</v>
      </c>
      <c r="BU73" s="105">
        <v>5.751459703002161</v>
      </c>
      <c r="BV73" s="105">
        <v>5.5396327810120916</v>
      </c>
      <c r="BW73" s="45">
        <v>13.536206561832653</v>
      </c>
      <c r="BX73" s="45">
        <v>13.442128101122536</v>
      </c>
      <c r="BY73" s="45">
        <v>13.512022435750081</v>
      </c>
      <c r="BZ73" s="45">
        <v>13.300492610837438</v>
      </c>
      <c r="CA73" s="44">
        <v>82.646420824295006</v>
      </c>
      <c r="CB73" s="44">
        <v>83.197278911564624</v>
      </c>
      <c r="CC73" s="44">
        <v>86.653386454183263</v>
      </c>
      <c r="CD73" s="44">
        <v>86.08</v>
      </c>
      <c r="CE73" s="45">
        <v>3.0368763557483729</v>
      </c>
      <c r="CF73" s="45">
        <v>3.8775510204081631</v>
      </c>
      <c r="CG73" s="45">
        <v>3.5192563081009296</v>
      </c>
      <c r="CH73" s="45">
        <v>4.16</v>
      </c>
      <c r="CI73" s="48">
        <v>6311</v>
      </c>
      <c r="CJ73" s="51">
        <v>7834</v>
      </c>
      <c r="CK73" s="51">
        <v>10403</v>
      </c>
      <c r="CL73" s="57">
        <v>10031</v>
      </c>
      <c r="CM73" s="108">
        <v>18.67402857176674</v>
      </c>
      <c r="CN73" s="108">
        <v>18.430079093599581</v>
      </c>
      <c r="CO73" s="108">
        <v>18.219871446836088</v>
      </c>
      <c r="CP73" s="108">
        <v>15.432260208430128</v>
      </c>
      <c r="CQ73" s="60">
        <v>229</v>
      </c>
      <c r="CR73" s="60">
        <v>241</v>
      </c>
      <c r="CS73" s="60">
        <v>401</v>
      </c>
      <c r="CT73" s="60">
        <v>391</v>
      </c>
      <c r="CU73" s="108">
        <v>3.7448896156991007</v>
      </c>
      <c r="CV73" s="108">
        <v>3.191207627118644</v>
      </c>
      <c r="CW73" s="108">
        <v>4.0208563120425147</v>
      </c>
      <c r="CX73" s="108">
        <v>4.0699489955240971</v>
      </c>
      <c r="CY73" s="61">
        <v>403</v>
      </c>
      <c r="CZ73" s="57">
        <v>459</v>
      </c>
      <c r="DA73" s="60">
        <v>712</v>
      </c>
      <c r="DB73" s="60">
        <v>648</v>
      </c>
      <c r="DC73" s="108">
        <v>7.1466572087249514</v>
      </c>
      <c r="DD73" s="108">
        <v>6.8836232753449309</v>
      </c>
      <c r="DE73" s="108">
        <v>7.6501557967121521</v>
      </c>
      <c r="DF73" s="108">
        <v>7.2056043589458465</v>
      </c>
      <c r="DG73" s="108">
        <v>85.544388609715242</v>
      </c>
      <c r="DH73" s="108">
        <v>87.602959653776352</v>
      </c>
      <c r="DI73" s="108">
        <v>89.566436367277461</v>
      </c>
      <c r="DJ73" s="108">
        <v>88.853239494928587</v>
      </c>
      <c r="DK73" s="108">
        <v>9.9084829285462863</v>
      </c>
      <c r="DL73" s="108">
        <v>5.9328529817568603</v>
      </c>
      <c r="DM73" s="108">
        <v>3.707797427652733</v>
      </c>
      <c r="DN73" s="108">
        <v>5.2893401015228427</v>
      </c>
      <c r="DO73" s="108">
        <v>14.04565630944832</v>
      </c>
      <c r="DP73" s="108">
        <v>12.780898876404494</v>
      </c>
      <c r="DQ73" s="108">
        <v>15.445277938065013</v>
      </c>
      <c r="DR73" s="108">
        <v>20.01396090945353</v>
      </c>
      <c r="DS73" s="108">
        <v>23.289015793700365</v>
      </c>
      <c r="DT73" s="108">
        <v>21.115431022925325</v>
      </c>
      <c r="DU73" s="108">
        <v>18.225211542633978</v>
      </c>
      <c r="DV73" s="108">
        <v>15.52959276888312</v>
      </c>
      <c r="DW73" s="62">
        <v>1584</v>
      </c>
      <c r="DX73" s="62">
        <v>82</v>
      </c>
      <c r="DY73" s="57">
        <v>22</v>
      </c>
      <c r="DZ73" s="60">
        <v>146</v>
      </c>
      <c r="EA73" s="60">
        <v>83</v>
      </c>
      <c r="EB73" s="60">
        <v>43</v>
      </c>
      <c r="EC73" s="60">
        <v>23</v>
      </c>
      <c r="ED73" s="57">
        <v>26</v>
      </c>
      <c r="EE73" s="60">
        <v>50</v>
      </c>
      <c r="EF73" s="60">
        <v>1663</v>
      </c>
      <c r="EG73" s="60">
        <v>1868</v>
      </c>
      <c r="EH73" s="60">
        <v>2248</v>
      </c>
      <c r="EI73" s="60">
        <v>2600</v>
      </c>
      <c r="EJ73" s="115">
        <v>572</v>
      </c>
      <c r="EK73" s="115">
        <v>4</v>
      </c>
      <c r="EL73" s="115">
        <v>10</v>
      </c>
      <c r="EM73" s="115">
        <v>14</v>
      </c>
      <c r="EN73" s="115">
        <v>7</v>
      </c>
      <c r="EO73" s="108">
        <v>492.0758915361763</v>
      </c>
      <c r="EP73" s="108">
        <v>439.46116603068702</v>
      </c>
      <c r="EQ73" s="108">
        <v>393.71595705553705</v>
      </c>
      <c r="ER73" s="108">
        <v>399.99876923455622</v>
      </c>
      <c r="ES73" s="108">
        <v>764.56429929132605</v>
      </c>
      <c r="ET73" s="108">
        <v>756.47940261224448</v>
      </c>
      <c r="EU73" s="108">
        <v>714.74638782248962</v>
      </c>
      <c r="EV73" s="108">
        <v>638.66206525301016</v>
      </c>
      <c r="EW73" s="108">
        <v>978.71616917167125</v>
      </c>
      <c r="EX73" s="108">
        <v>927.90469558748805</v>
      </c>
      <c r="EY73" s="108">
        <v>852.48752340406031</v>
      </c>
      <c r="EZ73" s="108">
        <v>766.41167934930252</v>
      </c>
      <c r="FA73" s="108">
        <v>610.89425855640502</v>
      </c>
      <c r="FB73" s="108">
        <v>633.91741359651928</v>
      </c>
      <c r="FC73" s="108">
        <v>610.31797950540545</v>
      </c>
      <c r="FD73" s="108">
        <v>542.94024129891955</v>
      </c>
      <c r="FE73" s="57">
        <v>401</v>
      </c>
      <c r="FF73" s="62">
        <v>459</v>
      </c>
      <c r="FG73" s="62">
        <v>631</v>
      </c>
      <c r="FH73" s="62">
        <v>726</v>
      </c>
      <c r="FI73" s="108">
        <v>183.60903456619579</v>
      </c>
      <c r="FJ73" s="108">
        <v>177.53731984816415</v>
      </c>
      <c r="FK73" s="108">
        <v>189.80579780578029</v>
      </c>
      <c r="FL73" s="108">
        <v>169.4181488891349</v>
      </c>
      <c r="FM73" s="62">
        <v>469</v>
      </c>
      <c r="FN73" s="62">
        <v>433</v>
      </c>
      <c r="FO73" s="57">
        <v>440</v>
      </c>
      <c r="FP73" s="62">
        <v>446</v>
      </c>
      <c r="FQ73" s="108">
        <v>227.92660976014403</v>
      </c>
      <c r="FR73" s="108">
        <v>183.10686583268898</v>
      </c>
      <c r="FS73" s="108">
        <v>150.60277991980593</v>
      </c>
      <c r="FT73" s="108">
        <v>119.41770062328249</v>
      </c>
      <c r="FU73" s="60">
        <v>133</v>
      </c>
      <c r="FV73" s="60">
        <v>164</v>
      </c>
      <c r="FW73" s="60">
        <v>139</v>
      </c>
      <c r="FX73" s="60">
        <v>136</v>
      </c>
      <c r="FY73" s="108">
        <v>65.146064062791268</v>
      </c>
      <c r="FZ73" s="108">
        <v>73.403143224860841</v>
      </c>
      <c r="GA73" s="108">
        <v>50.277890284781009</v>
      </c>
      <c r="GB73" s="108">
        <v>37.704693765928781</v>
      </c>
      <c r="GC73" s="63">
        <v>94</v>
      </c>
      <c r="GD73" s="64">
        <v>115</v>
      </c>
      <c r="GE73" s="63">
        <v>137</v>
      </c>
      <c r="GF73" s="63">
        <v>188</v>
      </c>
      <c r="GG73" s="112">
        <v>35.528104202195095</v>
      </c>
      <c r="GH73" s="112">
        <v>38.721906871036715</v>
      </c>
      <c r="GI73" s="112">
        <v>31.429200408147906</v>
      </c>
      <c r="GJ73" s="112">
        <v>39.761773642248194</v>
      </c>
      <c r="GK73" s="63"/>
      <c r="GL73" s="63"/>
      <c r="GM73" s="63"/>
      <c r="GN73" s="64"/>
      <c r="GO73" s="63"/>
      <c r="GP73" s="63"/>
      <c r="GQ73" s="63"/>
      <c r="GR73" s="63"/>
      <c r="GS73" s="64"/>
      <c r="GT73" s="63"/>
      <c r="GU73" s="63"/>
      <c r="GV73" s="63"/>
      <c r="GW73" s="63"/>
      <c r="GX73" s="64"/>
      <c r="GY73" s="64"/>
      <c r="GZ73" s="64"/>
      <c r="HA73" s="64"/>
      <c r="HB73" s="64"/>
      <c r="HC73" s="64"/>
      <c r="HD73" s="65"/>
      <c r="HE73" s="65"/>
      <c r="HF73" s="65"/>
      <c r="HG73" s="65"/>
      <c r="HH73" s="65"/>
      <c r="HI73" s="66"/>
      <c r="HJ73" s="66"/>
      <c r="HK73" s="63"/>
      <c r="HL73" s="64"/>
      <c r="HM73" s="64"/>
      <c r="HN73" s="64"/>
      <c r="HO73" s="64"/>
      <c r="HP73" s="64"/>
      <c r="HQ73" s="64"/>
      <c r="HR73" s="64"/>
      <c r="HS73" s="64"/>
      <c r="HT73" s="64"/>
      <c r="HU73" s="39"/>
    </row>
    <row r="74" spans="1:229" x14ac:dyDescent="0.2">
      <c r="A74" s="37">
        <v>71</v>
      </c>
      <c r="B74" s="86" t="s">
        <v>129</v>
      </c>
      <c r="C74" s="93">
        <v>86287</v>
      </c>
      <c r="D74" s="93">
        <v>87660</v>
      </c>
      <c r="E74" s="93">
        <v>87832</v>
      </c>
      <c r="F74" s="93">
        <v>88499</v>
      </c>
      <c r="G74" s="93">
        <v>89319</v>
      </c>
      <c r="H74" s="43">
        <v>84408</v>
      </c>
      <c r="I74" s="43">
        <v>1777</v>
      </c>
      <c r="J74" s="43">
        <v>471</v>
      </c>
      <c r="K74" s="43">
        <v>1212</v>
      </c>
      <c r="L74" s="43">
        <v>1986</v>
      </c>
      <c r="M74" s="44">
        <v>29543</v>
      </c>
      <c r="N74" s="44">
        <v>29837</v>
      </c>
      <c r="O74" s="45">
        <v>30054</v>
      </c>
      <c r="P74" s="45">
        <v>30212</v>
      </c>
      <c r="Q74" s="46">
        <v>30439</v>
      </c>
      <c r="R74" s="105">
        <v>10.566220898120408</v>
      </c>
      <c r="S74" s="105">
        <v>10.955403511664331</v>
      </c>
      <c r="T74" s="105">
        <v>10.230657224171024</v>
      </c>
      <c r="U74" s="105">
        <v>12.251433553536099</v>
      </c>
      <c r="V74" s="105">
        <v>12.772234560944078</v>
      </c>
      <c r="W74" s="105">
        <v>33.854419468759936</v>
      </c>
      <c r="X74" s="105">
        <v>33.566894732503506</v>
      </c>
      <c r="Y74" s="105">
        <v>35.099940432854588</v>
      </c>
      <c r="Z74" s="105">
        <v>36.132255792897624</v>
      </c>
      <c r="AA74" s="105">
        <v>35.268671064408132</v>
      </c>
      <c r="AB74" s="105">
        <v>44.420640366880349</v>
      </c>
      <c r="AC74" s="105">
        <v>44.522298244167835</v>
      </c>
      <c r="AD74" s="105">
        <v>45.330597657025614</v>
      </c>
      <c r="AE74" s="105">
        <v>48.383689346433719</v>
      </c>
      <c r="AF74" s="105">
        <v>48.04090562535221</v>
      </c>
      <c r="AG74" s="46">
        <v>5.073042801237527</v>
      </c>
      <c r="AH74" s="46">
        <v>6.1169144234632382</v>
      </c>
      <c r="AI74" s="46">
        <v>9.4323603137381742</v>
      </c>
      <c r="AJ74" s="46">
        <v>8.4692533684530442</v>
      </c>
      <c r="AK74" s="45">
        <v>7.2860447185813415</v>
      </c>
      <c r="AL74" s="49">
        <v>849.75</v>
      </c>
      <c r="AM74" s="49">
        <v>913.33333333333337</v>
      </c>
      <c r="AN74" s="49">
        <v>1251.9166666666667</v>
      </c>
      <c r="AO74" s="49">
        <v>913.33333333333337</v>
      </c>
      <c r="AP74" s="49">
        <v>1996.4166666666667</v>
      </c>
      <c r="AQ74" s="49">
        <v>33342.522425992691</v>
      </c>
      <c r="AR74" s="49">
        <v>32591.62013730561</v>
      </c>
      <c r="AS74" s="49">
        <v>32135.99459802702</v>
      </c>
      <c r="AT74" s="49">
        <v>32337.098725330579</v>
      </c>
      <c r="AU74" s="49">
        <v>33473.863343745448</v>
      </c>
      <c r="AV74" s="101">
        <v>73374.05989138718</v>
      </c>
      <c r="AW74" s="101">
        <v>73354.375312931079</v>
      </c>
      <c r="AX74" s="102">
        <v>75205.790106135537</v>
      </c>
      <c r="AY74" s="102">
        <v>71899.06886763034</v>
      </c>
      <c r="AZ74" s="102">
        <v>68646</v>
      </c>
      <c r="BA74" s="99">
        <v>5.0416681484642654</v>
      </c>
      <c r="BB74" s="99">
        <v>5.7886023410903329</v>
      </c>
      <c r="BC74" s="99">
        <v>7.1457699791440925</v>
      </c>
      <c r="BD74" s="99">
        <v>7.1702307487466861</v>
      </c>
      <c r="BE74" s="99">
        <v>7.6105075587745015</v>
      </c>
      <c r="BF74" s="99">
        <v>5.2635993792727422</v>
      </c>
      <c r="BG74" s="99">
        <v>6.1993144385920909</v>
      </c>
      <c r="BH74" s="48">
        <v>8.2128514056224908</v>
      </c>
      <c r="BI74" s="48">
        <v>8.4372909369957885</v>
      </c>
      <c r="BJ74" s="48">
        <v>9.1894045010953995</v>
      </c>
      <c r="BK74" s="44">
        <v>19351</v>
      </c>
      <c r="BL74" s="44">
        <v>19400</v>
      </c>
      <c r="BM74" s="44">
        <v>19621</v>
      </c>
      <c r="BN74" s="42">
        <v>18943</v>
      </c>
      <c r="BO74" s="45">
        <v>17.833703684564107</v>
      </c>
      <c r="BP74" s="45">
        <v>21.63917525773196</v>
      </c>
      <c r="BQ74" s="45">
        <v>24.198562764385098</v>
      </c>
      <c r="BR74" s="46">
        <v>23.290925407802355</v>
      </c>
      <c r="BS74" s="105">
        <v>2.7905534597695207</v>
      </c>
      <c r="BT74" s="105">
        <v>2.4226804123711339</v>
      </c>
      <c r="BU74" s="105">
        <v>2.4871311350084095</v>
      </c>
      <c r="BV74" s="105">
        <v>2.6342184448081087</v>
      </c>
      <c r="BW74" s="45">
        <v>13.994108831584931</v>
      </c>
      <c r="BX74" s="45">
        <v>14.216494845360824</v>
      </c>
      <c r="BY74" s="45">
        <v>14.515060394475308</v>
      </c>
      <c r="BZ74" s="45">
        <v>14.622815815868659</v>
      </c>
      <c r="CA74" s="44">
        <v>88.457987072945528</v>
      </c>
      <c r="CB74" s="44">
        <v>85.887850467289724</v>
      </c>
      <c r="CC74" s="44">
        <v>89.116859946476367</v>
      </c>
      <c r="CD74" s="44">
        <v>88.32</v>
      </c>
      <c r="CE74" s="45">
        <v>2.5854108956602033</v>
      </c>
      <c r="CF74" s="45">
        <v>3.1775700934579438</v>
      </c>
      <c r="CG74" s="45">
        <v>1.6057091882247994</v>
      </c>
      <c r="CH74" s="45">
        <v>3.26</v>
      </c>
      <c r="CI74" s="48">
        <v>4004</v>
      </c>
      <c r="CJ74" s="51">
        <v>5192</v>
      </c>
      <c r="CK74" s="51">
        <v>6390</v>
      </c>
      <c r="CL74" s="57">
        <v>6346</v>
      </c>
      <c r="CM74" s="108">
        <v>15.83084246651168</v>
      </c>
      <c r="CN74" s="108">
        <v>16.53224137327139</v>
      </c>
      <c r="CO74" s="108">
        <v>16.315712874093251</v>
      </c>
      <c r="CP74" s="108">
        <v>14.435949289917811</v>
      </c>
      <c r="CQ74" s="60">
        <v>163</v>
      </c>
      <c r="CR74" s="60">
        <v>200</v>
      </c>
      <c r="CS74" s="60">
        <v>235</v>
      </c>
      <c r="CT74" s="60">
        <v>246</v>
      </c>
      <c r="CU74" s="108">
        <v>4.1870023118417672</v>
      </c>
      <c r="CV74" s="108">
        <v>4.002401440864519</v>
      </c>
      <c r="CW74" s="108">
        <v>3.8180341186027618</v>
      </c>
      <c r="CX74" s="108">
        <v>4.0275049115913557</v>
      </c>
      <c r="CY74" s="61">
        <v>241</v>
      </c>
      <c r="CZ74" s="57">
        <v>367</v>
      </c>
      <c r="DA74" s="60">
        <v>430</v>
      </c>
      <c r="DB74" s="60">
        <v>405</v>
      </c>
      <c r="DC74" s="108">
        <v>6.6245189664650903</v>
      </c>
      <c r="DD74" s="108">
        <v>7.8890799656061912</v>
      </c>
      <c r="DE74" s="108">
        <v>7.8596234692012432</v>
      </c>
      <c r="DF74" s="108">
        <v>7.5828496536229171</v>
      </c>
      <c r="DG74" s="108">
        <v>87.10837185413456</v>
      </c>
      <c r="DH74" s="108">
        <v>90.646628435831516</v>
      </c>
      <c r="DI74" s="108">
        <v>90.380497446878607</v>
      </c>
      <c r="DJ74" s="108">
        <v>89.893445269615754</v>
      </c>
      <c r="DK74" s="108">
        <v>14.916559691912708</v>
      </c>
      <c r="DL74" s="108">
        <v>10.958627648839556</v>
      </c>
      <c r="DM74" s="108">
        <v>10.044096031357178</v>
      </c>
      <c r="DN74" s="108">
        <v>10.790103750997606</v>
      </c>
      <c r="DO74" s="108">
        <v>18.890554722638679</v>
      </c>
      <c r="DP74" s="108">
        <v>17.556369242628637</v>
      </c>
      <c r="DQ74" s="108">
        <v>19.236187196744403</v>
      </c>
      <c r="DR74" s="108">
        <v>23.940110323089048</v>
      </c>
      <c r="DS74" s="108">
        <v>27.123483226266952</v>
      </c>
      <c r="DT74" s="108">
        <v>23.190442726633872</v>
      </c>
      <c r="DU74" s="108">
        <v>19.916526323497109</v>
      </c>
      <c r="DV74" s="108">
        <v>19.21242676113912</v>
      </c>
      <c r="DW74" s="62">
        <v>1134</v>
      </c>
      <c r="DX74" s="62">
        <v>15</v>
      </c>
      <c r="DY74" s="57">
        <v>2</v>
      </c>
      <c r="DZ74" s="60">
        <v>16</v>
      </c>
      <c r="EA74" s="60">
        <v>19</v>
      </c>
      <c r="EB74" s="60">
        <v>25</v>
      </c>
      <c r="EC74" s="60">
        <v>22</v>
      </c>
      <c r="ED74" s="57">
        <v>22</v>
      </c>
      <c r="EE74" s="60">
        <v>33</v>
      </c>
      <c r="EF74" s="60">
        <v>1431</v>
      </c>
      <c r="EG74" s="60">
        <v>1714</v>
      </c>
      <c r="EH74" s="60">
        <v>2037</v>
      </c>
      <c r="EI74" s="60">
        <v>2191</v>
      </c>
      <c r="EJ74" s="115">
        <v>456</v>
      </c>
      <c r="EK74" s="115">
        <v>3</v>
      </c>
      <c r="EL74" s="115">
        <v>6</v>
      </c>
      <c r="EM74" s="115">
        <v>3</v>
      </c>
      <c r="EN74" s="115">
        <v>1</v>
      </c>
      <c r="EO74" s="108">
        <v>565.78260663282254</v>
      </c>
      <c r="EP74" s="108">
        <v>545.76775257679435</v>
      </c>
      <c r="EQ74" s="108">
        <v>520.11122260607124</v>
      </c>
      <c r="ER74" s="108">
        <v>498.41104466136028</v>
      </c>
      <c r="ES74" s="108">
        <v>923.48359165796614</v>
      </c>
      <c r="ET74" s="108">
        <v>878.8637595617389</v>
      </c>
      <c r="EU74" s="108">
        <v>810.07516907293075</v>
      </c>
      <c r="EV74" s="108">
        <v>735.20393581797407</v>
      </c>
      <c r="EW74" s="108">
        <v>1025.9729845160205</v>
      </c>
      <c r="EX74" s="108">
        <v>1000.499540966036</v>
      </c>
      <c r="EY74" s="108">
        <v>914.12403658165272</v>
      </c>
      <c r="EZ74" s="108">
        <v>831.19935830994064</v>
      </c>
      <c r="FA74" s="108">
        <v>833.99304973621838</v>
      </c>
      <c r="FB74" s="108">
        <v>789.62102004908479</v>
      </c>
      <c r="FC74" s="108">
        <v>726.15845161316338</v>
      </c>
      <c r="FD74" s="108">
        <v>660.62914749505308</v>
      </c>
      <c r="FE74" s="57">
        <v>329</v>
      </c>
      <c r="FF74" s="62">
        <v>398</v>
      </c>
      <c r="FG74" s="62">
        <v>453</v>
      </c>
      <c r="FH74" s="62">
        <v>554</v>
      </c>
      <c r="FI74" s="108">
        <v>212.73040858474411</v>
      </c>
      <c r="FJ74" s="108">
        <v>200.24370537673502</v>
      </c>
      <c r="FK74" s="108">
        <v>176.8307267645273</v>
      </c>
      <c r="FL74" s="108">
        <v>181.29622530998989</v>
      </c>
      <c r="FM74" s="62">
        <v>363</v>
      </c>
      <c r="FN74" s="62">
        <v>395</v>
      </c>
      <c r="FO74" s="57">
        <v>422</v>
      </c>
      <c r="FP74" s="62">
        <v>370</v>
      </c>
      <c r="FQ74" s="108">
        <v>242.72491099113029</v>
      </c>
      <c r="FR74" s="108">
        <v>210.54999761291452</v>
      </c>
      <c r="FS74" s="108">
        <v>176.31774579882048</v>
      </c>
      <c r="FT74" s="108">
        <v>128.52991666913235</v>
      </c>
      <c r="FU74" s="60">
        <v>108</v>
      </c>
      <c r="FV74" s="60">
        <v>123</v>
      </c>
      <c r="FW74" s="60">
        <v>144</v>
      </c>
      <c r="FX74" s="60">
        <v>102</v>
      </c>
      <c r="FY74" s="108">
        <v>73.607841089901683</v>
      </c>
      <c r="FZ74" s="108">
        <v>66.977722414147962</v>
      </c>
      <c r="GA74" s="108">
        <v>61.643051074926213</v>
      </c>
      <c r="GB74" s="108">
        <v>36.662083247478066</v>
      </c>
      <c r="GC74" s="63">
        <v>78</v>
      </c>
      <c r="GD74" s="64">
        <v>88</v>
      </c>
      <c r="GE74" s="63">
        <v>149</v>
      </c>
      <c r="GF74" s="63">
        <v>134</v>
      </c>
      <c r="GG74" s="112">
        <v>38.245978165966449</v>
      </c>
      <c r="GH74" s="112">
        <v>34.154598243867056</v>
      </c>
      <c r="GI74" s="112">
        <v>45.11410345159004</v>
      </c>
      <c r="GJ74" s="112">
        <v>37.847315616555242</v>
      </c>
      <c r="GK74" s="63"/>
      <c r="GL74" s="63"/>
      <c r="GM74" s="63"/>
      <c r="GN74" s="64"/>
      <c r="GO74" s="63"/>
      <c r="GP74" s="63"/>
      <c r="GQ74" s="63"/>
      <c r="GR74" s="63"/>
      <c r="GS74" s="64"/>
      <c r="GT74" s="63"/>
      <c r="GU74" s="63"/>
      <c r="GV74" s="63"/>
      <c r="GW74" s="63"/>
      <c r="GX74" s="64"/>
      <c r="GY74" s="64"/>
      <c r="GZ74" s="64"/>
      <c r="HA74" s="64"/>
      <c r="HB74" s="64"/>
      <c r="HC74" s="64"/>
      <c r="HD74" s="65"/>
      <c r="HE74" s="65"/>
      <c r="HF74" s="65"/>
      <c r="HG74" s="65"/>
      <c r="HH74" s="65"/>
      <c r="HI74" s="66"/>
      <c r="HJ74" s="66"/>
      <c r="HK74" s="63"/>
      <c r="HL74" s="64"/>
      <c r="HM74" s="64"/>
      <c r="HN74" s="64"/>
      <c r="HO74" s="64"/>
      <c r="HP74" s="64"/>
      <c r="HQ74" s="64"/>
      <c r="HR74" s="64"/>
      <c r="HS74" s="64"/>
      <c r="HT74" s="64"/>
      <c r="HU74" s="39"/>
    </row>
    <row r="75" spans="1:229" ht="21" customHeight="1" x14ac:dyDescent="0.2">
      <c r="A75" s="37">
        <v>72</v>
      </c>
      <c r="B75" s="86" t="s">
        <v>130</v>
      </c>
      <c r="C75" s="93">
        <v>15007</v>
      </c>
      <c r="D75" s="93">
        <v>14954</v>
      </c>
      <c r="E75" s="93">
        <v>14925</v>
      </c>
      <c r="F75" s="93">
        <v>15226</v>
      </c>
      <c r="G75" s="93">
        <v>15169</v>
      </c>
      <c r="H75" s="43">
        <v>14783</v>
      </c>
      <c r="I75" s="43">
        <v>69</v>
      </c>
      <c r="J75" s="43">
        <v>38</v>
      </c>
      <c r="K75" s="43">
        <v>93</v>
      </c>
      <c r="L75" s="43">
        <v>1151</v>
      </c>
      <c r="M75" s="44">
        <v>5973</v>
      </c>
      <c r="N75" s="44">
        <v>5945</v>
      </c>
      <c r="O75" s="45">
        <v>5947</v>
      </c>
      <c r="P75" s="45">
        <v>6034</v>
      </c>
      <c r="Q75" s="46">
        <v>6039</v>
      </c>
      <c r="R75" s="105">
        <v>24.132933015840148</v>
      </c>
      <c r="S75" s="105">
        <v>24.013704318936878</v>
      </c>
      <c r="T75" s="105">
        <v>25.389259612329202</v>
      </c>
      <c r="U75" s="105">
        <v>26.105728727885424</v>
      </c>
      <c r="V75" s="105">
        <v>25.973753280839894</v>
      </c>
      <c r="W75" s="105">
        <v>31.235117506988303</v>
      </c>
      <c r="X75" s="105">
        <v>31.239617940199334</v>
      </c>
      <c r="Y75" s="105">
        <v>32.697807435653004</v>
      </c>
      <c r="Z75" s="105">
        <v>34.235467565290648</v>
      </c>
      <c r="AA75" s="105">
        <v>33.280839895013123</v>
      </c>
      <c r="AB75" s="105">
        <v>55.368050522828447</v>
      </c>
      <c r="AC75" s="105">
        <v>55.253322259136212</v>
      </c>
      <c r="AD75" s="105">
        <v>58.087067047982202</v>
      </c>
      <c r="AE75" s="105">
        <v>60.341196293176075</v>
      </c>
      <c r="AF75" s="105">
        <v>59.254593175853017</v>
      </c>
      <c r="AG75" s="46">
        <v>5.0999310820124055</v>
      </c>
      <c r="AH75" s="46">
        <v>6.1967288643169773</v>
      </c>
      <c r="AI75" s="46">
        <v>8.1735620585267412</v>
      </c>
      <c r="AJ75" s="46">
        <v>7.1631671041119862</v>
      </c>
      <c r="AK75" s="45">
        <v>6.2269872211392681</v>
      </c>
      <c r="AL75" s="49">
        <v>202.5</v>
      </c>
      <c r="AM75" s="49">
        <v>218.91666666666666</v>
      </c>
      <c r="AN75" s="49">
        <v>295.08333333333331</v>
      </c>
      <c r="AO75" s="49">
        <v>218.91666666666666</v>
      </c>
      <c r="AP75" s="49">
        <v>406.83333333333331</v>
      </c>
      <c r="AQ75" s="49">
        <v>35119.049865824076</v>
      </c>
      <c r="AR75" s="49">
        <v>38039.136653731352</v>
      </c>
      <c r="AS75" s="49">
        <v>36748.873582998858</v>
      </c>
      <c r="AT75" s="49">
        <v>38151.668326519008</v>
      </c>
      <c r="AU75" s="49">
        <v>39204.627859450193</v>
      </c>
      <c r="AV75" s="101">
        <v>54154.512843514574</v>
      </c>
      <c r="AW75" s="101">
        <v>54713.847136361321</v>
      </c>
      <c r="AX75" s="102">
        <v>51471.2168483758</v>
      </c>
      <c r="AY75" s="102">
        <v>48533.083574861506</v>
      </c>
      <c r="AZ75" s="102">
        <v>53047</v>
      </c>
      <c r="BA75" s="99">
        <v>9.0316889461898615</v>
      </c>
      <c r="BB75" s="99">
        <v>10.034719858397441</v>
      </c>
      <c r="BC75" s="99">
        <v>10.492183766810021</v>
      </c>
      <c r="BD75" s="99">
        <v>10.035913806863528</v>
      </c>
      <c r="BE75" s="99">
        <v>11.638478507921652</v>
      </c>
      <c r="BF75" s="99">
        <v>12.800875273522976</v>
      </c>
      <c r="BG75" s="99">
        <v>14.735969035111971</v>
      </c>
      <c r="BH75" s="48">
        <v>14.477285166940339</v>
      </c>
      <c r="BI75" s="48">
        <v>14.801255230125523</v>
      </c>
      <c r="BJ75" s="48">
        <v>16.898395721925134</v>
      </c>
      <c r="BK75" s="44">
        <v>2323</v>
      </c>
      <c r="BL75" s="44">
        <v>2229</v>
      </c>
      <c r="BM75" s="44">
        <v>2219</v>
      </c>
      <c r="BN75" s="42">
        <v>2214</v>
      </c>
      <c r="BO75" s="45">
        <v>38.441670253981918</v>
      </c>
      <c r="BP75" s="45">
        <v>43.606998654104977</v>
      </c>
      <c r="BQ75" s="45">
        <v>41.640378548895896</v>
      </c>
      <c r="BR75" s="46">
        <v>42.27642276422764</v>
      </c>
      <c r="BS75" s="105">
        <v>9.7718467498923811</v>
      </c>
      <c r="BT75" s="105">
        <v>10.408254822790489</v>
      </c>
      <c r="BU75" s="105">
        <v>9.7791798107255516</v>
      </c>
      <c r="BV75" s="105">
        <v>9.1689250225835597</v>
      </c>
      <c r="BW75" s="45">
        <v>14.377959535083944</v>
      </c>
      <c r="BX75" s="45">
        <v>13.862718707940781</v>
      </c>
      <c r="BY75" s="45">
        <v>14.511041009463723</v>
      </c>
      <c r="BZ75" s="45">
        <v>15.130984643179765</v>
      </c>
      <c r="CA75" s="44">
        <v>79</v>
      </c>
      <c r="CB75" s="44">
        <v>86.740331491712709</v>
      </c>
      <c r="CC75" s="44">
        <v>84.946236559139791</v>
      </c>
      <c r="CD75" s="44">
        <v>82.58</v>
      </c>
      <c r="CE75" s="45">
        <v>7.5</v>
      </c>
      <c r="CF75" s="45">
        <v>2.2099447513812156</v>
      </c>
      <c r="CG75" s="45">
        <v>3.225806451612903</v>
      </c>
      <c r="CH75" s="45">
        <v>5.0599999999999996</v>
      </c>
      <c r="CI75" s="48">
        <v>850</v>
      </c>
      <c r="CJ75" s="51">
        <v>978</v>
      </c>
      <c r="CK75" s="51">
        <v>1012</v>
      </c>
      <c r="CL75" s="57">
        <v>971</v>
      </c>
      <c r="CM75" s="108">
        <v>11.700897527669181</v>
      </c>
      <c r="CN75" s="108">
        <v>13.094297687745183</v>
      </c>
      <c r="CO75" s="108">
        <v>13.271434941117842</v>
      </c>
      <c r="CP75" s="108">
        <v>12.89834088282568</v>
      </c>
      <c r="CQ75" s="60">
        <v>37</v>
      </c>
      <c r="CR75" s="60">
        <v>41</v>
      </c>
      <c r="CS75" s="60">
        <v>42</v>
      </c>
      <c r="CT75" s="60">
        <v>37</v>
      </c>
      <c r="CU75" s="108">
        <v>4.410011918951132</v>
      </c>
      <c r="CV75" s="108">
        <v>4.3478260869565215</v>
      </c>
      <c r="CW75" s="108">
        <v>4.2682926829268295</v>
      </c>
      <c r="CX75" s="108">
        <v>3.9657020364415865</v>
      </c>
      <c r="CY75" s="61">
        <v>53</v>
      </c>
      <c r="CZ75" s="57">
        <v>77</v>
      </c>
      <c r="DA75" s="60">
        <v>73</v>
      </c>
      <c r="DB75" s="60">
        <v>58</v>
      </c>
      <c r="DC75" s="108">
        <v>6.8741893644617376</v>
      </c>
      <c r="DD75" s="108">
        <v>8.6516853932584272</v>
      </c>
      <c r="DE75" s="108">
        <v>8.1838565022421523</v>
      </c>
      <c r="DF75" s="108">
        <v>7.021791767554479</v>
      </c>
      <c r="DG75" s="108">
        <v>83.292682926829272</v>
      </c>
      <c r="DH75" s="108">
        <v>82.929399367755536</v>
      </c>
      <c r="DI75" s="108">
        <v>85.397784491440078</v>
      </c>
      <c r="DJ75" s="108">
        <v>85.373443983402495</v>
      </c>
      <c r="DK75" s="108">
        <v>10.866910866910867</v>
      </c>
      <c r="DL75" s="108">
        <v>9.2356687898089174</v>
      </c>
      <c r="DM75" s="108">
        <v>9.79020979020979</v>
      </c>
      <c r="DN75" s="108">
        <v>11.271975180972079</v>
      </c>
      <c r="DO75" s="108">
        <v>20.352941176470587</v>
      </c>
      <c r="DP75" s="108">
        <v>23.415132924335378</v>
      </c>
      <c r="DQ75" s="108">
        <v>26.904055390702275</v>
      </c>
      <c r="DR75" s="108">
        <v>31.822863027806385</v>
      </c>
      <c r="DS75" s="108">
        <v>31.347962382445139</v>
      </c>
      <c r="DT75" s="108">
        <v>36.294896030245745</v>
      </c>
      <c r="DU75" s="108">
        <v>33.156966490299823</v>
      </c>
      <c r="DV75" s="108">
        <v>27.402862985685072</v>
      </c>
      <c r="DW75" s="62">
        <v>167</v>
      </c>
      <c r="DX75" s="62">
        <v>2</v>
      </c>
      <c r="DY75" s="57">
        <v>0</v>
      </c>
      <c r="DZ75" s="60">
        <v>2</v>
      </c>
      <c r="EA75" s="60">
        <v>28</v>
      </c>
      <c r="EB75" s="60">
        <v>2</v>
      </c>
      <c r="EC75" s="60">
        <v>5</v>
      </c>
      <c r="ED75" s="57">
        <v>3</v>
      </c>
      <c r="EE75" s="60">
        <v>3</v>
      </c>
      <c r="EF75" s="60">
        <v>722</v>
      </c>
      <c r="EG75" s="60">
        <v>766</v>
      </c>
      <c r="EH75" s="60">
        <v>721</v>
      </c>
      <c r="EI75" s="60">
        <v>665</v>
      </c>
      <c r="EJ75" s="115">
        <v>150</v>
      </c>
      <c r="EK75" s="115">
        <v>0</v>
      </c>
      <c r="EL75" s="115">
        <v>1</v>
      </c>
      <c r="EM75" s="115">
        <v>0</v>
      </c>
      <c r="EN75" s="115">
        <v>0</v>
      </c>
      <c r="EO75" s="108">
        <v>993.88800176201755</v>
      </c>
      <c r="EP75" s="108">
        <v>1025.5860970156248</v>
      </c>
      <c r="EQ75" s="108">
        <v>945.52416922390955</v>
      </c>
      <c r="ER75" s="108">
        <v>883.35702235623864</v>
      </c>
      <c r="ES75" s="108">
        <v>723.03535229515182</v>
      </c>
      <c r="ET75" s="108">
        <v>750.68914442164316</v>
      </c>
      <c r="EU75" s="108">
        <v>685.85815565497182</v>
      </c>
      <c r="EV75" s="108">
        <v>641.74538366338504</v>
      </c>
      <c r="EW75" s="108">
        <v>925.28282093485404</v>
      </c>
      <c r="EX75" s="108">
        <v>929.98297360075344</v>
      </c>
      <c r="EY75" s="108">
        <v>864.87320295543509</v>
      </c>
      <c r="EZ75" s="108">
        <v>838.27049544730232</v>
      </c>
      <c r="FA75" s="108">
        <v>576.70469449896041</v>
      </c>
      <c r="FB75" s="108">
        <v>609.94391588300982</v>
      </c>
      <c r="FC75" s="108">
        <v>551.83850404617874</v>
      </c>
      <c r="FD75" s="108">
        <v>506.13715124345936</v>
      </c>
      <c r="FE75" s="57">
        <v>173</v>
      </c>
      <c r="FF75" s="62">
        <v>172</v>
      </c>
      <c r="FG75" s="62">
        <v>174</v>
      </c>
      <c r="FH75" s="62">
        <v>165</v>
      </c>
      <c r="FI75" s="108">
        <v>183.90497779221624</v>
      </c>
      <c r="FJ75" s="108">
        <v>178.1797154353909</v>
      </c>
      <c r="FK75" s="108">
        <v>180.7255527076633</v>
      </c>
      <c r="FL75" s="108">
        <v>169.84735763537336</v>
      </c>
      <c r="FM75" s="62">
        <v>203</v>
      </c>
      <c r="FN75" s="62">
        <v>218</v>
      </c>
      <c r="FO75" s="57">
        <v>202</v>
      </c>
      <c r="FP75" s="62">
        <v>157</v>
      </c>
      <c r="FQ75" s="108">
        <v>198.14738302130158</v>
      </c>
      <c r="FR75" s="108">
        <v>204.26052754289054</v>
      </c>
      <c r="FS75" s="108">
        <v>176.85882126751176</v>
      </c>
      <c r="FT75" s="108">
        <v>137.69289526083912</v>
      </c>
      <c r="FU75" s="60">
        <v>67</v>
      </c>
      <c r="FV75" s="60">
        <v>57</v>
      </c>
      <c r="FW75" s="60">
        <v>54</v>
      </c>
      <c r="FX75" s="60">
        <v>40</v>
      </c>
      <c r="FY75" s="108">
        <v>63.13422185293134</v>
      </c>
      <c r="FZ75" s="108">
        <v>53.032809690002892</v>
      </c>
      <c r="GA75" s="108">
        <v>48.309836702103496</v>
      </c>
      <c r="GB75" s="108">
        <v>36.385068905597358</v>
      </c>
      <c r="GC75" s="63">
        <v>35</v>
      </c>
      <c r="GD75" s="64">
        <v>44</v>
      </c>
      <c r="GE75" s="63">
        <v>24</v>
      </c>
      <c r="GF75" s="63">
        <v>38</v>
      </c>
      <c r="GG75" s="112">
        <v>43.812908171536577</v>
      </c>
      <c r="GH75" s="112">
        <v>49.625958336225878</v>
      </c>
      <c r="GI75" s="112">
        <v>24.531863121728843</v>
      </c>
      <c r="GJ75" s="112">
        <v>40.245414086787861</v>
      </c>
      <c r="GK75" s="63"/>
      <c r="GL75" s="63"/>
      <c r="GM75" s="63"/>
      <c r="GN75" s="64"/>
      <c r="GO75" s="63"/>
      <c r="GP75" s="63"/>
      <c r="GQ75" s="63"/>
      <c r="GR75" s="63"/>
      <c r="GS75" s="64"/>
      <c r="GT75" s="63"/>
      <c r="GU75" s="63"/>
      <c r="GV75" s="63"/>
      <c r="GW75" s="63"/>
      <c r="GX75" s="64"/>
      <c r="GY75" s="64"/>
      <c r="GZ75" s="64"/>
      <c r="HA75" s="64"/>
      <c r="HB75" s="64"/>
      <c r="HC75" s="64"/>
      <c r="HD75" s="65"/>
      <c r="HE75" s="65"/>
      <c r="HF75" s="65"/>
      <c r="HG75" s="65"/>
      <c r="HH75" s="65"/>
      <c r="HI75" s="66"/>
      <c r="HJ75" s="66"/>
      <c r="HK75" s="63"/>
      <c r="HL75" s="64"/>
      <c r="HM75" s="64"/>
      <c r="HN75" s="64"/>
      <c r="HO75" s="64"/>
      <c r="HP75" s="64"/>
      <c r="HQ75" s="64"/>
      <c r="HR75" s="64"/>
      <c r="HS75" s="64"/>
      <c r="HT75" s="64"/>
      <c r="HU75" s="39"/>
    </row>
    <row r="76" spans="1:229" x14ac:dyDescent="0.2">
      <c r="A76" s="37">
        <v>73</v>
      </c>
      <c r="B76" s="86" t="s">
        <v>131</v>
      </c>
      <c r="C76" s="93">
        <v>146051</v>
      </c>
      <c r="D76" s="93">
        <v>147076</v>
      </c>
      <c r="E76" s="93">
        <v>148955</v>
      </c>
      <c r="F76" s="93">
        <v>150642</v>
      </c>
      <c r="G76" s="93">
        <v>151343</v>
      </c>
      <c r="H76" s="43">
        <v>140319</v>
      </c>
      <c r="I76" s="43">
        <v>4897</v>
      </c>
      <c r="J76" s="43">
        <v>618</v>
      </c>
      <c r="K76" s="43">
        <v>3319</v>
      </c>
      <c r="L76" s="43">
        <v>4454</v>
      </c>
      <c r="M76" s="44">
        <v>54642</v>
      </c>
      <c r="N76" s="44">
        <v>55217</v>
      </c>
      <c r="O76" s="45">
        <v>56487</v>
      </c>
      <c r="P76" s="45">
        <v>56232</v>
      </c>
      <c r="Q76" s="46">
        <v>56514</v>
      </c>
      <c r="R76" s="105">
        <v>17.076181635031308</v>
      </c>
      <c r="S76" s="105">
        <v>17.55785249948368</v>
      </c>
      <c r="T76" s="105">
        <v>18.814813357208919</v>
      </c>
      <c r="U76" s="105">
        <v>17.621809744779583</v>
      </c>
      <c r="V76" s="105">
        <v>18.078574040923179</v>
      </c>
      <c r="W76" s="105">
        <v>27.160323134962177</v>
      </c>
      <c r="X76" s="105">
        <v>27.086673026425782</v>
      </c>
      <c r="Y76" s="105">
        <v>27.739624943426673</v>
      </c>
      <c r="Z76" s="105">
        <v>28.01044083526682</v>
      </c>
      <c r="AA76" s="105">
        <v>27.580797289753807</v>
      </c>
      <c r="AB76" s="105">
        <v>44.236504769993481</v>
      </c>
      <c r="AC76" s="105">
        <v>44.644525525909465</v>
      </c>
      <c r="AD76" s="105">
        <v>46.554438300635589</v>
      </c>
      <c r="AE76" s="105">
        <v>45.632250580046403</v>
      </c>
      <c r="AF76" s="105">
        <v>45.659371330676983</v>
      </c>
      <c r="AG76" s="46">
        <v>4.6259074818503629</v>
      </c>
      <c r="AH76" s="46">
        <v>5.5037992198776138</v>
      </c>
      <c r="AI76" s="46">
        <v>8.0712713849648612</v>
      </c>
      <c r="AJ76" s="46">
        <v>7.1815765749944385</v>
      </c>
      <c r="AK76" s="45">
        <v>6.387505552827851</v>
      </c>
      <c r="AL76" s="49">
        <v>2665.0833333333335</v>
      </c>
      <c r="AM76" s="49">
        <v>2942</v>
      </c>
      <c r="AN76" s="49">
        <v>3865</v>
      </c>
      <c r="AO76" s="49">
        <v>2942</v>
      </c>
      <c r="AP76" s="49">
        <v>5810.583333333333</v>
      </c>
      <c r="AQ76" s="49">
        <v>35930.099467351407</v>
      </c>
      <c r="AR76" s="49">
        <v>36052.515738242146</v>
      </c>
      <c r="AS76" s="49">
        <v>34594.582506076498</v>
      </c>
      <c r="AT76" s="49">
        <v>34814.09154176365</v>
      </c>
      <c r="AU76" s="49">
        <v>35504.337828640899</v>
      </c>
      <c r="AV76" s="101">
        <v>55858.842738084903</v>
      </c>
      <c r="AW76" s="101">
        <v>54369.077811270632</v>
      </c>
      <c r="AX76" s="102">
        <v>50728.888895621727</v>
      </c>
      <c r="AY76" s="102">
        <v>51779.419529845545</v>
      </c>
      <c r="AZ76" s="102">
        <v>52053</v>
      </c>
      <c r="BA76" s="99">
        <v>11.656899383836283</v>
      </c>
      <c r="BB76" s="99">
        <v>10.082380775918589</v>
      </c>
      <c r="BC76" s="99">
        <v>12.508712518569105</v>
      </c>
      <c r="BD76" s="99">
        <v>12.12822299651568</v>
      </c>
      <c r="BE76" s="99">
        <v>13.45418191159216</v>
      </c>
      <c r="BF76" s="99">
        <v>10.721874810272601</v>
      </c>
      <c r="BG76" s="99">
        <v>9.2061943665406663</v>
      </c>
      <c r="BH76" s="48">
        <v>12.376802884615385</v>
      </c>
      <c r="BI76" s="48">
        <v>12.980039687171706</v>
      </c>
      <c r="BJ76" s="48">
        <v>12.96586375055416</v>
      </c>
      <c r="BK76" s="44">
        <v>23011</v>
      </c>
      <c r="BL76" s="44">
        <v>23094</v>
      </c>
      <c r="BM76" s="44">
        <v>23264</v>
      </c>
      <c r="BN76" s="42">
        <v>23363</v>
      </c>
      <c r="BO76" s="45">
        <v>33.205858067880577</v>
      </c>
      <c r="BP76" s="45">
        <v>36.182558240235558</v>
      </c>
      <c r="BQ76" s="45">
        <v>36.335110041265473</v>
      </c>
      <c r="BR76" s="46">
        <v>35.564781920130123</v>
      </c>
      <c r="BS76" s="105">
        <v>5.6885837208291683</v>
      </c>
      <c r="BT76" s="105">
        <v>5.624837620161081</v>
      </c>
      <c r="BU76" s="105">
        <v>6.4047455295735904</v>
      </c>
      <c r="BV76" s="105">
        <v>6.4546505157728031</v>
      </c>
      <c r="BW76" s="45">
        <v>16.244404849854419</v>
      </c>
      <c r="BX76" s="45">
        <v>16.878842989521086</v>
      </c>
      <c r="BY76" s="45">
        <v>17.297111416781291</v>
      </c>
      <c r="BZ76" s="45">
        <v>17.198133801309762</v>
      </c>
      <c r="CA76" s="44">
        <v>78.759305210918114</v>
      </c>
      <c r="CB76" s="44">
        <v>80</v>
      </c>
      <c r="CC76" s="44">
        <v>84.008307372793354</v>
      </c>
      <c r="CD76" s="44">
        <v>82.32</v>
      </c>
      <c r="CE76" s="45">
        <v>2.9280397022332507</v>
      </c>
      <c r="CF76" s="45">
        <v>3.6049382716049383</v>
      </c>
      <c r="CG76" s="45">
        <v>2.3883696780893042</v>
      </c>
      <c r="CH76" s="45">
        <v>3.95</v>
      </c>
      <c r="CI76" s="48">
        <v>8170</v>
      </c>
      <c r="CJ76" s="51">
        <v>8506</v>
      </c>
      <c r="CK76" s="51">
        <v>9313</v>
      </c>
      <c r="CL76" s="57">
        <v>9801</v>
      </c>
      <c r="CM76" s="108">
        <v>13.138258867118653</v>
      </c>
      <c r="CN76" s="108">
        <v>13.012284110205144</v>
      </c>
      <c r="CO76" s="108">
        <v>13.288699967609418</v>
      </c>
      <c r="CP76" s="108">
        <v>13.172200890511204</v>
      </c>
      <c r="CQ76" s="60">
        <v>324</v>
      </c>
      <c r="CR76" s="60">
        <v>370</v>
      </c>
      <c r="CS76" s="60">
        <v>479</v>
      </c>
      <c r="CT76" s="60">
        <v>426</v>
      </c>
      <c r="CU76" s="108">
        <v>4.0632054176072234</v>
      </c>
      <c r="CV76" s="108">
        <v>4.4821320411871595</v>
      </c>
      <c r="CW76" s="108">
        <v>5.3092440700509869</v>
      </c>
      <c r="CX76" s="108">
        <v>4.4950933839822724</v>
      </c>
      <c r="CY76" s="61">
        <v>491</v>
      </c>
      <c r="CZ76" s="57">
        <v>595</v>
      </c>
      <c r="DA76" s="60">
        <v>850</v>
      </c>
      <c r="DB76" s="60">
        <v>818</v>
      </c>
      <c r="DC76" s="108">
        <v>6.3982277821214488</v>
      </c>
      <c r="DD76" s="108">
        <v>7.3375262054507342</v>
      </c>
      <c r="DE76" s="108">
        <v>9.5688393560733989</v>
      </c>
      <c r="DF76" s="108">
        <v>8.7467921300256624</v>
      </c>
      <c r="DG76" s="108">
        <v>87.282380540807509</v>
      </c>
      <c r="DH76" s="108">
        <v>89.605480746515468</v>
      </c>
      <c r="DI76" s="108">
        <v>88.116035802868538</v>
      </c>
      <c r="DJ76" s="108">
        <v>88.82178319172894</v>
      </c>
      <c r="DK76" s="108">
        <v>15.011286681715575</v>
      </c>
      <c r="DL76" s="108">
        <v>13.208215297450424</v>
      </c>
      <c r="DM76" s="108">
        <v>13.004194901581155</v>
      </c>
      <c r="DN76" s="108">
        <v>12.419503219871205</v>
      </c>
      <c r="DO76" s="108">
        <v>19.583843329253366</v>
      </c>
      <c r="DP76" s="108">
        <v>22.283631232361241</v>
      </c>
      <c r="DQ76" s="108">
        <v>25.781166111886609</v>
      </c>
      <c r="DR76" s="108">
        <v>28.897959183673468</v>
      </c>
      <c r="DS76" s="108">
        <v>18.749153919046975</v>
      </c>
      <c r="DT76" s="108">
        <v>17.603634298693922</v>
      </c>
      <c r="DU76" s="108">
        <v>18.126408685438559</v>
      </c>
      <c r="DV76" s="108">
        <v>16.297700587084147</v>
      </c>
      <c r="DW76" s="62">
        <v>1659</v>
      </c>
      <c r="DX76" s="62">
        <v>163</v>
      </c>
      <c r="DY76" s="57">
        <v>7</v>
      </c>
      <c r="DZ76" s="60">
        <v>38</v>
      </c>
      <c r="EA76" s="60">
        <v>91</v>
      </c>
      <c r="EB76" s="60">
        <v>45</v>
      </c>
      <c r="EC76" s="60">
        <v>48</v>
      </c>
      <c r="ED76" s="57">
        <v>49</v>
      </c>
      <c r="EE76" s="60">
        <v>51</v>
      </c>
      <c r="EF76" s="60">
        <v>3573</v>
      </c>
      <c r="EG76" s="60">
        <v>3796</v>
      </c>
      <c r="EH76" s="60">
        <v>3898</v>
      </c>
      <c r="EI76" s="60">
        <v>4315</v>
      </c>
      <c r="EJ76" s="115">
        <v>965</v>
      </c>
      <c r="EK76" s="115">
        <v>10</v>
      </c>
      <c r="EL76" s="115">
        <v>0</v>
      </c>
      <c r="EM76" s="115">
        <v>7</v>
      </c>
      <c r="EN76" s="115">
        <v>3</v>
      </c>
      <c r="EO76" s="108">
        <v>574.57771030862853</v>
      </c>
      <c r="EP76" s="108">
        <v>580.70339151585608</v>
      </c>
      <c r="EQ76" s="108">
        <v>556.2047940915013</v>
      </c>
      <c r="ER76" s="108">
        <v>579.92089422054732</v>
      </c>
      <c r="ES76" s="108">
        <v>684.97992745041211</v>
      </c>
      <c r="ET76" s="108">
        <v>654.57958383141124</v>
      </c>
      <c r="EU76" s="108">
        <v>582.87898099025563</v>
      </c>
      <c r="EV76" s="108">
        <v>560.0996823432356</v>
      </c>
      <c r="EW76" s="108">
        <v>911.90724060865443</v>
      </c>
      <c r="EX76" s="108">
        <v>867.71035331895064</v>
      </c>
      <c r="EY76" s="108">
        <v>739.78617511555831</v>
      </c>
      <c r="EZ76" s="108">
        <v>705.44625703374118</v>
      </c>
      <c r="FA76" s="108">
        <v>512.80373548861246</v>
      </c>
      <c r="FB76" s="108">
        <v>492.54798300529615</v>
      </c>
      <c r="FC76" s="108">
        <v>465.34631486234571</v>
      </c>
      <c r="FD76" s="108">
        <v>445.69483904688968</v>
      </c>
      <c r="FE76" s="57">
        <v>935</v>
      </c>
      <c r="FF76" s="62">
        <v>998</v>
      </c>
      <c r="FG76" s="62">
        <v>997</v>
      </c>
      <c r="FH76" s="62">
        <v>1142</v>
      </c>
      <c r="FI76" s="108">
        <v>180.89317118041168</v>
      </c>
      <c r="FJ76" s="108">
        <v>174.36637601757587</v>
      </c>
      <c r="FK76" s="108">
        <v>152.92527212675475</v>
      </c>
      <c r="FL76" s="108">
        <v>151.95203187006476</v>
      </c>
      <c r="FM76" s="62">
        <v>1021</v>
      </c>
      <c r="FN76" s="62">
        <v>1030</v>
      </c>
      <c r="FO76" s="57">
        <v>932</v>
      </c>
      <c r="FP76" s="62">
        <v>861</v>
      </c>
      <c r="FQ76" s="108">
        <v>199.78427728042686</v>
      </c>
      <c r="FR76" s="108">
        <v>178.92680092931212</v>
      </c>
      <c r="FS76" s="108">
        <v>138.67865182030135</v>
      </c>
      <c r="FT76" s="108">
        <v>109.67133939022882</v>
      </c>
      <c r="FU76" s="60">
        <v>264</v>
      </c>
      <c r="FV76" s="60">
        <v>269</v>
      </c>
      <c r="FW76" s="60">
        <v>241</v>
      </c>
      <c r="FX76" s="60">
        <v>219</v>
      </c>
      <c r="FY76" s="108">
        <v>51.610169987174437</v>
      </c>
      <c r="FZ76" s="108">
        <v>46.679624274033266</v>
      </c>
      <c r="GA76" s="108">
        <v>35.616890316882703</v>
      </c>
      <c r="GB76" s="108">
        <v>28.042131249943449</v>
      </c>
      <c r="GC76" s="63">
        <v>202</v>
      </c>
      <c r="GD76" s="64">
        <v>197</v>
      </c>
      <c r="GE76" s="63">
        <v>229</v>
      </c>
      <c r="GF76" s="63">
        <v>227</v>
      </c>
      <c r="GG76" s="112">
        <v>33.346945151189281</v>
      </c>
      <c r="GH76" s="112">
        <v>31.285222886125865</v>
      </c>
      <c r="GI76" s="112">
        <v>32.318239473393511</v>
      </c>
      <c r="GJ76" s="112">
        <v>29.590213648875086</v>
      </c>
      <c r="GK76" s="63"/>
      <c r="GL76" s="63"/>
      <c r="GM76" s="63"/>
      <c r="GN76" s="64"/>
      <c r="GO76" s="63"/>
      <c r="GP76" s="63"/>
      <c r="GQ76" s="63"/>
      <c r="GR76" s="63"/>
      <c r="GS76" s="64"/>
      <c r="GT76" s="63"/>
      <c r="GU76" s="63"/>
      <c r="GV76" s="63"/>
      <c r="GW76" s="63"/>
      <c r="GX76" s="64"/>
      <c r="GY76" s="64"/>
      <c r="GZ76" s="64"/>
      <c r="HA76" s="64"/>
      <c r="HB76" s="64"/>
      <c r="HC76" s="64"/>
      <c r="HD76" s="65"/>
      <c r="HE76" s="65"/>
      <c r="HF76" s="65"/>
      <c r="HG76" s="65"/>
      <c r="HH76" s="65"/>
      <c r="HI76" s="66"/>
      <c r="HJ76" s="66"/>
      <c r="HK76" s="63"/>
      <c r="HL76" s="64"/>
      <c r="HM76" s="64"/>
      <c r="HN76" s="64"/>
      <c r="HO76" s="64"/>
      <c r="HP76" s="64"/>
      <c r="HQ76" s="64"/>
      <c r="HR76" s="64"/>
      <c r="HS76" s="64"/>
      <c r="HT76" s="64"/>
      <c r="HU76" s="39"/>
    </row>
    <row r="77" spans="1:229" x14ac:dyDescent="0.2">
      <c r="A77" s="37">
        <v>74</v>
      </c>
      <c r="B77" s="86" t="s">
        <v>132</v>
      </c>
      <c r="C77" s="93">
        <v>36378</v>
      </c>
      <c r="D77" s="93">
        <v>36546</v>
      </c>
      <c r="E77" s="93">
        <v>36775</v>
      </c>
      <c r="F77" s="93">
        <v>36576</v>
      </c>
      <c r="G77" s="93">
        <v>36534</v>
      </c>
      <c r="H77" s="43">
        <v>34635</v>
      </c>
      <c r="I77" s="43">
        <v>1025</v>
      </c>
      <c r="J77" s="43">
        <v>116</v>
      </c>
      <c r="K77" s="43">
        <v>327</v>
      </c>
      <c r="L77" s="43">
        <v>2376</v>
      </c>
      <c r="M77" s="44">
        <v>14349</v>
      </c>
      <c r="N77" s="44">
        <v>14374</v>
      </c>
      <c r="O77" s="45">
        <v>14398</v>
      </c>
      <c r="P77" s="45">
        <v>14330</v>
      </c>
      <c r="Q77" s="46">
        <v>14343</v>
      </c>
      <c r="R77" s="105">
        <v>20.407820054656295</v>
      </c>
      <c r="S77" s="105">
        <v>20.990813373044173</v>
      </c>
      <c r="T77" s="105">
        <v>20.924142591653997</v>
      </c>
      <c r="U77" s="105">
        <v>22.608322608322609</v>
      </c>
      <c r="V77" s="105">
        <v>22.8979784540109</v>
      </c>
      <c r="W77" s="105">
        <v>32.537313432835823</v>
      </c>
      <c r="X77" s="105">
        <v>32.312597004907921</v>
      </c>
      <c r="Y77" s="105">
        <v>34.401926001013685</v>
      </c>
      <c r="Z77" s="105">
        <v>34.302874302874301</v>
      </c>
      <c r="AA77" s="105">
        <v>33.907034636679683</v>
      </c>
      <c r="AB77" s="105">
        <v>52.945133487492114</v>
      </c>
      <c r="AC77" s="105">
        <v>53.303410377952098</v>
      </c>
      <c r="AD77" s="105">
        <v>55.326068592667681</v>
      </c>
      <c r="AE77" s="105">
        <v>56.91119691119691</v>
      </c>
      <c r="AF77" s="105">
        <v>56.805013090690586</v>
      </c>
      <c r="AG77" s="46">
        <v>4.3618739903069468</v>
      </c>
      <c r="AH77" s="46">
        <v>5.028976483548063</v>
      </c>
      <c r="AI77" s="46">
        <v>8.9311368642850297</v>
      </c>
      <c r="AJ77" s="46">
        <v>7.6706280238620881</v>
      </c>
      <c r="AK77" s="45">
        <v>6.5431519699812384</v>
      </c>
      <c r="AL77" s="49">
        <v>719.33333333333337</v>
      </c>
      <c r="AM77" s="49">
        <v>759.25</v>
      </c>
      <c r="AN77" s="49">
        <v>1068.75</v>
      </c>
      <c r="AO77" s="49">
        <v>759.25</v>
      </c>
      <c r="AP77" s="49">
        <v>1570.3333333333333</v>
      </c>
      <c r="AQ77" s="49">
        <v>38110.554242121296</v>
      </c>
      <c r="AR77" s="49">
        <v>39467.770659530426</v>
      </c>
      <c r="AS77" s="49">
        <v>38569.924112726163</v>
      </c>
      <c r="AT77" s="49">
        <v>39411.871091939953</v>
      </c>
      <c r="AU77" s="49">
        <v>39554.387693655226</v>
      </c>
      <c r="AV77" s="101">
        <v>57859.341990527726</v>
      </c>
      <c r="AW77" s="101">
        <v>58960.778368160223</v>
      </c>
      <c r="AX77" s="102">
        <v>60791.207204351689</v>
      </c>
      <c r="AY77" s="102">
        <v>52681.007589793444</v>
      </c>
      <c r="AZ77" s="102">
        <v>54971</v>
      </c>
      <c r="BA77" s="99">
        <v>7.0754980190837564</v>
      </c>
      <c r="BB77" s="99">
        <v>7.6948682385575591</v>
      </c>
      <c r="BC77" s="99">
        <v>7.7462068965517243</v>
      </c>
      <c r="BD77" s="99">
        <v>10.353052111933883</v>
      </c>
      <c r="BE77" s="99">
        <v>9.6448390677025522</v>
      </c>
      <c r="BF77" s="99">
        <v>9.3203883495145625</v>
      </c>
      <c r="BG77" s="99">
        <v>9.9617695248498084</v>
      </c>
      <c r="BH77" s="48">
        <v>10.891191709844559</v>
      </c>
      <c r="BI77" s="48">
        <v>13.628691983122362</v>
      </c>
      <c r="BJ77" s="48">
        <v>13.596770766942852</v>
      </c>
      <c r="BK77" s="44">
        <v>6464</v>
      </c>
      <c r="BL77" s="44">
        <v>6454</v>
      </c>
      <c r="BM77" s="44">
        <v>6484</v>
      </c>
      <c r="BN77" s="42">
        <v>6449</v>
      </c>
      <c r="BO77" s="45">
        <v>30.043316831683168</v>
      </c>
      <c r="BP77" s="45">
        <v>33.885962193988227</v>
      </c>
      <c r="BQ77" s="45">
        <v>32.341147439851945</v>
      </c>
      <c r="BR77" s="46">
        <v>36.625833462552336</v>
      </c>
      <c r="BS77" s="105">
        <v>6.5284653465346532</v>
      </c>
      <c r="BT77" s="105">
        <v>6.4766036566470406</v>
      </c>
      <c r="BU77" s="105">
        <v>6.8013571869216536</v>
      </c>
      <c r="BV77" s="105">
        <v>6.4816250581485502</v>
      </c>
      <c r="BW77" s="45">
        <v>11.850247524752476</v>
      </c>
      <c r="BX77" s="45">
        <v>12.674310505113109</v>
      </c>
      <c r="BY77" s="45">
        <v>12.754472547809995</v>
      </c>
      <c r="BZ77" s="45">
        <v>12.668630795472167</v>
      </c>
      <c r="CA77" s="44">
        <v>81.081081081081081</v>
      </c>
      <c r="CB77" s="44">
        <v>82.918149466192176</v>
      </c>
      <c r="CC77" s="44">
        <v>85.074626865671647</v>
      </c>
      <c r="CD77" s="44">
        <v>85.77</v>
      </c>
      <c r="CE77" s="45">
        <v>5.7657657657657655</v>
      </c>
      <c r="CF77" s="45">
        <v>4.6263345195729535</v>
      </c>
      <c r="CG77" s="45">
        <v>3.3582089552238807</v>
      </c>
      <c r="CH77" s="45">
        <v>5.31</v>
      </c>
      <c r="CI77" s="48">
        <v>2077</v>
      </c>
      <c r="CJ77" s="51">
        <v>2204</v>
      </c>
      <c r="CK77" s="51">
        <v>2575</v>
      </c>
      <c r="CL77" s="57">
        <v>2586</v>
      </c>
      <c r="CM77" s="108">
        <v>13.248539279973464</v>
      </c>
      <c r="CN77" s="108">
        <v>13.502833512023281</v>
      </c>
      <c r="CO77" s="108">
        <v>14.606945531692817</v>
      </c>
      <c r="CP77" s="108">
        <v>14.145911853355141</v>
      </c>
      <c r="CQ77" s="60">
        <v>100</v>
      </c>
      <c r="CR77" s="60">
        <v>107</v>
      </c>
      <c r="CS77" s="60">
        <v>101</v>
      </c>
      <c r="CT77" s="60">
        <v>106</v>
      </c>
      <c r="CU77" s="108">
        <v>4.9726504226752857</v>
      </c>
      <c r="CV77" s="108">
        <v>5.0591016548463354</v>
      </c>
      <c r="CW77" s="108">
        <v>4.0660225442834141</v>
      </c>
      <c r="CX77" s="108">
        <v>4.2349180982820611</v>
      </c>
      <c r="CY77" s="61">
        <v>150</v>
      </c>
      <c r="CZ77" s="57">
        <v>155</v>
      </c>
      <c r="DA77" s="60">
        <v>171</v>
      </c>
      <c r="DB77" s="60">
        <v>188</v>
      </c>
      <c r="DC77" s="108">
        <v>8.5082246171298923</v>
      </c>
      <c r="DD77" s="108">
        <v>7.673267326732673</v>
      </c>
      <c r="DE77" s="108">
        <v>7.5230972283325999</v>
      </c>
      <c r="DF77" s="108">
        <v>7.8464106844741233</v>
      </c>
      <c r="DG77" s="108">
        <v>87.348178137651828</v>
      </c>
      <c r="DH77" s="108">
        <v>85.076708507670844</v>
      </c>
      <c r="DI77" s="108">
        <v>85.061581247516884</v>
      </c>
      <c r="DJ77" s="108">
        <v>86.356528537920255</v>
      </c>
      <c r="DK77" s="108">
        <v>15.44081831466147</v>
      </c>
      <c r="DL77" s="108">
        <v>17.461044912923924</v>
      </c>
      <c r="DM77" s="108">
        <v>15.159781761496493</v>
      </c>
      <c r="DN77" s="108">
        <v>14.413018209996126</v>
      </c>
      <c r="DO77" s="108">
        <v>19.171483622350674</v>
      </c>
      <c r="DP77" s="108">
        <v>25.011348161597819</v>
      </c>
      <c r="DQ77" s="108">
        <v>30.21359223300971</v>
      </c>
      <c r="DR77" s="108">
        <v>35.653518948182523</v>
      </c>
      <c r="DS77" s="108">
        <v>29.394922695170834</v>
      </c>
      <c r="DT77" s="108">
        <v>33.762844560430601</v>
      </c>
      <c r="DU77" s="108">
        <v>33.598045204642638</v>
      </c>
      <c r="DV77" s="108">
        <v>33.915047744484689</v>
      </c>
      <c r="DW77" s="62">
        <v>388</v>
      </c>
      <c r="DX77" s="62">
        <v>33</v>
      </c>
      <c r="DY77" s="57">
        <v>1</v>
      </c>
      <c r="DZ77" s="60">
        <v>14</v>
      </c>
      <c r="EA77" s="60">
        <v>53</v>
      </c>
      <c r="EB77" s="60">
        <v>16</v>
      </c>
      <c r="EC77" s="60">
        <v>11</v>
      </c>
      <c r="ED77" s="57">
        <v>17</v>
      </c>
      <c r="EE77" s="60">
        <v>7</v>
      </c>
      <c r="EF77" s="60">
        <v>1289</v>
      </c>
      <c r="EG77" s="60">
        <v>1332</v>
      </c>
      <c r="EH77" s="60">
        <v>1333</v>
      </c>
      <c r="EI77" s="60">
        <v>1381</v>
      </c>
      <c r="EJ77" s="115">
        <v>274</v>
      </c>
      <c r="EK77" s="115">
        <v>3</v>
      </c>
      <c r="EL77" s="115">
        <v>0</v>
      </c>
      <c r="EM77" s="115">
        <v>1</v>
      </c>
      <c r="EN77" s="115">
        <v>5</v>
      </c>
      <c r="EO77" s="108">
        <v>822.21315030745291</v>
      </c>
      <c r="EP77" s="108">
        <v>816.05146270485523</v>
      </c>
      <c r="EQ77" s="108">
        <v>756.15760752413689</v>
      </c>
      <c r="ER77" s="108">
        <v>755.4332664146732</v>
      </c>
      <c r="ES77" s="108">
        <v>740.38058855279928</v>
      </c>
      <c r="ET77" s="108">
        <v>722.52795714207832</v>
      </c>
      <c r="EU77" s="108">
        <v>662.52015236306647</v>
      </c>
      <c r="EV77" s="108">
        <v>622.65568982707589</v>
      </c>
      <c r="EW77" s="108">
        <v>924.45887362225506</v>
      </c>
      <c r="EX77" s="108">
        <v>873.91360066284506</v>
      </c>
      <c r="EY77" s="108">
        <v>797.57220890985445</v>
      </c>
      <c r="EZ77" s="108">
        <v>758.4504634987303</v>
      </c>
      <c r="FA77" s="108">
        <v>613.71103225277056</v>
      </c>
      <c r="FB77" s="108">
        <v>610.53977769324422</v>
      </c>
      <c r="FC77" s="108">
        <v>562.24465066418327</v>
      </c>
      <c r="FD77" s="108">
        <v>517.02308615916957</v>
      </c>
      <c r="FE77" s="57">
        <v>322</v>
      </c>
      <c r="FF77" s="62">
        <v>298</v>
      </c>
      <c r="FG77" s="62">
        <v>333</v>
      </c>
      <c r="FH77" s="62">
        <v>331</v>
      </c>
      <c r="FI77" s="108">
        <v>191.44624875061544</v>
      </c>
      <c r="FJ77" s="108">
        <v>169.37931124569593</v>
      </c>
      <c r="FK77" s="108">
        <v>176.07887302712948</v>
      </c>
      <c r="FL77" s="108">
        <v>157.95163545910225</v>
      </c>
      <c r="FM77" s="62">
        <v>363</v>
      </c>
      <c r="FN77" s="62">
        <v>379</v>
      </c>
      <c r="FO77" s="57">
        <v>337</v>
      </c>
      <c r="FP77" s="62">
        <v>320</v>
      </c>
      <c r="FQ77" s="108">
        <v>206.8147431574881</v>
      </c>
      <c r="FR77" s="108">
        <v>202.16996735836346</v>
      </c>
      <c r="FS77" s="108">
        <v>162.52999132477905</v>
      </c>
      <c r="FT77" s="108">
        <v>138.31344222458608</v>
      </c>
      <c r="FU77" s="60">
        <v>104</v>
      </c>
      <c r="FV77" s="60">
        <v>87</v>
      </c>
      <c r="FW77" s="60">
        <v>100</v>
      </c>
      <c r="FX77" s="60">
        <v>84</v>
      </c>
      <c r="FY77" s="108">
        <v>57.428140995767315</v>
      </c>
      <c r="FZ77" s="108">
        <v>46.060954630788665</v>
      </c>
      <c r="GA77" s="108">
        <v>46.78048282543962</v>
      </c>
      <c r="GB77" s="108">
        <v>35.19165158460207</v>
      </c>
      <c r="GC77" s="63">
        <v>58</v>
      </c>
      <c r="GD77" s="64">
        <v>60</v>
      </c>
      <c r="GE77" s="63">
        <v>86</v>
      </c>
      <c r="GF77" s="63">
        <v>71</v>
      </c>
      <c r="GG77" s="112">
        <v>35.974426684344564</v>
      </c>
      <c r="GH77" s="112">
        <v>34.277565503583602</v>
      </c>
      <c r="GI77" s="112">
        <v>44.56970934189895</v>
      </c>
      <c r="GJ77" s="112">
        <v>34.564100853834539</v>
      </c>
      <c r="GK77" s="63"/>
      <c r="GL77" s="63"/>
      <c r="GM77" s="63"/>
      <c r="GN77" s="64"/>
      <c r="GO77" s="63"/>
      <c r="GP77" s="63"/>
      <c r="GQ77" s="63"/>
      <c r="GR77" s="63"/>
      <c r="GS77" s="64"/>
      <c r="GT77" s="63"/>
      <c r="GU77" s="63"/>
      <c r="GV77" s="63"/>
      <c r="GW77" s="63"/>
      <c r="GX77" s="64"/>
      <c r="GY77" s="64"/>
      <c r="GZ77" s="64"/>
      <c r="HA77" s="64"/>
      <c r="HB77" s="64"/>
      <c r="HC77" s="64"/>
      <c r="HD77" s="65"/>
      <c r="HE77" s="65"/>
      <c r="HF77" s="65"/>
      <c r="HG77" s="65"/>
      <c r="HH77" s="65"/>
      <c r="HI77" s="66"/>
      <c r="HJ77" s="66"/>
      <c r="HK77" s="63"/>
      <c r="HL77" s="64"/>
      <c r="HM77" s="64"/>
      <c r="HN77" s="64"/>
      <c r="HO77" s="64"/>
      <c r="HP77" s="64"/>
      <c r="HQ77" s="64"/>
      <c r="HR77" s="64"/>
      <c r="HS77" s="64"/>
      <c r="HT77" s="64"/>
      <c r="HU77" s="39"/>
    </row>
    <row r="78" spans="1:229" x14ac:dyDescent="0.2">
      <c r="A78" s="37">
        <v>75</v>
      </c>
      <c r="B78" s="86" t="s">
        <v>133</v>
      </c>
      <c r="C78" s="93">
        <v>9624</v>
      </c>
      <c r="D78" s="93">
        <v>9661</v>
      </c>
      <c r="E78" s="93">
        <v>9629</v>
      </c>
      <c r="F78" s="93">
        <v>9726</v>
      </c>
      <c r="G78" s="93">
        <v>9685</v>
      </c>
      <c r="H78" s="43">
        <v>9044</v>
      </c>
      <c r="I78" s="43">
        <v>151</v>
      </c>
      <c r="J78" s="43">
        <v>129</v>
      </c>
      <c r="K78" s="43">
        <v>166</v>
      </c>
      <c r="L78" s="43">
        <v>385</v>
      </c>
      <c r="M78" s="44">
        <v>3873</v>
      </c>
      <c r="N78" s="44">
        <v>3873</v>
      </c>
      <c r="O78" s="45">
        <v>3877</v>
      </c>
      <c r="P78" s="45">
        <v>3726</v>
      </c>
      <c r="Q78" s="46">
        <v>3724</v>
      </c>
      <c r="R78" s="105">
        <v>24.992343032159265</v>
      </c>
      <c r="S78" s="105">
        <v>25.260736196319019</v>
      </c>
      <c r="T78" s="105">
        <v>25.054500155714731</v>
      </c>
      <c r="U78" s="105">
        <v>24.875389408099689</v>
      </c>
      <c r="V78" s="105">
        <v>24.338951600432967</v>
      </c>
      <c r="W78" s="105">
        <v>22.38897396630934</v>
      </c>
      <c r="X78" s="105">
        <v>22.914110429447852</v>
      </c>
      <c r="Y78" s="105">
        <v>24.883213952039863</v>
      </c>
      <c r="Z78" s="105">
        <v>26.619937694704049</v>
      </c>
      <c r="AA78" s="105">
        <v>25.421370032472552</v>
      </c>
      <c r="AB78" s="105">
        <v>47.381316998468606</v>
      </c>
      <c r="AC78" s="105">
        <v>48.174846625766868</v>
      </c>
      <c r="AD78" s="105">
        <v>49.937714107754594</v>
      </c>
      <c r="AE78" s="105">
        <v>51.495327102803735</v>
      </c>
      <c r="AF78" s="105">
        <v>49.760321632905523</v>
      </c>
      <c r="AG78" s="46">
        <v>3.7719142907738621</v>
      </c>
      <c r="AH78" s="46">
        <v>4.6202867764206053</v>
      </c>
      <c r="AI78" s="46">
        <v>5.5663889381315368</v>
      </c>
      <c r="AJ78" s="46">
        <v>5.3463984871927108</v>
      </c>
      <c r="AK78" s="45">
        <v>4.7546272711835629</v>
      </c>
      <c r="AL78" s="49">
        <v>136.75</v>
      </c>
      <c r="AM78" s="49">
        <v>154.33333333333334</v>
      </c>
      <c r="AN78" s="49">
        <v>185.08333333333334</v>
      </c>
      <c r="AO78" s="49">
        <v>154.33333333333334</v>
      </c>
      <c r="AP78" s="49">
        <v>268.91666666666669</v>
      </c>
      <c r="AQ78" s="49">
        <v>39812.237832002902</v>
      </c>
      <c r="AR78" s="49">
        <v>44182.475777528962</v>
      </c>
      <c r="AS78" s="49">
        <v>39318.056282496567</v>
      </c>
      <c r="AT78" s="49">
        <v>43158.005230691982</v>
      </c>
      <c r="AU78" s="49">
        <v>43547.134744450181</v>
      </c>
      <c r="AV78" s="101">
        <v>48697.619546449823</v>
      </c>
      <c r="AW78" s="101">
        <v>52077.928932713432</v>
      </c>
      <c r="AX78" s="102">
        <v>56501.851759836296</v>
      </c>
      <c r="AY78" s="102">
        <v>50428.069005209669</v>
      </c>
      <c r="AZ78" s="102">
        <v>46892</v>
      </c>
      <c r="BA78" s="99">
        <v>13.366617496879609</v>
      </c>
      <c r="BB78" s="99">
        <v>12.319004524886878</v>
      </c>
      <c r="BC78" s="99">
        <v>12.095400340715502</v>
      </c>
      <c r="BD78" s="99">
        <v>11.413777577667718</v>
      </c>
      <c r="BE78" s="99">
        <v>13.255735111312013</v>
      </c>
      <c r="BF78" s="99">
        <v>9.9258414147176275</v>
      </c>
      <c r="BG78" s="99">
        <v>9.0449438202247183</v>
      </c>
      <c r="BH78" s="48">
        <v>10.23454157782516</v>
      </c>
      <c r="BI78" s="48">
        <v>11.00597609561753</v>
      </c>
      <c r="BJ78" s="48">
        <v>12.157268494568029</v>
      </c>
      <c r="BK78" s="44">
        <v>1397</v>
      </c>
      <c r="BL78" s="44">
        <v>1489</v>
      </c>
      <c r="BM78" s="44">
        <v>1411</v>
      </c>
      <c r="BN78" s="42">
        <v>1458</v>
      </c>
      <c r="BO78" s="45">
        <v>27.201145311381531</v>
      </c>
      <c r="BP78" s="45">
        <v>29.214237743451982</v>
      </c>
      <c r="BQ78" s="45">
        <v>29.128277817150956</v>
      </c>
      <c r="BR78" s="46">
        <v>29.561042524005487</v>
      </c>
      <c r="BS78" s="105">
        <v>1.8611309949892627</v>
      </c>
      <c r="BT78" s="105">
        <v>1.1417058428475486</v>
      </c>
      <c r="BU78" s="105">
        <v>1.559177888022679</v>
      </c>
      <c r="BV78" s="105">
        <v>1.9890260631001371</v>
      </c>
      <c r="BW78" s="45">
        <v>19.398711524695777</v>
      </c>
      <c r="BX78" s="45">
        <v>19.140362659503023</v>
      </c>
      <c r="BY78" s="45">
        <v>19.489723600283487</v>
      </c>
      <c r="BZ78" s="45">
        <v>18.930041152263374</v>
      </c>
      <c r="CA78" s="44">
        <v>88.372093023255815</v>
      </c>
      <c r="CB78" s="44">
        <v>95.934959349593498</v>
      </c>
      <c r="CC78" s="44">
        <v>89.473684210526315</v>
      </c>
      <c r="CD78" s="44">
        <v>89.81</v>
      </c>
      <c r="CE78" s="45">
        <v>3.8759689922480618</v>
      </c>
      <c r="CF78" s="45">
        <v>0</v>
      </c>
      <c r="CG78" s="45">
        <v>0</v>
      </c>
      <c r="CH78" s="45">
        <v>0.93</v>
      </c>
      <c r="CI78" s="48">
        <v>453</v>
      </c>
      <c r="CJ78" s="51">
        <v>534</v>
      </c>
      <c r="CK78" s="51">
        <v>533</v>
      </c>
      <c r="CL78" s="57">
        <v>592</v>
      </c>
      <c r="CM78" s="108">
        <v>8.7433170562235816</v>
      </c>
      <c r="CN78" s="108">
        <v>10.6198914145934</v>
      </c>
      <c r="CO78" s="108">
        <v>10.797779668570966</v>
      </c>
      <c r="CP78" s="108">
        <v>12.250387997930678</v>
      </c>
      <c r="CQ78" s="60">
        <v>22</v>
      </c>
      <c r="CR78" s="60">
        <v>17</v>
      </c>
      <c r="CS78" s="60">
        <v>24</v>
      </c>
      <c r="CT78" s="60">
        <v>20</v>
      </c>
      <c r="CU78" s="108">
        <v>4.9217002237136462</v>
      </c>
      <c r="CV78" s="108">
        <v>3.2755298651252409</v>
      </c>
      <c r="CW78" s="108">
        <v>4.5889101338432123</v>
      </c>
      <c r="CX78" s="108">
        <v>3.4602076124567476</v>
      </c>
      <c r="CY78" s="61">
        <v>30</v>
      </c>
      <c r="CZ78" s="57">
        <v>34</v>
      </c>
      <c r="DA78" s="60">
        <v>32</v>
      </c>
      <c r="DB78" s="60">
        <v>39</v>
      </c>
      <c r="DC78" s="108">
        <v>6.8649885583524028</v>
      </c>
      <c r="DD78" s="108">
        <v>6.6536203522504893</v>
      </c>
      <c r="DE78" s="108">
        <v>6.3116370808678504</v>
      </c>
      <c r="DF78" s="108">
        <v>6.8301225919439581</v>
      </c>
      <c r="DG78" s="108">
        <v>80.045351473922906</v>
      </c>
      <c r="DH78" s="108">
        <v>81.132075471698116</v>
      </c>
      <c r="DI78" s="108">
        <v>89.433962264150949</v>
      </c>
      <c r="DJ78" s="108">
        <v>91.836734693877546</v>
      </c>
      <c r="DK78" s="108">
        <v>7.7922077922077921</v>
      </c>
      <c r="DL78" s="108">
        <v>6.7796610169491522</v>
      </c>
      <c r="DM78" s="108">
        <v>8.6792452830188687</v>
      </c>
      <c r="DN78" s="108">
        <v>9.4594594594594597</v>
      </c>
      <c r="DO78" s="108">
        <v>12.803532008830022</v>
      </c>
      <c r="DP78" s="108">
        <v>17.415730337078653</v>
      </c>
      <c r="DQ78" s="108">
        <v>20.45028142589118</v>
      </c>
      <c r="DR78" s="108">
        <v>20.945945945945947</v>
      </c>
      <c r="DS78" s="108" t="s">
        <v>39</v>
      </c>
      <c r="DT78" s="108">
        <v>9.9286379149860373</v>
      </c>
      <c r="DU78" s="108">
        <v>8.0570189030058881</v>
      </c>
      <c r="DV78" s="108">
        <v>10.2184637068358</v>
      </c>
      <c r="DW78" s="62">
        <v>102</v>
      </c>
      <c r="DX78" s="62">
        <v>18</v>
      </c>
      <c r="DY78" s="57">
        <v>2</v>
      </c>
      <c r="DZ78" s="60">
        <v>2</v>
      </c>
      <c r="EA78" s="60">
        <v>9</v>
      </c>
      <c r="EB78" s="60">
        <v>4</v>
      </c>
      <c r="EC78" s="60">
        <v>6</v>
      </c>
      <c r="ED78" s="57">
        <v>4</v>
      </c>
      <c r="EE78" s="60">
        <v>3</v>
      </c>
      <c r="EF78" s="60">
        <v>472</v>
      </c>
      <c r="EG78" s="60">
        <v>473</v>
      </c>
      <c r="EH78" s="60">
        <v>393</v>
      </c>
      <c r="EI78" s="60">
        <v>440</v>
      </c>
      <c r="EJ78" s="115">
        <v>75</v>
      </c>
      <c r="EK78" s="115">
        <v>1</v>
      </c>
      <c r="EL78" s="115">
        <v>0</v>
      </c>
      <c r="EM78" s="115">
        <v>0</v>
      </c>
      <c r="EN78" s="115">
        <v>3</v>
      </c>
      <c r="EO78" s="108">
        <v>911.00345486479705</v>
      </c>
      <c r="EP78" s="108">
        <v>940.67577511286117</v>
      </c>
      <c r="EQ78" s="108">
        <v>796.1589886957579</v>
      </c>
      <c r="ER78" s="108">
        <v>910.50181065700986</v>
      </c>
      <c r="ES78" s="108">
        <v>708.94931787980704</v>
      </c>
      <c r="ET78" s="108">
        <v>675.03806540472181</v>
      </c>
      <c r="EU78" s="108">
        <v>534.50333732455783</v>
      </c>
      <c r="EV78" s="108">
        <v>606.49489234920816</v>
      </c>
      <c r="EW78" s="108">
        <v>953.64190028402891</v>
      </c>
      <c r="EX78" s="108">
        <v>794.13628983305694</v>
      </c>
      <c r="EY78" s="108">
        <v>628.26553898040788</v>
      </c>
      <c r="EZ78" s="108">
        <v>728.92976577215927</v>
      </c>
      <c r="FA78" s="108">
        <v>538.8115402972968</v>
      </c>
      <c r="FB78" s="108">
        <v>590.00655531233861</v>
      </c>
      <c r="FC78" s="108">
        <v>460.62949452571632</v>
      </c>
      <c r="FD78" s="108">
        <v>497.37755754272717</v>
      </c>
      <c r="FE78" s="57">
        <v>100</v>
      </c>
      <c r="FF78" s="62">
        <v>102</v>
      </c>
      <c r="FG78" s="62">
        <v>103</v>
      </c>
      <c r="FH78" s="62">
        <v>98</v>
      </c>
      <c r="FI78" s="108">
        <v>160.15106781613989</v>
      </c>
      <c r="FJ78" s="108">
        <v>165.1649761479631</v>
      </c>
      <c r="FK78" s="108">
        <v>151.83585502211486</v>
      </c>
      <c r="FL78" s="108">
        <v>145.2355848636947</v>
      </c>
      <c r="FM78" s="62">
        <v>158</v>
      </c>
      <c r="FN78" s="62">
        <v>110</v>
      </c>
      <c r="FO78" s="57">
        <v>78</v>
      </c>
      <c r="FP78" s="62">
        <v>94</v>
      </c>
      <c r="FQ78" s="108">
        <v>223.27719157808605</v>
      </c>
      <c r="FR78" s="108">
        <v>149.9703012538734</v>
      </c>
      <c r="FS78" s="108">
        <v>96.935885779492978</v>
      </c>
      <c r="FT78" s="108">
        <v>116.97053752706148</v>
      </c>
      <c r="FU78" s="60">
        <v>34</v>
      </c>
      <c r="FV78" s="60">
        <v>36</v>
      </c>
      <c r="FW78" s="60">
        <v>36</v>
      </c>
      <c r="FX78" s="60">
        <v>20</v>
      </c>
      <c r="FY78" s="108">
        <v>46.220027023975113</v>
      </c>
      <c r="FZ78" s="108">
        <v>46.064045810508809</v>
      </c>
      <c r="GA78" s="108">
        <v>46.479099891543676</v>
      </c>
      <c r="GB78" s="108">
        <v>25.149667975291635</v>
      </c>
      <c r="GC78" s="63">
        <v>18</v>
      </c>
      <c r="GD78" s="64">
        <v>26</v>
      </c>
      <c r="GE78" s="63">
        <v>24</v>
      </c>
      <c r="GF78" s="63">
        <v>25</v>
      </c>
      <c r="GG78" s="112" t="s">
        <v>39</v>
      </c>
      <c r="GH78" s="112">
        <v>42.181588926879108</v>
      </c>
      <c r="GI78" s="112">
        <v>34.228830666071346</v>
      </c>
      <c r="GJ78" s="112">
        <v>50.85767399915504</v>
      </c>
      <c r="GK78" s="63"/>
      <c r="GL78" s="63"/>
      <c r="GM78" s="63"/>
      <c r="GN78" s="64"/>
      <c r="GO78" s="63"/>
      <c r="GP78" s="63"/>
      <c r="GQ78" s="63"/>
      <c r="GR78" s="63"/>
      <c r="GS78" s="64"/>
      <c r="GT78" s="63"/>
      <c r="GU78" s="63"/>
      <c r="GV78" s="63"/>
      <c r="GW78" s="63"/>
      <c r="GX78" s="64"/>
      <c r="GY78" s="64"/>
      <c r="GZ78" s="64"/>
      <c r="HA78" s="64"/>
      <c r="HB78" s="64"/>
      <c r="HC78" s="64"/>
      <c r="HD78" s="65"/>
      <c r="HE78" s="65"/>
      <c r="HF78" s="65"/>
      <c r="HG78" s="65"/>
      <c r="HH78" s="65"/>
      <c r="HI78" s="66"/>
      <c r="HJ78" s="66"/>
      <c r="HK78" s="63"/>
      <c r="HL78" s="64"/>
      <c r="HM78" s="64"/>
      <c r="HN78" s="64"/>
      <c r="HO78" s="64"/>
      <c r="HP78" s="64"/>
      <c r="HQ78" s="64"/>
      <c r="HR78" s="64"/>
      <c r="HS78" s="64"/>
      <c r="HT78" s="64"/>
      <c r="HU78" s="39"/>
    </row>
    <row r="79" spans="1:229" x14ac:dyDescent="0.2">
      <c r="A79" s="37">
        <v>76</v>
      </c>
      <c r="B79" s="86" t="s">
        <v>134</v>
      </c>
      <c r="C79" s="93">
        <v>11192</v>
      </c>
      <c r="D79" s="93">
        <v>11035</v>
      </c>
      <c r="E79" s="93">
        <v>10823</v>
      </c>
      <c r="F79" s="93">
        <v>9783</v>
      </c>
      <c r="G79" s="93">
        <v>9640</v>
      </c>
      <c r="H79" s="43">
        <v>9405</v>
      </c>
      <c r="I79" s="43">
        <v>66</v>
      </c>
      <c r="J79" s="43">
        <v>51</v>
      </c>
      <c r="K79" s="43">
        <v>26</v>
      </c>
      <c r="L79" s="43">
        <v>392</v>
      </c>
      <c r="M79" s="44">
        <v>4304</v>
      </c>
      <c r="N79" s="44">
        <v>4310</v>
      </c>
      <c r="O79" s="45">
        <v>4289</v>
      </c>
      <c r="P79" s="45">
        <v>4236</v>
      </c>
      <c r="Q79" s="46">
        <v>4216</v>
      </c>
      <c r="R79" s="105">
        <v>27.546763558067553</v>
      </c>
      <c r="S79" s="105">
        <v>27.998357064622123</v>
      </c>
      <c r="T79" s="105">
        <v>27.547434996486295</v>
      </c>
      <c r="U79" s="105">
        <v>32.372797628849007</v>
      </c>
      <c r="V79" s="105">
        <v>32.396251673360105</v>
      </c>
      <c r="W79" s="105">
        <v>23.065536266989639</v>
      </c>
      <c r="X79" s="105">
        <v>23.083242059145675</v>
      </c>
      <c r="Y79" s="105">
        <v>24.567814476458185</v>
      </c>
      <c r="Z79" s="105">
        <v>28.717273176354354</v>
      </c>
      <c r="AA79" s="105">
        <v>28.91566265060241</v>
      </c>
      <c r="AB79" s="105">
        <v>50.612299825057192</v>
      </c>
      <c r="AC79" s="105">
        <v>51.081599123767802</v>
      </c>
      <c r="AD79" s="105">
        <v>52.115249472944484</v>
      </c>
      <c r="AE79" s="105">
        <v>61.090070805203361</v>
      </c>
      <c r="AF79" s="105">
        <v>61.311914323962519</v>
      </c>
      <c r="AG79" s="46">
        <v>5.2987598647125145</v>
      </c>
      <c r="AH79" s="46">
        <v>6.0270837306885374</v>
      </c>
      <c r="AI79" s="46">
        <v>7.442955450923578</v>
      </c>
      <c r="AJ79" s="46">
        <v>8.0043859649122808</v>
      </c>
      <c r="AK79" s="45">
        <v>7.4660633484162897</v>
      </c>
      <c r="AL79" s="49">
        <v>205.08333333333334</v>
      </c>
      <c r="AM79" s="49">
        <v>230.83333333333334</v>
      </c>
      <c r="AN79" s="49">
        <v>283</v>
      </c>
      <c r="AO79" s="49">
        <v>230.83333333333334</v>
      </c>
      <c r="AP79" s="49">
        <v>425.66666666666669</v>
      </c>
      <c r="AQ79" s="49">
        <v>33369.173232749446</v>
      </c>
      <c r="AR79" s="49">
        <v>38133.367202127454</v>
      </c>
      <c r="AS79" s="49">
        <v>36899.722662546723</v>
      </c>
      <c r="AT79" s="49">
        <v>38669.706781951631</v>
      </c>
      <c r="AU79" s="49">
        <v>39922.925311203318</v>
      </c>
      <c r="AV79" s="101">
        <v>43936.127562191934</v>
      </c>
      <c r="AW79" s="101">
        <v>45580.59428804987</v>
      </c>
      <c r="AX79" s="102">
        <v>46606.242694733308</v>
      </c>
      <c r="AY79" s="102">
        <v>44725.57610430348</v>
      </c>
      <c r="AZ79" s="102">
        <v>46209</v>
      </c>
      <c r="BA79" s="99">
        <v>11.70338527673294</v>
      </c>
      <c r="BB79" s="99">
        <v>11.73469387755102</v>
      </c>
      <c r="BC79" s="99">
        <v>11.429842116966867</v>
      </c>
      <c r="BD79" s="99">
        <v>9.9301865166197771</v>
      </c>
      <c r="BE79" s="99">
        <v>10.542422963275644</v>
      </c>
      <c r="BF79" s="99">
        <v>11.660950514453699</v>
      </c>
      <c r="BG79" s="99">
        <v>11.933174224343675</v>
      </c>
      <c r="BH79" s="48">
        <v>13.25187969924812</v>
      </c>
      <c r="BI79" s="48">
        <v>13.736521331458039</v>
      </c>
      <c r="BJ79" s="48">
        <v>15.016738402678145</v>
      </c>
      <c r="BK79" s="44">
        <v>1535</v>
      </c>
      <c r="BL79" s="44">
        <v>1507</v>
      </c>
      <c r="BM79" s="44">
        <v>1527</v>
      </c>
      <c r="BN79" s="42">
        <v>1483</v>
      </c>
      <c r="BO79" s="45">
        <v>32.11726384364821</v>
      </c>
      <c r="BP79" s="45">
        <v>34.771068347710681</v>
      </c>
      <c r="BQ79" s="45">
        <v>37.917485265225935</v>
      </c>
      <c r="BR79" s="46">
        <v>37.491571139581929</v>
      </c>
      <c r="BS79" s="105">
        <v>1.3029315960912051</v>
      </c>
      <c r="BT79" s="105">
        <v>1.3934970139349701</v>
      </c>
      <c r="BU79" s="105">
        <v>1.7026850032743943</v>
      </c>
      <c r="BV79" s="105">
        <v>2.22521915037087</v>
      </c>
      <c r="BW79" s="45">
        <v>15.895765472312704</v>
      </c>
      <c r="BX79" s="45">
        <v>14.863968148639682</v>
      </c>
      <c r="BY79" s="45">
        <v>15.324165029469548</v>
      </c>
      <c r="BZ79" s="45">
        <v>15.374241402562374</v>
      </c>
      <c r="CA79" s="44">
        <v>81.366459627329192</v>
      </c>
      <c r="CB79" s="44">
        <v>86.111111111111114</v>
      </c>
      <c r="CC79" s="44">
        <v>82.065217391304344</v>
      </c>
      <c r="CD79" s="44">
        <v>76.92</v>
      </c>
      <c r="CE79" s="45">
        <v>1.2422360248447204</v>
      </c>
      <c r="CF79" s="45">
        <v>1.3888888888888888</v>
      </c>
      <c r="CG79" s="45">
        <v>1.6304347826086956</v>
      </c>
      <c r="CH79" s="45">
        <v>3.08</v>
      </c>
      <c r="CI79" s="48">
        <v>597</v>
      </c>
      <c r="CJ79" s="51">
        <v>634</v>
      </c>
      <c r="CK79" s="51">
        <v>600</v>
      </c>
      <c r="CL79" s="57">
        <v>549</v>
      </c>
      <c r="CM79" s="108">
        <v>11.147626694551294</v>
      </c>
      <c r="CN79" s="108">
        <v>11.208938863547965</v>
      </c>
      <c r="CO79" s="108">
        <v>10.644526052477513</v>
      </c>
      <c r="CP79" s="108">
        <v>10.462523583557259</v>
      </c>
      <c r="CQ79" s="60">
        <v>16</v>
      </c>
      <c r="CR79" s="60">
        <v>33</v>
      </c>
      <c r="CS79" s="60">
        <v>18</v>
      </c>
      <c r="CT79" s="60">
        <v>23</v>
      </c>
      <c r="CU79" s="108">
        <v>2.7444253859348198</v>
      </c>
      <c r="CV79" s="108">
        <v>5.2884615384615383</v>
      </c>
      <c r="CW79" s="108">
        <v>3.0927835051546393</v>
      </c>
      <c r="CX79" s="108">
        <v>4.3314500941619585</v>
      </c>
      <c r="CY79" s="61">
        <v>22</v>
      </c>
      <c r="CZ79" s="57">
        <v>41</v>
      </c>
      <c r="DA79" s="60">
        <v>26</v>
      </c>
      <c r="DB79" s="60">
        <v>34</v>
      </c>
      <c r="DC79" s="108">
        <v>3.8938053097345131</v>
      </c>
      <c r="DD79" s="108">
        <v>6.9373942470389167</v>
      </c>
      <c r="DE79" s="108">
        <v>4.7358834244080148</v>
      </c>
      <c r="DF79" s="108">
        <v>6.8136272545090177</v>
      </c>
      <c r="DG79" s="108">
        <v>86.655405405405403</v>
      </c>
      <c r="DH79" s="108">
        <v>84.848484848484844</v>
      </c>
      <c r="DI79" s="108">
        <v>89.001692047377333</v>
      </c>
      <c r="DJ79" s="108">
        <v>91.094619666048231</v>
      </c>
      <c r="DK79" s="108">
        <v>13.230240549828178</v>
      </c>
      <c r="DL79" s="108">
        <v>17.405063291139239</v>
      </c>
      <c r="DM79" s="108">
        <v>18.855218855218855</v>
      </c>
      <c r="DN79" s="108">
        <v>17.883211678832115</v>
      </c>
      <c r="DO79" s="108">
        <v>18.425460636515911</v>
      </c>
      <c r="DP79" s="108">
        <v>22.870662460567825</v>
      </c>
      <c r="DQ79" s="108">
        <v>28.166666666666668</v>
      </c>
      <c r="DR79" s="108">
        <v>32.422586520947178</v>
      </c>
      <c r="DS79" s="108">
        <v>36.363636363636367</v>
      </c>
      <c r="DT79" s="108">
        <v>26.995305164319248</v>
      </c>
      <c r="DU79" s="108">
        <v>30.750307503075032</v>
      </c>
      <c r="DV79" s="108">
        <v>25.851197982345525</v>
      </c>
      <c r="DW79" s="62">
        <v>101</v>
      </c>
      <c r="DX79" s="62">
        <v>95</v>
      </c>
      <c r="DY79" s="57">
        <v>1</v>
      </c>
      <c r="DZ79" s="60">
        <v>3</v>
      </c>
      <c r="EA79" s="60">
        <v>10</v>
      </c>
      <c r="EB79" s="60">
        <v>3</v>
      </c>
      <c r="EC79" s="60">
        <v>1</v>
      </c>
      <c r="ED79" s="57">
        <v>3</v>
      </c>
      <c r="EE79" s="60">
        <v>2</v>
      </c>
      <c r="EF79" s="60">
        <v>709</v>
      </c>
      <c r="EG79" s="60">
        <v>671</v>
      </c>
      <c r="EH79" s="60">
        <v>590</v>
      </c>
      <c r="EI79" s="60">
        <v>586</v>
      </c>
      <c r="EJ79" s="115">
        <v>112</v>
      </c>
      <c r="EK79" s="115">
        <v>0</v>
      </c>
      <c r="EL79" s="115">
        <v>1</v>
      </c>
      <c r="EM79" s="115">
        <v>0</v>
      </c>
      <c r="EN79" s="115">
        <v>3</v>
      </c>
      <c r="EO79" s="108">
        <v>1323.8973746125407</v>
      </c>
      <c r="EP79" s="108">
        <v>1186.3088292493194</v>
      </c>
      <c r="EQ79" s="108">
        <v>1046.7117284936221</v>
      </c>
      <c r="ER79" s="108">
        <v>1116.7648123797001</v>
      </c>
      <c r="ES79" s="108">
        <v>833.75163679021671</v>
      </c>
      <c r="ET79" s="108">
        <v>743.87319819126583</v>
      </c>
      <c r="EU79" s="108">
        <v>626.20846946725135</v>
      </c>
      <c r="EV79" s="108">
        <v>651.70921848553394</v>
      </c>
      <c r="EW79" s="108">
        <v>1084.0862184913333</v>
      </c>
      <c r="EX79" s="108">
        <v>944.24528356352766</v>
      </c>
      <c r="EY79" s="108">
        <v>794.1039319025225</v>
      </c>
      <c r="EZ79" s="108">
        <v>753.3472792268542</v>
      </c>
      <c r="FA79" s="108">
        <v>646.44825464105531</v>
      </c>
      <c r="FB79" s="108">
        <v>585.80264194030099</v>
      </c>
      <c r="FC79" s="108">
        <v>512.45594115192307</v>
      </c>
      <c r="FD79" s="108">
        <v>557.34494132630675</v>
      </c>
      <c r="FE79" s="57">
        <v>161</v>
      </c>
      <c r="FF79" s="62">
        <v>158</v>
      </c>
      <c r="FG79" s="62">
        <v>144</v>
      </c>
      <c r="FH79" s="62">
        <v>148</v>
      </c>
      <c r="FI79" s="108">
        <v>207.0955360219061</v>
      </c>
      <c r="FJ79" s="108">
        <v>189.3103944169068</v>
      </c>
      <c r="FK79" s="108">
        <v>177.74956760002866</v>
      </c>
      <c r="FL79" s="108">
        <v>183.34676699838062</v>
      </c>
      <c r="FM79" s="62">
        <v>262</v>
      </c>
      <c r="FN79" s="62">
        <v>216</v>
      </c>
      <c r="FO79" s="57">
        <v>150</v>
      </c>
      <c r="FP79" s="62">
        <v>142</v>
      </c>
      <c r="FQ79" s="108">
        <v>287.0594096323739</v>
      </c>
      <c r="FR79" s="108">
        <v>226.31382231073789</v>
      </c>
      <c r="FS79" s="108">
        <v>145.24541821392077</v>
      </c>
      <c r="FT79" s="108">
        <v>139.60459930227748</v>
      </c>
      <c r="FU79" s="60">
        <v>55</v>
      </c>
      <c r="FV79" s="60">
        <v>61</v>
      </c>
      <c r="FW79" s="60">
        <v>54</v>
      </c>
      <c r="FX79" s="60">
        <v>29</v>
      </c>
      <c r="FY79" s="108">
        <v>58.282989534967825</v>
      </c>
      <c r="FZ79" s="108">
        <v>64.189571247171244</v>
      </c>
      <c r="GA79" s="108">
        <v>49.030147377796666</v>
      </c>
      <c r="GB79" s="108">
        <v>28.519966868546021</v>
      </c>
      <c r="GC79" s="63">
        <v>26</v>
      </c>
      <c r="GD79" s="64">
        <v>27</v>
      </c>
      <c r="GE79" s="63">
        <v>15</v>
      </c>
      <c r="GF79" s="63">
        <v>32</v>
      </c>
      <c r="GG79" s="112">
        <v>39.443355971430016</v>
      </c>
      <c r="GH79" s="112">
        <v>36.086624489551056</v>
      </c>
      <c r="GI79" s="112" t="s">
        <v>39</v>
      </c>
      <c r="GJ79" s="112">
        <v>51.039865957689528</v>
      </c>
      <c r="GK79" s="63"/>
      <c r="GL79" s="63"/>
      <c r="GM79" s="63"/>
      <c r="GN79" s="64"/>
      <c r="GO79" s="63"/>
      <c r="GP79" s="63"/>
      <c r="GQ79" s="63"/>
      <c r="GR79" s="63"/>
      <c r="GS79" s="64"/>
      <c r="GT79" s="63"/>
      <c r="GU79" s="63"/>
      <c r="GV79" s="63"/>
      <c r="GW79" s="63"/>
      <c r="GX79" s="64"/>
      <c r="GY79" s="64"/>
      <c r="GZ79" s="64"/>
      <c r="HA79" s="64"/>
      <c r="HB79" s="64"/>
      <c r="HC79" s="64"/>
      <c r="HD79" s="65"/>
      <c r="HE79" s="65"/>
      <c r="HF79" s="65"/>
      <c r="HG79" s="65"/>
      <c r="HH79" s="65"/>
      <c r="HI79" s="66"/>
      <c r="HJ79" s="66"/>
      <c r="HK79" s="63"/>
      <c r="HL79" s="64"/>
      <c r="HM79" s="64"/>
      <c r="HN79" s="64"/>
      <c r="HO79" s="64"/>
      <c r="HP79" s="64"/>
      <c r="HQ79" s="64"/>
      <c r="HR79" s="64"/>
      <c r="HS79" s="64"/>
      <c r="HT79" s="64"/>
      <c r="HU79" s="39"/>
    </row>
    <row r="80" spans="1:229" ht="21" customHeight="1" x14ac:dyDescent="0.2">
      <c r="A80" s="37">
        <v>77</v>
      </c>
      <c r="B80" s="86" t="s">
        <v>135</v>
      </c>
      <c r="C80" s="93">
        <v>24029</v>
      </c>
      <c r="D80" s="93">
        <v>23917</v>
      </c>
      <c r="E80" s="93">
        <v>23869</v>
      </c>
      <c r="F80" s="93">
        <v>24895</v>
      </c>
      <c r="G80" s="93">
        <v>24836</v>
      </c>
      <c r="H80" s="43">
        <v>24116</v>
      </c>
      <c r="I80" s="43">
        <v>114</v>
      </c>
      <c r="J80" s="43">
        <v>110</v>
      </c>
      <c r="K80" s="43">
        <v>185</v>
      </c>
      <c r="L80" s="43">
        <v>1340</v>
      </c>
      <c r="M80" s="44">
        <v>9728</v>
      </c>
      <c r="N80" s="44">
        <v>9764</v>
      </c>
      <c r="O80" s="45">
        <v>9784</v>
      </c>
      <c r="P80" s="45">
        <v>9756</v>
      </c>
      <c r="Q80" s="46">
        <v>9777</v>
      </c>
      <c r="R80" s="105">
        <v>25.276977265449887</v>
      </c>
      <c r="S80" s="105">
        <v>25.87276958882855</v>
      </c>
      <c r="T80" s="105">
        <v>26.776137191286498</v>
      </c>
      <c r="U80" s="105">
        <v>27.887342098478989</v>
      </c>
      <c r="V80" s="105">
        <v>28.103014264506552</v>
      </c>
      <c r="W80" s="105">
        <v>28.607108549471661</v>
      </c>
      <c r="X80" s="105">
        <v>28.749676752004138</v>
      </c>
      <c r="Y80" s="105">
        <v>31.265311527511091</v>
      </c>
      <c r="Z80" s="105">
        <v>32.559938128383607</v>
      </c>
      <c r="AA80" s="105">
        <v>32.201639450074225</v>
      </c>
      <c r="AB80" s="105">
        <v>53.884085814921548</v>
      </c>
      <c r="AC80" s="105">
        <v>54.622446340832688</v>
      </c>
      <c r="AD80" s="105">
        <v>58.041448718797589</v>
      </c>
      <c r="AE80" s="105">
        <v>60.447280226862595</v>
      </c>
      <c r="AF80" s="105">
        <v>60.30465371458078</v>
      </c>
      <c r="AG80" s="46">
        <v>5.5038379879144212</v>
      </c>
      <c r="AH80" s="46">
        <v>6.4869281045751634</v>
      </c>
      <c r="AI80" s="46">
        <v>9.2629402878269858</v>
      </c>
      <c r="AJ80" s="46">
        <v>7.890050329074719</v>
      </c>
      <c r="AK80" s="45">
        <v>6.8890948409020698</v>
      </c>
      <c r="AL80" s="49">
        <v>613.16666666666663</v>
      </c>
      <c r="AM80" s="49">
        <v>674.08333333333337</v>
      </c>
      <c r="AN80" s="49">
        <v>835.91666666666663</v>
      </c>
      <c r="AO80" s="49">
        <v>674.08333333333337</v>
      </c>
      <c r="AP80" s="49">
        <v>1017.5</v>
      </c>
      <c r="AQ80" s="49">
        <v>28349.890979790147</v>
      </c>
      <c r="AR80" s="49">
        <v>29729.197572895919</v>
      </c>
      <c r="AS80" s="49">
        <v>28675.7217479463</v>
      </c>
      <c r="AT80" s="49">
        <v>29997.878724377751</v>
      </c>
      <c r="AU80" s="49">
        <v>30838.138186503464</v>
      </c>
      <c r="AV80" s="101">
        <v>43020.497752505522</v>
      </c>
      <c r="AW80" s="101">
        <v>44219.277831706946</v>
      </c>
      <c r="AX80" s="102">
        <v>43662.094543132414</v>
      </c>
      <c r="AY80" s="102">
        <v>41451.387886597935</v>
      </c>
      <c r="AZ80" s="102">
        <v>41290</v>
      </c>
      <c r="BA80" s="99">
        <v>13.475296692197626</v>
      </c>
      <c r="BB80" s="99">
        <v>13.350243077573452</v>
      </c>
      <c r="BC80" s="99">
        <v>14.74714933661142</v>
      </c>
      <c r="BD80" s="99">
        <v>16.880315793757376</v>
      </c>
      <c r="BE80" s="99">
        <v>16.71220586436116</v>
      </c>
      <c r="BF80" s="99">
        <v>20.0577721610399</v>
      </c>
      <c r="BG80" s="99">
        <v>19.258853596202993</v>
      </c>
      <c r="BH80" s="48">
        <v>20.994475138121548</v>
      </c>
      <c r="BI80" s="48">
        <v>25.348875389919552</v>
      </c>
      <c r="BJ80" s="48">
        <v>24.473420260782348</v>
      </c>
      <c r="BK80" s="44">
        <v>4044</v>
      </c>
      <c r="BL80" s="44">
        <v>3775</v>
      </c>
      <c r="BM80" s="44">
        <v>3689</v>
      </c>
      <c r="BN80" s="42">
        <v>3552</v>
      </c>
      <c r="BO80" s="45">
        <v>53.90702274975272</v>
      </c>
      <c r="BP80" s="45">
        <v>59.47019867549669</v>
      </c>
      <c r="BQ80" s="45">
        <v>58.010300894551371</v>
      </c>
      <c r="BR80" s="46">
        <v>57.263513513513516</v>
      </c>
      <c r="BS80" s="105">
        <v>5.1434223541048469</v>
      </c>
      <c r="BT80" s="105">
        <v>5.7483443708609272</v>
      </c>
      <c r="BU80" s="105">
        <v>6.397397668744917</v>
      </c>
      <c r="BV80" s="105">
        <v>6.8693693693693696</v>
      </c>
      <c r="BW80" s="45">
        <v>19.164193867457964</v>
      </c>
      <c r="BX80" s="45">
        <v>17.85430463576159</v>
      </c>
      <c r="BY80" s="45">
        <v>17.538628354567635</v>
      </c>
      <c r="BZ80" s="45">
        <v>18.66554054054054</v>
      </c>
      <c r="CA80" s="44">
        <v>72.317596566523605</v>
      </c>
      <c r="CB80" s="44">
        <v>67.72823779193206</v>
      </c>
      <c r="CC80" s="44">
        <v>70.289855072463766</v>
      </c>
      <c r="CD80" s="44">
        <v>73.67</v>
      </c>
      <c r="CE80" s="45">
        <v>4.7210300429184553</v>
      </c>
      <c r="CF80" s="45">
        <v>3.6093418259023355</v>
      </c>
      <c r="CG80" s="45">
        <v>7.7294685990338161</v>
      </c>
      <c r="CH80" s="45">
        <v>4.62</v>
      </c>
      <c r="CI80" s="48">
        <v>1388</v>
      </c>
      <c r="CJ80" s="51">
        <v>1352</v>
      </c>
      <c r="CK80" s="51">
        <v>1513</v>
      </c>
      <c r="CL80" s="57">
        <v>1631</v>
      </c>
      <c r="CM80" s="108">
        <v>11.68999612579379</v>
      </c>
      <c r="CN80" s="108">
        <v>11.15990358899858</v>
      </c>
      <c r="CO80" s="108">
        <v>12.361414086946576</v>
      </c>
      <c r="CP80" s="108">
        <v>13.418787948595593</v>
      </c>
      <c r="CQ80" s="60">
        <v>59</v>
      </c>
      <c r="CR80" s="60">
        <v>50</v>
      </c>
      <c r="CS80" s="60">
        <v>62</v>
      </c>
      <c r="CT80" s="60">
        <v>67</v>
      </c>
      <c r="CU80" s="108">
        <v>4.4029850746268657</v>
      </c>
      <c r="CV80" s="108">
        <v>3.8051750380517504</v>
      </c>
      <c r="CW80" s="108">
        <v>4.2378673957621329</v>
      </c>
      <c r="CX80" s="108">
        <v>4.2111879321181647</v>
      </c>
      <c r="CY80" s="61">
        <v>91</v>
      </c>
      <c r="CZ80" s="57">
        <v>91</v>
      </c>
      <c r="DA80" s="60">
        <v>103</v>
      </c>
      <c r="DB80" s="60">
        <v>120</v>
      </c>
      <c r="DC80" s="108">
        <v>7.2222222222222223</v>
      </c>
      <c r="DD80" s="108">
        <v>7.4529074529074526</v>
      </c>
      <c r="DE80" s="108">
        <v>7.5679647318148424</v>
      </c>
      <c r="DF80" s="108">
        <v>8.2930200414651001</v>
      </c>
      <c r="DG80" s="108">
        <v>80.25241276911656</v>
      </c>
      <c r="DH80" s="108">
        <v>76.823708206686931</v>
      </c>
      <c r="DI80" s="108">
        <v>76.639344262295083</v>
      </c>
      <c r="DJ80" s="108">
        <v>72.790845518118246</v>
      </c>
      <c r="DK80" s="108">
        <v>20.447761194029852</v>
      </c>
      <c r="DL80" s="108">
        <v>21.605401350337583</v>
      </c>
      <c r="DM80" s="108">
        <v>16.555851063829788</v>
      </c>
      <c r="DN80" s="108">
        <v>15.504358655043587</v>
      </c>
      <c r="DO80" s="108">
        <v>22.118155619596543</v>
      </c>
      <c r="DP80" s="108">
        <v>26.553254437869821</v>
      </c>
      <c r="DQ80" s="108">
        <v>31.262392597488432</v>
      </c>
      <c r="DR80" s="108">
        <v>29.491109748620477</v>
      </c>
      <c r="DS80" s="108">
        <v>36.243822075782539</v>
      </c>
      <c r="DT80" s="108">
        <v>27.37047898338221</v>
      </c>
      <c r="DU80" s="108">
        <v>34.081796311146753</v>
      </c>
      <c r="DV80" s="108">
        <v>29.73434072629783</v>
      </c>
      <c r="DW80" s="62">
        <v>299</v>
      </c>
      <c r="DX80" s="62">
        <v>1</v>
      </c>
      <c r="DY80" s="57">
        <v>5</v>
      </c>
      <c r="DZ80" s="60">
        <v>4</v>
      </c>
      <c r="EA80" s="60">
        <v>32</v>
      </c>
      <c r="EB80" s="60">
        <v>8</v>
      </c>
      <c r="EC80" s="60">
        <v>8</v>
      </c>
      <c r="ED80" s="57">
        <v>8</v>
      </c>
      <c r="EE80" s="60">
        <v>9</v>
      </c>
      <c r="EF80" s="60">
        <v>1222</v>
      </c>
      <c r="EG80" s="60">
        <v>1113</v>
      </c>
      <c r="EH80" s="60">
        <v>1131</v>
      </c>
      <c r="EI80" s="60">
        <v>998</v>
      </c>
      <c r="EJ80" s="115">
        <v>186</v>
      </c>
      <c r="EK80" s="115">
        <v>1</v>
      </c>
      <c r="EL80" s="115">
        <v>0</v>
      </c>
      <c r="EM80" s="115">
        <v>0</v>
      </c>
      <c r="EN80" s="115">
        <v>1</v>
      </c>
      <c r="EO80" s="108">
        <v>1029.1913015648424</v>
      </c>
      <c r="EP80" s="108">
        <v>918.71099811800445</v>
      </c>
      <c r="EQ80" s="108">
        <v>924.04225593764556</v>
      </c>
      <c r="ER80" s="108">
        <v>821.08831224392407</v>
      </c>
      <c r="ES80" s="108">
        <v>800.14711727032795</v>
      </c>
      <c r="ET80" s="108">
        <v>725.37126066895792</v>
      </c>
      <c r="EU80" s="108">
        <v>715.60660677322289</v>
      </c>
      <c r="EV80" s="108">
        <v>613.32836565320451</v>
      </c>
      <c r="EW80" s="108">
        <v>982.70916371462124</v>
      </c>
      <c r="EX80" s="108">
        <v>873.55014879296482</v>
      </c>
      <c r="EY80" s="108">
        <v>880.17640295104763</v>
      </c>
      <c r="EZ80" s="108">
        <v>726.84508295879903</v>
      </c>
      <c r="FA80" s="108">
        <v>648.6398412569348</v>
      </c>
      <c r="FB80" s="108">
        <v>599.95400963424095</v>
      </c>
      <c r="FC80" s="108">
        <v>576.11823488182631</v>
      </c>
      <c r="FD80" s="108">
        <v>507.53562546958409</v>
      </c>
      <c r="FE80" s="57">
        <v>267</v>
      </c>
      <c r="FF80" s="62">
        <v>232</v>
      </c>
      <c r="FG80" s="62">
        <v>303</v>
      </c>
      <c r="FH80" s="62">
        <v>256</v>
      </c>
      <c r="FI80" s="108">
        <v>177.83969574125456</v>
      </c>
      <c r="FJ80" s="108">
        <v>157.28827126816668</v>
      </c>
      <c r="FK80" s="108">
        <v>196.81354273092214</v>
      </c>
      <c r="FL80" s="108">
        <v>159.40195259885431</v>
      </c>
      <c r="FM80" s="62">
        <v>309</v>
      </c>
      <c r="FN80" s="62">
        <v>235</v>
      </c>
      <c r="FO80" s="57">
        <v>242</v>
      </c>
      <c r="FP80" s="62">
        <v>184</v>
      </c>
      <c r="FQ80" s="108">
        <v>199.27762430314084</v>
      </c>
      <c r="FR80" s="108">
        <v>151.00164835454669</v>
      </c>
      <c r="FS80" s="108">
        <v>148.3836843027097</v>
      </c>
      <c r="FT80" s="108">
        <v>110.07447170940897</v>
      </c>
      <c r="FU80" s="60">
        <v>93</v>
      </c>
      <c r="FV80" s="60">
        <v>64</v>
      </c>
      <c r="FW80" s="60">
        <v>64</v>
      </c>
      <c r="FX80" s="60">
        <v>39</v>
      </c>
      <c r="FY80" s="108">
        <v>57.264923306810012</v>
      </c>
      <c r="FZ80" s="108">
        <v>40.379096576608234</v>
      </c>
      <c r="GA80" s="108">
        <v>37.75735501121423</v>
      </c>
      <c r="GB80" s="108">
        <v>22.024960237825407</v>
      </c>
      <c r="GC80" s="63">
        <v>56</v>
      </c>
      <c r="GD80" s="64">
        <v>44</v>
      </c>
      <c r="GE80" s="63">
        <v>56</v>
      </c>
      <c r="GF80" s="63">
        <v>60</v>
      </c>
      <c r="GG80" s="112">
        <v>43.174550105240641</v>
      </c>
      <c r="GH80" s="112">
        <v>32.448827735255634</v>
      </c>
      <c r="GI80" s="112">
        <v>43.337870103475161</v>
      </c>
      <c r="GJ80" s="112">
        <v>45.62743299303623</v>
      </c>
      <c r="GK80" s="63"/>
      <c r="GL80" s="63"/>
      <c r="GM80" s="63"/>
      <c r="GN80" s="64"/>
      <c r="GO80" s="63"/>
      <c r="GP80" s="63"/>
      <c r="GQ80" s="63"/>
      <c r="GR80" s="63"/>
      <c r="GS80" s="64"/>
      <c r="GT80" s="63"/>
      <c r="GU80" s="63"/>
      <c r="GV80" s="63"/>
      <c r="GW80" s="63"/>
      <c r="GX80" s="64"/>
      <c r="GY80" s="64"/>
      <c r="GZ80" s="64"/>
      <c r="HA80" s="64"/>
      <c r="HB80" s="64"/>
      <c r="HC80" s="64"/>
      <c r="HD80" s="65"/>
      <c r="HE80" s="65"/>
      <c r="HF80" s="65"/>
      <c r="HG80" s="65"/>
      <c r="HH80" s="65"/>
      <c r="HI80" s="66"/>
      <c r="HJ80" s="66"/>
      <c r="HK80" s="63"/>
      <c r="HL80" s="64"/>
      <c r="HM80" s="64"/>
      <c r="HN80" s="64"/>
      <c r="HO80" s="64"/>
      <c r="HP80" s="64"/>
      <c r="HQ80" s="64"/>
      <c r="HR80" s="64"/>
      <c r="HS80" s="64"/>
      <c r="HT80" s="64"/>
      <c r="HU80" s="39"/>
    </row>
    <row r="81" spans="1:229" x14ac:dyDescent="0.2">
      <c r="A81" s="37">
        <v>78</v>
      </c>
      <c r="B81" s="86" t="s">
        <v>136</v>
      </c>
      <c r="C81" s="93">
        <v>3712</v>
      </c>
      <c r="D81" s="93">
        <v>3660</v>
      </c>
      <c r="E81" s="93">
        <v>3573</v>
      </c>
      <c r="F81" s="93">
        <v>3558</v>
      </c>
      <c r="G81" s="93">
        <v>3523</v>
      </c>
      <c r="H81" s="43">
        <v>3317</v>
      </c>
      <c r="I81" s="43">
        <v>18</v>
      </c>
      <c r="J81" s="43">
        <v>142</v>
      </c>
      <c r="K81" s="43">
        <v>6</v>
      </c>
      <c r="L81" s="43">
        <v>55</v>
      </c>
      <c r="M81" s="44">
        <v>1635</v>
      </c>
      <c r="N81" s="44">
        <v>1617</v>
      </c>
      <c r="O81" s="45">
        <v>1576</v>
      </c>
      <c r="P81" s="45">
        <v>1524</v>
      </c>
      <c r="Q81" s="46">
        <v>1519</v>
      </c>
      <c r="R81" s="105">
        <v>50.288739172281041</v>
      </c>
      <c r="S81" s="105">
        <v>51.793611793611795</v>
      </c>
      <c r="T81" s="105">
        <v>49.597180261832833</v>
      </c>
      <c r="U81" s="105">
        <v>46.82658670664668</v>
      </c>
      <c r="V81" s="105">
        <v>44.943265910212133</v>
      </c>
      <c r="W81" s="105">
        <v>28.344562078922042</v>
      </c>
      <c r="X81" s="105">
        <v>28.058968058968059</v>
      </c>
      <c r="Y81" s="105">
        <v>30.312185297079559</v>
      </c>
      <c r="Z81" s="105">
        <v>30.984507746126937</v>
      </c>
      <c r="AA81" s="105">
        <v>28.860384805130735</v>
      </c>
      <c r="AB81" s="105">
        <v>78.633301251203079</v>
      </c>
      <c r="AC81" s="105">
        <v>79.852579852579851</v>
      </c>
      <c r="AD81" s="105">
        <v>79.909365558912384</v>
      </c>
      <c r="AE81" s="105">
        <v>77.811094452773617</v>
      </c>
      <c r="AF81" s="105">
        <v>73.803650715342869</v>
      </c>
      <c r="AG81" s="46">
        <v>5.2145573058120585</v>
      </c>
      <c r="AH81" s="46">
        <v>5.4390934844192635</v>
      </c>
      <c r="AI81" s="46">
        <v>6.9560378408458545</v>
      </c>
      <c r="AJ81" s="46">
        <v>6.1708860759493671</v>
      </c>
      <c r="AK81" s="45">
        <v>5.7542768273716955</v>
      </c>
      <c r="AL81" s="49">
        <v>83.083333333333329</v>
      </c>
      <c r="AM81" s="49">
        <v>82.083333333333329</v>
      </c>
      <c r="AN81" s="49">
        <v>110.41666666666667</v>
      </c>
      <c r="AO81" s="49">
        <v>82.083333333333329</v>
      </c>
      <c r="AP81" s="49">
        <v>164.83333333333334</v>
      </c>
      <c r="AQ81" s="49">
        <v>37192.389860795789</v>
      </c>
      <c r="AR81" s="49">
        <v>44872.494207193813</v>
      </c>
      <c r="AS81" s="49">
        <v>41188.017529221841</v>
      </c>
      <c r="AT81" s="49">
        <v>48297.863403759598</v>
      </c>
      <c r="AU81" s="49">
        <v>46368.435992052226</v>
      </c>
      <c r="AV81" s="101">
        <v>45935.541945192002</v>
      </c>
      <c r="AW81" s="101">
        <v>39336.090481786137</v>
      </c>
      <c r="AX81" s="102">
        <v>41298.807529703496</v>
      </c>
      <c r="AY81" s="102">
        <v>42981.199205708625</v>
      </c>
      <c r="AZ81" s="102">
        <v>45815</v>
      </c>
      <c r="BA81" s="99">
        <v>11.274645931685642</v>
      </c>
      <c r="BB81" s="99">
        <v>11.943661971830986</v>
      </c>
      <c r="BC81" s="99">
        <v>12.048540884137532</v>
      </c>
      <c r="BD81" s="99">
        <v>13.238289205702648</v>
      </c>
      <c r="BE81" s="99">
        <v>12.434172030427151</v>
      </c>
      <c r="BF81" s="99">
        <v>13.545816733067729</v>
      </c>
      <c r="BG81" s="99">
        <v>16.292134831460675</v>
      </c>
      <c r="BH81" s="48">
        <v>14.721485411140584</v>
      </c>
      <c r="BI81" s="48">
        <v>19.492656875834445</v>
      </c>
      <c r="BJ81" s="48">
        <v>18.767123287671232</v>
      </c>
      <c r="BK81" s="44">
        <v>529</v>
      </c>
      <c r="BL81" s="44">
        <v>542</v>
      </c>
      <c r="BM81" s="44">
        <v>529</v>
      </c>
      <c r="BN81" s="42">
        <v>500</v>
      </c>
      <c r="BO81" s="45">
        <v>34.026465028355389</v>
      </c>
      <c r="BP81" s="45">
        <v>38.929889298892988</v>
      </c>
      <c r="BQ81" s="45">
        <v>39.319470699432891</v>
      </c>
      <c r="BR81" s="46">
        <v>39.4</v>
      </c>
      <c r="BS81" s="105">
        <v>0.75614366729678639</v>
      </c>
      <c r="BT81" s="105">
        <v>1.4760147601476015</v>
      </c>
      <c r="BU81" s="105">
        <v>1.7013232514177694</v>
      </c>
      <c r="BV81" s="105">
        <v>1.8</v>
      </c>
      <c r="BW81" s="45">
        <v>14.366729678638942</v>
      </c>
      <c r="BX81" s="45">
        <v>13.284132841328413</v>
      </c>
      <c r="BY81" s="45">
        <v>13.043478260869565</v>
      </c>
      <c r="BZ81" s="45">
        <v>14.4</v>
      </c>
      <c r="CA81" s="44" t="s">
        <v>479</v>
      </c>
      <c r="CB81" s="44" t="s">
        <v>479</v>
      </c>
      <c r="CC81" s="44" t="s">
        <v>479</v>
      </c>
      <c r="CD81" s="44"/>
      <c r="CE81" s="45">
        <v>0</v>
      </c>
      <c r="CF81" s="45">
        <v>0</v>
      </c>
      <c r="CG81" s="45">
        <v>0</v>
      </c>
      <c r="CH81" s="45"/>
      <c r="CI81" s="48">
        <v>237</v>
      </c>
      <c r="CJ81" s="51">
        <v>197</v>
      </c>
      <c r="CK81" s="51">
        <v>186</v>
      </c>
      <c r="CL81" s="57">
        <v>183</v>
      </c>
      <c r="CM81" s="108">
        <v>10.965622541988617</v>
      </c>
      <c r="CN81" s="108">
        <v>9.4688776736361451</v>
      </c>
      <c r="CO81" s="108">
        <v>9.6158817143152557</v>
      </c>
      <c r="CP81" s="108">
        <v>10.152002662820371</v>
      </c>
      <c r="CQ81" s="60">
        <v>5</v>
      </c>
      <c r="CR81" s="60">
        <v>7</v>
      </c>
      <c r="CS81" s="60">
        <v>13</v>
      </c>
      <c r="CT81" s="60">
        <v>10</v>
      </c>
      <c r="CU81" s="108">
        <v>2.1834061135371181</v>
      </c>
      <c r="CV81" s="108">
        <v>3.8251366120218577</v>
      </c>
      <c r="CW81" s="108">
        <v>7.1428571428571432</v>
      </c>
      <c r="CX81" s="108">
        <v>5.5865921787709496</v>
      </c>
      <c r="CY81" s="61">
        <v>13</v>
      </c>
      <c r="CZ81" s="57">
        <v>9</v>
      </c>
      <c r="DA81" s="60">
        <v>18</v>
      </c>
      <c r="DB81" s="60">
        <v>16</v>
      </c>
      <c r="DC81" s="108">
        <v>5.8035714285714288</v>
      </c>
      <c r="DD81" s="108">
        <v>5.0561797752808992</v>
      </c>
      <c r="DE81" s="108">
        <v>10.227272727272727</v>
      </c>
      <c r="DF81" s="108">
        <v>9.7560975609756095</v>
      </c>
      <c r="DG81" s="108">
        <v>76.724137931034477</v>
      </c>
      <c r="DH81" s="108">
        <v>84.183673469387756</v>
      </c>
      <c r="DI81" s="108">
        <v>82.702702702702709</v>
      </c>
      <c r="DJ81" s="108">
        <v>83.974358974358978</v>
      </c>
      <c r="DK81" s="108">
        <v>14.814814814814815</v>
      </c>
      <c r="DL81" s="108">
        <v>21.025641025641026</v>
      </c>
      <c r="DM81" s="108">
        <v>18.817204301075268</v>
      </c>
      <c r="DN81" s="108">
        <v>24.590163934426229</v>
      </c>
      <c r="DO81" s="108">
        <v>21.518987341772153</v>
      </c>
      <c r="DP81" s="108">
        <v>22.335025380710661</v>
      </c>
      <c r="DQ81" s="108">
        <v>27.419354838709676</v>
      </c>
      <c r="DR81" s="108">
        <v>31.693989071038253</v>
      </c>
      <c r="DS81" s="108">
        <v>45.060658578856156</v>
      </c>
      <c r="DT81" s="108" t="s">
        <v>39</v>
      </c>
      <c r="DU81" s="108" t="s">
        <v>39</v>
      </c>
      <c r="DV81" s="108" t="s">
        <v>39</v>
      </c>
      <c r="DW81" s="62">
        <v>35</v>
      </c>
      <c r="DX81" s="62">
        <v>2</v>
      </c>
      <c r="DY81" s="57">
        <v>7</v>
      </c>
      <c r="DZ81" s="60">
        <v>1</v>
      </c>
      <c r="EA81" s="60">
        <v>0</v>
      </c>
      <c r="EB81" s="60">
        <v>1</v>
      </c>
      <c r="EC81" s="60">
        <v>1</v>
      </c>
      <c r="ED81" s="57">
        <v>1</v>
      </c>
      <c r="EE81" s="60">
        <v>2</v>
      </c>
      <c r="EF81" s="60">
        <v>295</v>
      </c>
      <c r="EG81" s="60">
        <v>314</v>
      </c>
      <c r="EH81" s="60">
        <v>267</v>
      </c>
      <c r="EI81" s="60">
        <v>278</v>
      </c>
      <c r="EJ81" s="115">
        <v>51</v>
      </c>
      <c r="EK81" s="115">
        <v>0</v>
      </c>
      <c r="EL81" s="115">
        <v>1</v>
      </c>
      <c r="EM81" s="115">
        <v>2</v>
      </c>
      <c r="EN81" s="115">
        <v>0</v>
      </c>
      <c r="EO81" s="108">
        <v>1364.9192615555453</v>
      </c>
      <c r="EP81" s="108">
        <v>1509.2525835135784</v>
      </c>
      <c r="EQ81" s="108">
        <v>1380.3443106033189</v>
      </c>
      <c r="ER81" s="108">
        <v>1542.2167979585045</v>
      </c>
      <c r="ES81" s="108">
        <v>682.53109888649362</v>
      </c>
      <c r="ET81" s="108">
        <v>757.7645486687386</v>
      </c>
      <c r="EU81" s="108">
        <v>619.31854862922046</v>
      </c>
      <c r="EV81" s="108">
        <v>653.97509121436508</v>
      </c>
      <c r="EW81" s="108">
        <v>754.187813994203</v>
      </c>
      <c r="EX81" s="108">
        <v>860.00040423423138</v>
      </c>
      <c r="EY81" s="108">
        <v>751.71749045994738</v>
      </c>
      <c r="EZ81" s="108">
        <v>808.90854398209376</v>
      </c>
      <c r="FA81" s="108">
        <v>621.60286999824325</v>
      </c>
      <c r="FB81" s="108">
        <v>663.13780989135887</v>
      </c>
      <c r="FC81" s="108">
        <v>513.09681836171944</v>
      </c>
      <c r="FD81" s="108">
        <v>516.99771863074841</v>
      </c>
      <c r="FE81" s="57">
        <v>70</v>
      </c>
      <c r="FF81" s="62">
        <v>81</v>
      </c>
      <c r="FG81" s="62">
        <v>60</v>
      </c>
      <c r="FH81" s="62">
        <v>66</v>
      </c>
      <c r="FI81" s="108">
        <v>186.43169378406913</v>
      </c>
      <c r="FJ81" s="108">
        <v>209.54849721933132</v>
      </c>
      <c r="FK81" s="108">
        <v>166.48979377886502</v>
      </c>
      <c r="FL81" s="108">
        <v>177.65620208599964</v>
      </c>
      <c r="FM81" s="62">
        <v>144</v>
      </c>
      <c r="FN81" s="62">
        <v>126</v>
      </c>
      <c r="FO81" s="57">
        <v>103</v>
      </c>
      <c r="FP81" s="62">
        <v>77</v>
      </c>
      <c r="FQ81" s="108">
        <v>315.05489153512804</v>
      </c>
      <c r="FR81" s="108">
        <v>277.26961329562289</v>
      </c>
      <c r="FS81" s="108">
        <v>181.73282596342034</v>
      </c>
      <c r="FT81" s="108">
        <v>182.37457396167915</v>
      </c>
      <c r="FU81" s="60">
        <v>12</v>
      </c>
      <c r="FV81" s="60">
        <v>14</v>
      </c>
      <c r="FW81" s="60">
        <v>13</v>
      </c>
      <c r="FX81" s="60">
        <v>21</v>
      </c>
      <c r="FY81" s="108" t="s">
        <v>39</v>
      </c>
      <c r="FZ81" s="108" t="s">
        <v>39</v>
      </c>
      <c r="GA81" s="108" t="s">
        <v>39</v>
      </c>
      <c r="GB81" s="108">
        <v>39.042727755881145</v>
      </c>
      <c r="GC81" s="63">
        <v>8</v>
      </c>
      <c r="GD81" s="64">
        <v>7</v>
      </c>
      <c r="GE81" s="63">
        <v>15</v>
      </c>
      <c r="GF81" s="63">
        <v>9</v>
      </c>
      <c r="GG81" s="112" t="s">
        <v>39</v>
      </c>
      <c r="GH81" s="112" t="s">
        <v>39</v>
      </c>
      <c r="GI81" s="112" t="s">
        <v>39</v>
      </c>
      <c r="GJ81" s="112" t="s">
        <v>39</v>
      </c>
      <c r="GK81" s="63"/>
      <c r="GL81" s="63"/>
      <c r="GM81" s="63"/>
      <c r="GN81" s="64"/>
      <c r="GO81" s="63"/>
      <c r="GP81" s="63"/>
      <c r="GQ81" s="63"/>
      <c r="GR81" s="63"/>
      <c r="GS81" s="64"/>
      <c r="GT81" s="63"/>
      <c r="GU81" s="63"/>
      <c r="GV81" s="63"/>
      <c r="GW81" s="63"/>
      <c r="GX81" s="64"/>
      <c r="GY81" s="64"/>
      <c r="GZ81" s="64"/>
      <c r="HA81" s="64"/>
      <c r="HB81" s="64"/>
      <c r="HC81" s="64"/>
      <c r="HD81" s="65"/>
      <c r="HE81" s="65"/>
      <c r="HF81" s="65"/>
      <c r="HG81" s="65"/>
      <c r="HH81" s="65"/>
      <c r="HI81" s="66"/>
      <c r="HJ81" s="66"/>
      <c r="HK81" s="63"/>
      <c r="HL81" s="64"/>
      <c r="HM81" s="64"/>
      <c r="HN81" s="64"/>
      <c r="HO81" s="64"/>
      <c r="HP81" s="64"/>
      <c r="HQ81" s="64"/>
      <c r="HR81" s="64"/>
      <c r="HS81" s="64"/>
      <c r="HT81" s="64"/>
      <c r="HU81" s="39"/>
    </row>
    <row r="82" spans="1:229" x14ac:dyDescent="0.2">
      <c r="A82" s="37">
        <v>79</v>
      </c>
      <c r="B82" s="86" t="s">
        <v>137</v>
      </c>
      <c r="C82" s="93">
        <v>21783</v>
      </c>
      <c r="D82" s="93">
        <v>21813</v>
      </c>
      <c r="E82" s="93">
        <v>21884</v>
      </c>
      <c r="F82" s="93">
        <v>21676</v>
      </c>
      <c r="G82" s="93">
        <v>21600</v>
      </c>
      <c r="H82" s="43">
        <v>21122</v>
      </c>
      <c r="I82" s="43">
        <v>100</v>
      </c>
      <c r="J82" s="43">
        <v>51</v>
      </c>
      <c r="K82" s="43">
        <v>103</v>
      </c>
      <c r="L82" s="43">
        <v>575</v>
      </c>
      <c r="M82" s="44">
        <v>8898</v>
      </c>
      <c r="N82" s="44">
        <v>8947</v>
      </c>
      <c r="O82" s="45">
        <v>8890</v>
      </c>
      <c r="P82" s="45">
        <v>8822</v>
      </c>
      <c r="Q82" s="46">
        <v>8827</v>
      </c>
      <c r="R82" s="105">
        <v>24.363280156731037</v>
      </c>
      <c r="S82" s="105">
        <v>24.94413407821229</v>
      </c>
      <c r="T82" s="105">
        <v>26.086956521739129</v>
      </c>
      <c r="U82" s="105">
        <v>26.58410138248848</v>
      </c>
      <c r="V82" s="105">
        <v>27.485676988904199</v>
      </c>
      <c r="W82" s="105">
        <v>28.050657710607332</v>
      </c>
      <c r="X82" s="105">
        <v>27.381284916201118</v>
      </c>
      <c r="Y82" s="105">
        <v>29.129725512447692</v>
      </c>
      <c r="Z82" s="105">
        <v>29.493087557603687</v>
      </c>
      <c r="AA82" s="105">
        <v>29.160925375299151</v>
      </c>
      <c r="AB82" s="105">
        <v>52.413937867338369</v>
      </c>
      <c r="AC82" s="105">
        <v>52.325418994413411</v>
      </c>
      <c r="AD82" s="105">
        <v>55.216682034186825</v>
      </c>
      <c r="AE82" s="105">
        <v>56.077188940092164</v>
      </c>
      <c r="AF82" s="105">
        <v>56.646602364203353</v>
      </c>
      <c r="AG82" s="46">
        <v>4.5049464475513039</v>
      </c>
      <c r="AH82" s="46">
        <v>4.9868117375535777</v>
      </c>
      <c r="AI82" s="46">
        <v>7.9050097592713078</v>
      </c>
      <c r="AJ82" s="46">
        <v>6.7488167129100702</v>
      </c>
      <c r="AK82" s="45">
        <v>5.8401226103089456</v>
      </c>
      <c r="AL82" s="49">
        <v>289.83333333333331</v>
      </c>
      <c r="AM82" s="49">
        <v>298.91666666666669</v>
      </c>
      <c r="AN82" s="49">
        <v>381.66666666666669</v>
      </c>
      <c r="AO82" s="49">
        <v>298.91666666666669</v>
      </c>
      <c r="AP82" s="49">
        <v>574.75</v>
      </c>
      <c r="AQ82" s="49">
        <v>38889.131204332865</v>
      </c>
      <c r="AR82" s="49">
        <v>40054.604494158855</v>
      </c>
      <c r="AS82" s="49">
        <v>38747.952319485383</v>
      </c>
      <c r="AT82" s="49">
        <v>38968.514946521886</v>
      </c>
      <c r="AU82" s="49">
        <v>39456.805555555555</v>
      </c>
      <c r="AV82" s="101">
        <v>54119.79702134637</v>
      </c>
      <c r="AW82" s="101">
        <v>54191.469371072402</v>
      </c>
      <c r="AX82" s="102">
        <v>51917.871802999012</v>
      </c>
      <c r="AY82" s="102">
        <v>53333.988415819789</v>
      </c>
      <c r="AZ82" s="102">
        <v>53899</v>
      </c>
      <c r="BA82" s="99">
        <v>8.5240247937735933</v>
      </c>
      <c r="BB82" s="99">
        <v>7.7277379733879226</v>
      </c>
      <c r="BC82" s="99">
        <v>8.3383601689016746</v>
      </c>
      <c r="BD82" s="99">
        <v>7.4528654097442599</v>
      </c>
      <c r="BE82" s="99">
        <v>9.3223511793335838</v>
      </c>
      <c r="BF82" s="99">
        <v>8.3569405099150149</v>
      </c>
      <c r="BG82" s="99">
        <v>9.7925311203319509</v>
      </c>
      <c r="BH82" s="48">
        <v>10.698602794411178</v>
      </c>
      <c r="BI82" s="48">
        <v>10.808630772333132</v>
      </c>
      <c r="BJ82" s="48">
        <v>13.107692307692307</v>
      </c>
      <c r="BK82" s="44">
        <v>4637</v>
      </c>
      <c r="BL82" s="44">
        <v>4541</v>
      </c>
      <c r="BM82" s="44">
        <v>4491</v>
      </c>
      <c r="BN82" s="42">
        <v>4453</v>
      </c>
      <c r="BO82" s="45">
        <v>21.263748113004098</v>
      </c>
      <c r="BP82" s="45">
        <v>26.337811054833736</v>
      </c>
      <c r="BQ82" s="45">
        <v>27.009574704965488</v>
      </c>
      <c r="BR82" s="46">
        <v>27.599371210419942</v>
      </c>
      <c r="BS82" s="105">
        <v>1.5095967220185464</v>
      </c>
      <c r="BT82" s="105">
        <v>1.6956617485135432</v>
      </c>
      <c r="BU82" s="105">
        <v>1.447339122689824</v>
      </c>
      <c r="BV82" s="105">
        <v>1.9986525937570176</v>
      </c>
      <c r="BW82" s="45">
        <v>11.257278412766874</v>
      </c>
      <c r="BX82" s="45">
        <v>12.508258092931072</v>
      </c>
      <c r="BY82" s="45">
        <v>12.491649966599866</v>
      </c>
      <c r="BZ82" s="45">
        <v>12.912643161913318</v>
      </c>
      <c r="CA82" s="44">
        <v>86.646884272997028</v>
      </c>
      <c r="CB82" s="44">
        <v>87.781350482315119</v>
      </c>
      <c r="CC82" s="44">
        <v>81.456953642384107</v>
      </c>
      <c r="CD82" s="44">
        <v>86.3</v>
      </c>
      <c r="CE82" s="45">
        <v>3.2640949554896141</v>
      </c>
      <c r="CF82" s="45">
        <v>1.2861736334405145</v>
      </c>
      <c r="CG82" s="45">
        <v>4.3046357615894042</v>
      </c>
      <c r="CH82" s="45">
        <v>4.1100000000000003</v>
      </c>
      <c r="CI82" s="48">
        <v>1242</v>
      </c>
      <c r="CJ82" s="51">
        <v>1194</v>
      </c>
      <c r="CK82" s="51">
        <v>1302</v>
      </c>
      <c r="CL82" s="57">
        <v>1290</v>
      </c>
      <c r="CM82" s="108">
        <v>12.184115523465705</v>
      </c>
      <c r="CN82" s="108">
        <v>11.23690674496739</v>
      </c>
      <c r="CO82" s="108">
        <v>11.75684461460666</v>
      </c>
      <c r="CP82" s="108">
        <v>11.861414542645923</v>
      </c>
      <c r="CQ82" s="60">
        <v>39</v>
      </c>
      <c r="CR82" s="60">
        <v>62</v>
      </c>
      <c r="CS82" s="60">
        <v>67</v>
      </c>
      <c r="CT82" s="60">
        <v>45</v>
      </c>
      <c r="CU82" s="108">
        <v>3.2392026578073088</v>
      </c>
      <c r="CV82" s="108">
        <v>5.491585473870682</v>
      </c>
      <c r="CW82" s="108">
        <v>5.4119547657512115</v>
      </c>
      <c r="CX82" s="108">
        <v>3.6028823058446759</v>
      </c>
      <c r="CY82" s="61">
        <v>68</v>
      </c>
      <c r="CZ82" s="57">
        <v>78</v>
      </c>
      <c r="DA82" s="60">
        <v>90</v>
      </c>
      <c r="DB82" s="60">
        <v>83</v>
      </c>
      <c r="DC82" s="108">
        <v>6.2904717853839038</v>
      </c>
      <c r="DD82" s="108">
        <v>7.71513353115727</v>
      </c>
      <c r="DE82" s="108">
        <v>7.6530612244897958</v>
      </c>
      <c r="DF82" s="108">
        <v>7.016060862214708</v>
      </c>
      <c r="DG82" s="108">
        <v>84.810126582278485</v>
      </c>
      <c r="DH82" s="108">
        <v>86.937334510150038</v>
      </c>
      <c r="DI82" s="108">
        <v>89.489953632148371</v>
      </c>
      <c r="DJ82" s="108">
        <v>88.819390148553552</v>
      </c>
      <c r="DK82" s="108">
        <v>16.624895572263995</v>
      </c>
      <c r="DL82" s="108">
        <v>14.150943396226415</v>
      </c>
      <c r="DM82" s="108">
        <v>12.249614791987673</v>
      </c>
      <c r="DN82" s="108">
        <v>13.604378420641126</v>
      </c>
      <c r="DO82" s="108">
        <v>16.425120772946858</v>
      </c>
      <c r="DP82" s="108">
        <v>23.19932998324958</v>
      </c>
      <c r="DQ82" s="108">
        <v>25.345622119815669</v>
      </c>
      <c r="DR82" s="108">
        <v>31.472868217054263</v>
      </c>
      <c r="DS82" s="108">
        <v>21.925925925925927</v>
      </c>
      <c r="DT82" s="108">
        <v>22.477522477522477</v>
      </c>
      <c r="DU82" s="108">
        <v>22.700119474313023</v>
      </c>
      <c r="DV82" s="108">
        <v>21.782178217821784</v>
      </c>
      <c r="DW82" s="62">
        <v>240</v>
      </c>
      <c r="DX82" s="62">
        <v>34</v>
      </c>
      <c r="DY82" s="57">
        <v>0</v>
      </c>
      <c r="DZ82" s="60">
        <v>2</v>
      </c>
      <c r="EA82" s="60">
        <v>7</v>
      </c>
      <c r="EB82" s="60">
        <v>15</v>
      </c>
      <c r="EC82" s="60">
        <v>11</v>
      </c>
      <c r="ED82" s="57">
        <v>8</v>
      </c>
      <c r="EE82" s="60">
        <v>6</v>
      </c>
      <c r="EF82" s="60">
        <v>983</v>
      </c>
      <c r="EG82" s="60">
        <v>962</v>
      </c>
      <c r="EH82" s="60">
        <v>954</v>
      </c>
      <c r="EI82" s="60">
        <v>876</v>
      </c>
      <c r="EJ82" s="115">
        <v>172</v>
      </c>
      <c r="EK82" s="115">
        <v>0</v>
      </c>
      <c r="EL82" s="115">
        <v>0</v>
      </c>
      <c r="EM82" s="115">
        <v>1</v>
      </c>
      <c r="EN82" s="115">
        <v>0</v>
      </c>
      <c r="EO82" s="108">
        <v>964.33056035159314</v>
      </c>
      <c r="EP82" s="108">
        <v>905.35211797810973</v>
      </c>
      <c r="EQ82" s="108">
        <v>861.44621830528069</v>
      </c>
      <c r="ER82" s="108">
        <v>805.47280150060681</v>
      </c>
      <c r="ES82" s="108">
        <v>797.05697248860281</v>
      </c>
      <c r="ET82" s="108">
        <v>737.58829208005056</v>
      </c>
      <c r="EU82" s="108">
        <v>674.13290191222734</v>
      </c>
      <c r="EV82" s="108">
        <v>578.01543722871679</v>
      </c>
      <c r="EW82" s="108">
        <v>1001.7527936067668</v>
      </c>
      <c r="EX82" s="108">
        <v>880.95494914826361</v>
      </c>
      <c r="EY82" s="108">
        <v>813.56882519876342</v>
      </c>
      <c r="EZ82" s="108">
        <v>693.96676375130437</v>
      </c>
      <c r="FA82" s="108">
        <v>625.10226907266997</v>
      </c>
      <c r="FB82" s="108">
        <v>618.6977675157724</v>
      </c>
      <c r="FC82" s="108">
        <v>558.55424419924975</v>
      </c>
      <c r="FD82" s="108">
        <v>476.26788109165773</v>
      </c>
      <c r="FE82" s="57">
        <v>222</v>
      </c>
      <c r="FF82" s="62">
        <v>233</v>
      </c>
      <c r="FG82" s="62">
        <v>254</v>
      </c>
      <c r="FH82" s="62">
        <v>235</v>
      </c>
      <c r="FI82" s="108">
        <v>188.97354360171548</v>
      </c>
      <c r="FJ82" s="108">
        <v>186.4484577716124</v>
      </c>
      <c r="FK82" s="108">
        <v>189.44202485416741</v>
      </c>
      <c r="FL82" s="108">
        <v>160.91362557235718</v>
      </c>
      <c r="FM82" s="62">
        <v>328</v>
      </c>
      <c r="FN82" s="62">
        <v>259</v>
      </c>
      <c r="FO82" s="57">
        <v>235</v>
      </c>
      <c r="FP82" s="62">
        <v>183</v>
      </c>
      <c r="FQ82" s="108">
        <v>258.22625033879069</v>
      </c>
      <c r="FR82" s="108">
        <v>194.00421296762542</v>
      </c>
      <c r="FS82" s="108">
        <v>159.44753341228488</v>
      </c>
      <c r="FT82" s="108">
        <v>116.91839809741444</v>
      </c>
      <c r="FU82" s="60">
        <v>78</v>
      </c>
      <c r="FV82" s="60">
        <v>78</v>
      </c>
      <c r="FW82" s="60">
        <v>66</v>
      </c>
      <c r="FX82" s="60">
        <v>43</v>
      </c>
      <c r="FY82" s="108">
        <v>59.873692603729509</v>
      </c>
      <c r="FZ82" s="108">
        <v>56.966230375533556</v>
      </c>
      <c r="GA82" s="108">
        <v>43.180453784434107</v>
      </c>
      <c r="GB82" s="108">
        <v>26.973779988602452</v>
      </c>
      <c r="GC82" s="63">
        <v>53</v>
      </c>
      <c r="GD82" s="64">
        <v>46</v>
      </c>
      <c r="GE82" s="63">
        <v>61</v>
      </c>
      <c r="GF82" s="63">
        <v>62</v>
      </c>
      <c r="GG82" s="112">
        <v>47.834231320892869</v>
      </c>
      <c r="GH82" s="112">
        <v>39.136727708155945</v>
      </c>
      <c r="GI82" s="112">
        <v>48.664838332232073</v>
      </c>
      <c r="GJ82" s="112">
        <v>45.440876845879153</v>
      </c>
      <c r="GK82" s="63"/>
      <c r="GL82" s="63"/>
      <c r="GM82" s="63"/>
      <c r="GN82" s="64"/>
      <c r="GO82" s="63"/>
      <c r="GP82" s="63"/>
      <c r="GQ82" s="63"/>
      <c r="GR82" s="63"/>
      <c r="GS82" s="64"/>
      <c r="GT82" s="63"/>
      <c r="GU82" s="63"/>
      <c r="GV82" s="63"/>
      <c r="GW82" s="63"/>
      <c r="GX82" s="64"/>
      <c r="GY82" s="64"/>
      <c r="GZ82" s="64"/>
      <c r="HA82" s="64"/>
      <c r="HB82" s="64"/>
      <c r="HC82" s="64"/>
      <c r="HD82" s="65"/>
      <c r="HE82" s="65"/>
      <c r="HF82" s="65"/>
      <c r="HG82" s="65"/>
      <c r="HH82" s="65"/>
      <c r="HI82" s="66"/>
      <c r="HJ82" s="66"/>
      <c r="HK82" s="63"/>
      <c r="HL82" s="64"/>
      <c r="HM82" s="64"/>
      <c r="HN82" s="64"/>
      <c r="HO82" s="64"/>
      <c r="HP82" s="64"/>
      <c r="HQ82" s="64"/>
      <c r="HR82" s="64"/>
      <c r="HS82" s="64"/>
      <c r="HT82" s="64"/>
      <c r="HU82" s="39"/>
    </row>
    <row r="83" spans="1:229" x14ac:dyDescent="0.2">
      <c r="A83" s="37">
        <v>80</v>
      </c>
      <c r="B83" s="86" t="s">
        <v>138</v>
      </c>
      <c r="C83" s="93">
        <v>13382</v>
      </c>
      <c r="D83" s="93">
        <v>13311</v>
      </c>
      <c r="E83" s="93">
        <v>13269</v>
      </c>
      <c r="F83" s="93">
        <v>13843</v>
      </c>
      <c r="G83" s="93">
        <v>13749</v>
      </c>
      <c r="H83" s="43">
        <v>13296</v>
      </c>
      <c r="I83" s="43">
        <v>123</v>
      </c>
      <c r="J83" s="43">
        <v>77</v>
      </c>
      <c r="K83" s="43">
        <v>40</v>
      </c>
      <c r="L83" s="43">
        <v>178</v>
      </c>
      <c r="M83" s="44">
        <v>5618</v>
      </c>
      <c r="N83" s="44">
        <v>5646</v>
      </c>
      <c r="O83" s="45">
        <v>5624</v>
      </c>
      <c r="P83" s="45">
        <v>5705</v>
      </c>
      <c r="Q83" s="46">
        <v>5663</v>
      </c>
      <c r="R83" s="105">
        <v>34.635901252946283</v>
      </c>
      <c r="S83" s="105">
        <v>35.395791583166336</v>
      </c>
      <c r="T83" s="105">
        <v>37.067078666151666</v>
      </c>
      <c r="U83" s="105">
        <v>35.516066212268747</v>
      </c>
      <c r="V83" s="105">
        <v>36.341283501352351</v>
      </c>
      <c r="W83" s="105">
        <v>31.373278749534798</v>
      </c>
      <c r="X83" s="105">
        <v>31.325150300601202</v>
      </c>
      <c r="Y83" s="105">
        <v>33.771082786146515</v>
      </c>
      <c r="Z83" s="105">
        <v>32.972249269717622</v>
      </c>
      <c r="AA83" s="105">
        <v>32.689943447258422</v>
      </c>
      <c r="AB83" s="105">
        <v>66.009180002481088</v>
      </c>
      <c r="AC83" s="105">
        <v>66.720941883767537</v>
      </c>
      <c r="AD83" s="105">
        <v>70.838161452298181</v>
      </c>
      <c r="AE83" s="105">
        <v>68.488315481986362</v>
      </c>
      <c r="AF83" s="105">
        <v>69.031226948610765</v>
      </c>
      <c r="AG83" s="46">
        <v>7.5441667992996972</v>
      </c>
      <c r="AH83" s="46">
        <v>8.1010719754977032</v>
      </c>
      <c r="AI83" s="46">
        <v>11.308439587128111</v>
      </c>
      <c r="AJ83" s="46">
        <v>9.9497181167149176</v>
      </c>
      <c r="AK83" s="45">
        <v>8.8212575312837949</v>
      </c>
      <c r="AL83" s="49">
        <v>518.5</v>
      </c>
      <c r="AM83" s="49">
        <v>550.66666666666663</v>
      </c>
      <c r="AN83" s="49">
        <v>688.33333333333337</v>
      </c>
      <c r="AO83" s="49">
        <v>550.66666666666663</v>
      </c>
      <c r="AP83" s="49">
        <v>906.25</v>
      </c>
      <c r="AQ83" s="49">
        <v>28254.656448690534</v>
      </c>
      <c r="AR83" s="49">
        <v>29672.445648428093</v>
      </c>
      <c r="AS83" s="49">
        <v>29862.316796587587</v>
      </c>
      <c r="AT83" s="49">
        <v>29934.471512885873</v>
      </c>
      <c r="AU83" s="49">
        <v>30456.469561422648</v>
      </c>
      <c r="AV83" s="101">
        <v>38760.215450801094</v>
      </c>
      <c r="AW83" s="101">
        <v>37160.909467123078</v>
      </c>
      <c r="AX83" s="102">
        <v>37695.161804257536</v>
      </c>
      <c r="AY83" s="102">
        <v>37561.355193161391</v>
      </c>
      <c r="AZ83" s="102">
        <v>36097</v>
      </c>
      <c r="BA83" s="99">
        <v>14.927212508665178</v>
      </c>
      <c r="BB83" s="99">
        <v>17.273149581913906</v>
      </c>
      <c r="BC83" s="99">
        <v>16.013681592039802</v>
      </c>
      <c r="BD83" s="99">
        <v>16.777272388337931</v>
      </c>
      <c r="BE83" s="99">
        <v>18.152483866126371</v>
      </c>
      <c r="BF83" s="99">
        <v>19.139223997391589</v>
      </c>
      <c r="BG83" s="99">
        <v>21.232196091420999</v>
      </c>
      <c r="BH83" s="48">
        <v>23.200514138817482</v>
      </c>
      <c r="BI83" s="48">
        <v>24.107142857142858</v>
      </c>
      <c r="BJ83" s="48">
        <v>25.546533416614615</v>
      </c>
      <c r="BK83" s="44">
        <v>2781</v>
      </c>
      <c r="BL83" s="44">
        <v>2799</v>
      </c>
      <c r="BM83" s="44">
        <v>2818</v>
      </c>
      <c r="BN83" s="42">
        <v>2794</v>
      </c>
      <c r="BO83" s="45">
        <v>54.225098885293058</v>
      </c>
      <c r="BP83" s="45">
        <v>58.30653804930332</v>
      </c>
      <c r="BQ83" s="45">
        <v>56.990773598296663</v>
      </c>
      <c r="BR83" s="46">
        <v>56.69291338582677</v>
      </c>
      <c r="BS83" s="105">
        <v>0.14383315354189141</v>
      </c>
      <c r="BT83" s="105">
        <v>0.14290818149339049</v>
      </c>
      <c r="BU83" s="105">
        <v>0</v>
      </c>
      <c r="BV83" s="105">
        <v>0</v>
      </c>
      <c r="BW83" s="45">
        <v>13.160733549083064</v>
      </c>
      <c r="BX83" s="45">
        <v>14.969632011432655</v>
      </c>
      <c r="BY83" s="45">
        <v>15.649396735273243</v>
      </c>
      <c r="BZ83" s="45">
        <v>15.64065855404438</v>
      </c>
      <c r="CA83" s="44">
        <v>84.108527131782949</v>
      </c>
      <c r="CB83" s="44">
        <v>85.589519650655021</v>
      </c>
      <c r="CC83" s="44">
        <v>82.608695652173907</v>
      </c>
      <c r="CD83" s="44">
        <v>82.71</v>
      </c>
      <c r="CE83" s="45">
        <v>0.77519379844961245</v>
      </c>
      <c r="CF83" s="45">
        <v>0.8733624454148472</v>
      </c>
      <c r="CG83" s="45">
        <v>3.4782608695652173</v>
      </c>
      <c r="CH83" s="45">
        <v>3.74</v>
      </c>
      <c r="CI83" s="48">
        <v>799</v>
      </c>
      <c r="CJ83" s="51">
        <v>811</v>
      </c>
      <c r="CK83" s="51">
        <v>902</v>
      </c>
      <c r="CL83" s="57">
        <v>913</v>
      </c>
      <c r="CM83" s="108">
        <v>12.252721975157185</v>
      </c>
      <c r="CN83" s="108">
        <v>12.162749891270115</v>
      </c>
      <c r="CO83" s="108">
        <v>13.287176843190689</v>
      </c>
      <c r="CP83" s="108">
        <v>13.51511383485804</v>
      </c>
      <c r="CQ83" s="60">
        <v>34</v>
      </c>
      <c r="CR83" s="60">
        <v>27</v>
      </c>
      <c r="CS83" s="60">
        <v>54</v>
      </c>
      <c r="CT83" s="60">
        <v>35</v>
      </c>
      <c r="CU83" s="108">
        <v>4.3701799485861184</v>
      </c>
      <c r="CV83" s="108">
        <v>3.4394904458598727</v>
      </c>
      <c r="CW83" s="108">
        <v>6.192660550458716</v>
      </c>
      <c r="CX83" s="108">
        <v>3.981797497155859</v>
      </c>
      <c r="CY83" s="61">
        <v>50</v>
      </c>
      <c r="CZ83" s="57">
        <v>43</v>
      </c>
      <c r="DA83" s="60">
        <v>73</v>
      </c>
      <c r="DB83" s="60">
        <v>63</v>
      </c>
      <c r="DC83" s="108">
        <v>7.0821529745042495</v>
      </c>
      <c r="DD83" s="108">
        <v>5.850340136054422</v>
      </c>
      <c r="DE83" s="108">
        <v>8.8057901085645351</v>
      </c>
      <c r="DF83" s="108">
        <v>7.4733096085409256</v>
      </c>
      <c r="DG83" s="108">
        <v>83.930942895086318</v>
      </c>
      <c r="DH83" s="108">
        <v>78.249678249678254</v>
      </c>
      <c r="DI83" s="108">
        <v>83.333333333333329</v>
      </c>
      <c r="DJ83" s="108">
        <v>81.888888888888886</v>
      </c>
      <c r="DK83" s="108">
        <v>19.61783439490446</v>
      </c>
      <c r="DL83" s="108">
        <v>22.418136020151135</v>
      </c>
      <c r="DM83" s="108">
        <v>23.025583982202448</v>
      </c>
      <c r="DN83" s="108">
        <v>23.762376237623762</v>
      </c>
      <c r="DO83" s="108">
        <v>25.782227784730914</v>
      </c>
      <c r="DP83" s="108">
        <v>28.360049321824906</v>
      </c>
      <c r="DQ83" s="108">
        <v>32.261640798226161</v>
      </c>
      <c r="DR83" s="108">
        <v>35.158817086527932</v>
      </c>
      <c r="DS83" s="108">
        <v>41.908158716005353</v>
      </c>
      <c r="DT83" s="108">
        <v>39.436619718309856</v>
      </c>
      <c r="DU83" s="108">
        <v>34.273318872017356</v>
      </c>
      <c r="DV83" s="108">
        <v>42.357274401473298</v>
      </c>
      <c r="DW83" s="62">
        <v>180</v>
      </c>
      <c r="DX83" s="62">
        <v>83</v>
      </c>
      <c r="DY83" s="57">
        <v>3</v>
      </c>
      <c r="DZ83" s="60">
        <v>2</v>
      </c>
      <c r="EA83" s="60">
        <v>4</v>
      </c>
      <c r="EB83" s="60">
        <v>11</v>
      </c>
      <c r="EC83" s="60">
        <v>3</v>
      </c>
      <c r="ED83" s="57">
        <v>3</v>
      </c>
      <c r="EE83" s="60">
        <v>8</v>
      </c>
      <c r="EF83" s="60">
        <v>896</v>
      </c>
      <c r="EG83" s="60">
        <v>915</v>
      </c>
      <c r="EH83" s="60">
        <v>989</v>
      </c>
      <c r="EI83" s="60">
        <v>891</v>
      </c>
      <c r="EJ83" s="115">
        <v>176</v>
      </c>
      <c r="EK83" s="115">
        <v>1</v>
      </c>
      <c r="EL83" s="115">
        <v>0</v>
      </c>
      <c r="EM83" s="115">
        <v>0</v>
      </c>
      <c r="EN83" s="115">
        <v>0</v>
      </c>
      <c r="EO83" s="108">
        <v>1374.0223892041097</v>
      </c>
      <c r="EP83" s="108">
        <v>1372.246134465124</v>
      </c>
      <c r="EQ83" s="108">
        <v>1456.8755984385357</v>
      </c>
      <c r="ER83" s="108">
        <v>1318.9448441247002</v>
      </c>
      <c r="ES83" s="108">
        <v>928.76721849938792</v>
      </c>
      <c r="ET83" s="108">
        <v>879.41203047496481</v>
      </c>
      <c r="EU83" s="108">
        <v>884.51068304892215</v>
      </c>
      <c r="EV83" s="108">
        <v>763.93850504323132</v>
      </c>
      <c r="EW83" s="108">
        <v>1161.5030966247662</v>
      </c>
      <c r="EX83" s="108">
        <v>1066.6354033911277</v>
      </c>
      <c r="EY83" s="108">
        <v>1085.7827350032155</v>
      </c>
      <c r="EZ83" s="108">
        <v>925.00384225155096</v>
      </c>
      <c r="FA83" s="108">
        <v>742.86135858921159</v>
      </c>
      <c r="FB83" s="108">
        <v>733.45396187181382</v>
      </c>
      <c r="FC83" s="108">
        <v>707.07959236382544</v>
      </c>
      <c r="FD83" s="108">
        <v>631.93323184615895</v>
      </c>
      <c r="FE83" s="57">
        <v>189</v>
      </c>
      <c r="FF83" s="62">
        <v>190</v>
      </c>
      <c r="FG83" s="62">
        <v>185</v>
      </c>
      <c r="FH83" s="62">
        <v>195</v>
      </c>
      <c r="FI83" s="108">
        <v>205.51132095376212</v>
      </c>
      <c r="FJ83" s="108">
        <v>191.46916785979121</v>
      </c>
      <c r="FK83" s="108">
        <v>177.97713061271384</v>
      </c>
      <c r="FL83" s="108">
        <v>184.83493645335469</v>
      </c>
      <c r="FM83" s="62">
        <v>292</v>
      </c>
      <c r="FN83" s="62">
        <v>268</v>
      </c>
      <c r="FO83" s="57">
        <v>282</v>
      </c>
      <c r="FP83" s="62">
        <v>220</v>
      </c>
      <c r="FQ83" s="108">
        <v>289.46367015299757</v>
      </c>
      <c r="FR83" s="108">
        <v>255.72389040896397</v>
      </c>
      <c r="FS83" s="108">
        <v>244.49624180641518</v>
      </c>
      <c r="FT83" s="108">
        <v>178.60727064316757</v>
      </c>
      <c r="FU83" s="60">
        <v>82</v>
      </c>
      <c r="FV83" s="60">
        <v>73</v>
      </c>
      <c r="FW83" s="60">
        <v>78</v>
      </c>
      <c r="FX83" s="60">
        <v>50</v>
      </c>
      <c r="FY83" s="108">
        <v>78.797819012959565</v>
      </c>
      <c r="FZ83" s="108">
        <v>64.456393627453963</v>
      </c>
      <c r="GA83" s="108">
        <v>64.483333346577297</v>
      </c>
      <c r="GB83" s="108">
        <v>40.137950295119488</v>
      </c>
      <c r="GC83" s="63">
        <v>32</v>
      </c>
      <c r="GD83" s="64">
        <v>40</v>
      </c>
      <c r="GE83" s="63">
        <v>30</v>
      </c>
      <c r="GF83" s="63">
        <v>27</v>
      </c>
      <c r="GG83" s="112">
        <v>43.302323433645569</v>
      </c>
      <c r="GH83" s="112">
        <v>55.468906599617107</v>
      </c>
      <c r="GI83" s="112">
        <v>34.324296248069437</v>
      </c>
      <c r="GJ83" s="112">
        <v>31.325791418741527</v>
      </c>
      <c r="GK83" s="63"/>
      <c r="GL83" s="63"/>
      <c r="GM83" s="63"/>
      <c r="GN83" s="64"/>
      <c r="GO83" s="63"/>
      <c r="GP83" s="63"/>
      <c r="GQ83" s="63"/>
      <c r="GR83" s="63"/>
      <c r="GS83" s="64"/>
      <c r="GT83" s="63"/>
      <c r="GU83" s="63"/>
      <c r="GV83" s="63"/>
      <c r="GW83" s="63"/>
      <c r="GX83" s="64"/>
      <c r="GY83" s="64"/>
      <c r="GZ83" s="64"/>
      <c r="HA83" s="64"/>
      <c r="HB83" s="64"/>
      <c r="HC83" s="64"/>
      <c r="HD83" s="65"/>
      <c r="HE83" s="65"/>
      <c r="HF83" s="65"/>
      <c r="HG83" s="65"/>
      <c r="HH83" s="65"/>
      <c r="HI83" s="66"/>
      <c r="HJ83" s="66"/>
      <c r="HK83" s="63"/>
      <c r="HL83" s="64"/>
      <c r="HM83" s="64"/>
      <c r="HN83" s="64"/>
      <c r="HO83" s="64"/>
      <c r="HP83" s="64"/>
      <c r="HQ83" s="64"/>
      <c r="HR83" s="64"/>
      <c r="HS83" s="64"/>
      <c r="HT83" s="64"/>
      <c r="HU83" s="39"/>
    </row>
    <row r="84" spans="1:229" x14ac:dyDescent="0.2">
      <c r="A84" s="37">
        <v>81</v>
      </c>
      <c r="B84" s="86" t="s">
        <v>139</v>
      </c>
      <c r="C84" s="93">
        <v>19528</v>
      </c>
      <c r="D84" s="93">
        <v>19443</v>
      </c>
      <c r="E84" s="93">
        <v>18771</v>
      </c>
      <c r="F84" s="93">
        <v>19136</v>
      </c>
      <c r="G84" s="93">
        <v>19273</v>
      </c>
      <c r="H84" s="43">
        <v>18274</v>
      </c>
      <c r="I84" s="43">
        <v>436</v>
      </c>
      <c r="J84" s="43">
        <v>175</v>
      </c>
      <c r="K84" s="43">
        <v>155</v>
      </c>
      <c r="L84" s="43">
        <v>1022</v>
      </c>
      <c r="M84" s="44">
        <v>7281</v>
      </c>
      <c r="N84" s="44">
        <v>7302</v>
      </c>
      <c r="O84" s="45">
        <v>7324</v>
      </c>
      <c r="P84" s="45">
        <v>7281</v>
      </c>
      <c r="Q84" s="46">
        <v>7326</v>
      </c>
      <c r="R84" s="105">
        <v>20.496894409937887</v>
      </c>
      <c r="S84" s="105">
        <v>20.873187287874114</v>
      </c>
      <c r="T84" s="105">
        <v>21.973425196850393</v>
      </c>
      <c r="U84" s="105">
        <v>22.546588818683517</v>
      </c>
      <c r="V84" s="105">
        <v>23.059142356129442</v>
      </c>
      <c r="W84" s="105">
        <v>29.246223449121999</v>
      </c>
      <c r="X84" s="105">
        <v>29.103671706263498</v>
      </c>
      <c r="Y84" s="105">
        <v>31.988188976377952</v>
      </c>
      <c r="Z84" s="105">
        <v>30.504678877069502</v>
      </c>
      <c r="AA84" s="105">
        <v>30.559540889526541</v>
      </c>
      <c r="AB84" s="105">
        <v>49.743117859059886</v>
      </c>
      <c r="AC84" s="105">
        <v>49.976858994137615</v>
      </c>
      <c r="AD84" s="105">
        <v>53.961614173228348</v>
      </c>
      <c r="AE84" s="105">
        <v>53.051267695753019</v>
      </c>
      <c r="AF84" s="105">
        <v>53.618683245655987</v>
      </c>
      <c r="AG84" s="46">
        <v>4.8193944114497125</v>
      </c>
      <c r="AH84" s="46">
        <v>5.3351053730776536</v>
      </c>
      <c r="AI84" s="46">
        <v>8.513064133016627</v>
      </c>
      <c r="AJ84" s="46">
        <v>7.5473484848484844</v>
      </c>
      <c r="AK84" s="45">
        <v>6.4283709179376816</v>
      </c>
      <c r="AL84" s="49">
        <v>423.16666666666669</v>
      </c>
      <c r="AM84" s="49">
        <v>477.08333333333331</v>
      </c>
      <c r="AN84" s="49">
        <v>612.91666666666663</v>
      </c>
      <c r="AO84" s="49">
        <v>477.08333333333331</v>
      </c>
      <c r="AP84" s="49">
        <v>807.08333333333337</v>
      </c>
      <c r="AQ84" s="49">
        <v>33874.065891138867</v>
      </c>
      <c r="AR84" s="49">
        <v>36907.391701015105</v>
      </c>
      <c r="AS84" s="49">
        <v>36281.017877267914</v>
      </c>
      <c r="AT84" s="49">
        <v>36751.965571218861</v>
      </c>
      <c r="AU84" s="49">
        <v>38158.511907850363</v>
      </c>
      <c r="AV84" s="101">
        <v>53275.768594881883</v>
      </c>
      <c r="AW84" s="101">
        <v>52853.137536402188</v>
      </c>
      <c r="AX84" s="102">
        <v>53577.624838605923</v>
      </c>
      <c r="AY84" s="102">
        <v>51731.967526690394</v>
      </c>
      <c r="AZ84" s="102">
        <v>52660</v>
      </c>
      <c r="BA84" s="99">
        <v>8.4612400953066995</v>
      </c>
      <c r="BB84" s="99">
        <v>8.8358109236679478</v>
      </c>
      <c r="BC84" s="99">
        <v>8.5303300624442464</v>
      </c>
      <c r="BD84" s="99">
        <v>10.676995621421353</v>
      </c>
      <c r="BE84" s="99">
        <v>9.8684943720049034</v>
      </c>
      <c r="BF84" s="99">
        <v>10.083663584324086</v>
      </c>
      <c r="BG84" s="99">
        <v>10.464341257498333</v>
      </c>
      <c r="BH84" s="48">
        <v>12.568067959050316</v>
      </c>
      <c r="BI84" s="48">
        <v>14.958323946834872</v>
      </c>
      <c r="BJ84" s="48">
        <v>13.52017937219731</v>
      </c>
      <c r="BK84" s="44">
        <v>3596</v>
      </c>
      <c r="BL84" s="44">
        <v>3592</v>
      </c>
      <c r="BM84" s="44">
        <v>3606</v>
      </c>
      <c r="BN84" s="42">
        <v>3603</v>
      </c>
      <c r="BO84" s="45">
        <v>31.062291434927698</v>
      </c>
      <c r="BP84" s="45">
        <v>34.548997772828507</v>
      </c>
      <c r="BQ84" s="45">
        <v>34.830837493067108</v>
      </c>
      <c r="BR84" s="46">
        <v>37.607549264501806</v>
      </c>
      <c r="BS84" s="105">
        <v>2.7808676307007785E-2</v>
      </c>
      <c r="BT84" s="105">
        <v>3.591314031180401</v>
      </c>
      <c r="BU84" s="105">
        <v>2.9950083194675541</v>
      </c>
      <c r="BV84" s="105">
        <v>2.3868998057174577</v>
      </c>
      <c r="BW84" s="45">
        <v>16.518353726362626</v>
      </c>
      <c r="BX84" s="45">
        <v>16.258351893095767</v>
      </c>
      <c r="BY84" s="45">
        <v>15.085967831392125</v>
      </c>
      <c r="BZ84" s="45">
        <v>15.570358034970857</v>
      </c>
      <c r="CA84" s="44">
        <v>84.693877551020407</v>
      </c>
      <c r="CB84" s="44">
        <v>82.770270270270274</v>
      </c>
      <c r="CC84" s="44">
        <v>87.545787545787547</v>
      </c>
      <c r="CD84" s="44">
        <v>88.28</v>
      </c>
      <c r="CE84" s="45">
        <v>4.7619047619047619</v>
      </c>
      <c r="CF84" s="45">
        <v>5.4054054054054053</v>
      </c>
      <c r="CG84" s="45">
        <v>2.197802197802198</v>
      </c>
      <c r="CH84" s="45">
        <v>3.79</v>
      </c>
      <c r="CI84" s="48">
        <v>1116</v>
      </c>
      <c r="CJ84" s="51">
        <v>1253</v>
      </c>
      <c r="CK84" s="51">
        <v>1286</v>
      </c>
      <c r="CL84" s="57">
        <v>1137</v>
      </c>
      <c r="CM84" s="108">
        <v>12.413793103448276</v>
      </c>
      <c r="CN84" s="108">
        <v>13.34483566575074</v>
      </c>
      <c r="CO84" s="108">
        <v>13.265937693418609</v>
      </c>
      <c r="CP84" s="108">
        <v>11.825150024440724</v>
      </c>
      <c r="CQ84" s="60">
        <v>45</v>
      </c>
      <c r="CR84" s="60">
        <v>46</v>
      </c>
      <c r="CS84" s="60">
        <v>55</v>
      </c>
      <c r="CT84" s="60">
        <v>45</v>
      </c>
      <c r="CU84" s="108">
        <v>4.1782729805013927</v>
      </c>
      <c r="CV84" s="108">
        <v>3.786008230452675</v>
      </c>
      <c r="CW84" s="108">
        <v>4.4247787610619467</v>
      </c>
      <c r="CX84" s="108">
        <v>4.0760869565217392</v>
      </c>
      <c r="CY84" s="61">
        <v>69</v>
      </c>
      <c r="CZ84" s="57">
        <v>77</v>
      </c>
      <c r="DA84" s="60">
        <v>85</v>
      </c>
      <c r="DB84" s="60">
        <v>84</v>
      </c>
      <c r="DC84" s="108">
        <v>7.0050761421319798</v>
      </c>
      <c r="DD84" s="108">
        <v>6.5531914893617023</v>
      </c>
      <c r="DE84" s="108">
        <v>7.3339085418464194</v>
      </c>
      <c r="DF84" s="108">
        <v>7.9620853080568716</v>
      </c>
      <c r="DG84" s="108">
        <v>86.829727187206018</v>
      </c>
      <c r="DH84" s="108">
        <v>86.949429037520389</v>
      </c>
      <c r="DI84" s="108">
        <v>87.697160883280759</v>
      </c>
      <c r="DJ84" s="108">
        <v>88.198757763975152</v>
      </c>
      <c r="DK84" s="108">
        <v>9.5595126522961582</v>
      </c>
      <c r="DL84" s="108">
        <v>15.452361889511609</v>
      </c>
      <c r="DM84" s="108">
        <v>15.432579890880747</v>
      </c>
      <c r="DN84" s="108">
        <v>15.506607929515418</v>
      </c>
      <c r="DO84" s="108">
        <v>21.146953405017921</v>
      </c>
      <c r="DP84" s="108">
        <v>27.214684756584198</v>
      </c>
      <c r="DQ84" s="108">
        <v>32.037325038880248</v>
      </c>
      <c r="DR84" s="108">
        <v>34.212840809146876</v>
      </c>
      <c r="DS84" s="108">
        <v>30.743243243243242</v>
      </c>
      <c r="DT84" s="108">
        <v>30.994152046783626</v>
      </c>
      <c r="DU84" s="108">
        <v>31.588727160111489</v>
      </c>
      <c r="DV84" s="108">
        <v>26.090064331665474</v>
      </c>
      <c r="DW84" s="62">
        <v>194</v>
      </c>
      <c r="DX84" s="62">
        <v>3</v>
      </c>
      <c r="DY84" s="57">
        <v>1</v>
      </c>
      <c r="DZ84" s="60">
        <v>1</v>
      </c>
      <c r="EA84" s="60">
        <v>10</v>
      </c>
      <c r="EB84" s="60">
        <v>3</v>
      </c>
      <c r="EC84" s="60">
        <v>8</v>
      </c>
      <c r="ED84" s="57">
        <v>5</v>
      </c>
      <c r="EE84" s="60">
        <v>5</v>
      </c>
      <c r="EF84" s="60">
        <v>836</v>
      </c>
      <c r="EG84" s="60">
        <v>873</v>
      </c>
      <c r="EH84" s="60">
        <v>828</v>
      </c>
      <c r="EI84" s="60">
        <v>794</v>
      </c>
      <c r="EJ84" s="115">
        <v>169</v>
      </c>
      <c r="EK84" s="115">
        <v>0</v>
      </c>
      <c r="EL84" s="115">
        <v>0</v>
      </c>
      <c r="EM84" s="115">
        <v>0</v>
      </c>
      <c r="EN84" s="115">
        <v>3</v>
      </c>
      <c r="EO84" s="108">
        <v>929.92213570634033</v>
      </c>
      <c r="EP84" s="108">
        <v>929.77187040705473</v>
      </c>
      <c r="EQ84" s="108">
        <v>854.13657932741899</v>
      </c>
      <c r="ER84" s="108">
        <v>825.78444321951929</v>
      </c>
      <c r="ES84" s="108">
        <v>753.86438720140961</v>
      </c>
      <c r="ET84" s="108">
        <v>754.60209344743703</v>
      </c>
      <c r="EU84" s="108">
        <v>686.15756661765829</v>
      </c>
      <c r="EV84" s="108">
        <v>623.31422637727417</v>
      </c>
      <c r="EW84" s="108">
        <v>921.1318403698956</v>
      </c>
      <c r="EX84" s="108">
        <v>921.14033536775207</v>
      </c>
      <c r="EY84" s="108">
        <v>829.76151567176339</v>
      </c>
      <c r="EZ84" s="108">
        <v>726.89978423699415</v>
      </c>
      <c r="FA84" s="108">
        <v>625.71963965044984</v>
      </c>
      <c r="FB84" s="108">
        <v>630.75663706047339</v>
      </c>
      <c r="FC84" s="108">
        <v>576.36717178568722</v>
      </c>
      <c r="FD84" s="108">
        <v>542.84273062215675</v>
      </c>
      <c r="FE84" s="57">
        <v>213</v>
      </c>
      <c r="FF84" s="62">
        <v>201</v>
      </c>
      <c r="FG84" s="62">
        <v>185</v>
      </c>
      <c r="FH84" s="62">
        <v>210</v>
      </c>
      <c r="FI84" s="108">
        <v>199.698848018105</v>
      </c>
      <c r="FJ84" s="108">
        <v>184.59663165280577</v>
      </c>
      <c r="FK84" s="108">
        <v>167.47887503263553</v>
      </c>
      <c r="FL84" s="108">
        <v>172.62059959811796</v>
      </c>
      <c r="FM84" s="62">
        <v>271</v>
      </c>
      <c r="FN84" s="62">
        <v>253</v>
      </c>
      <c r="FO84" s="57">
        <v>211</v>
      </c>
      <c r="FP84" s="62">
        <v>187</v>
      </c>
      <c r="FQ84" s="108">
        <v>238.16680310202588</v>
      </c>
      <c r="FR84" s="108">
        <v>212.0221482061155</v>
      </c>
      <c r="FS84" s="108">
        <v>169.45061827033169</v>
      </c>
      <c r="FT84" s="108">
        <v>139.70713734176331</v>
      </c>
      <c r="FU84" s="60">
        <v>71</v>
      </c>
      <c r="FV84" s="60">
        <v>67</v>
      </c>
      <c r="FW84" s="60">
        <v>66</v>
      </c>
      <c r="FX84" s="60">
        <v>43</v>
      </c>
      <c r="FY84" s="108">
        <v>61.303665524027267</v>
      </c>
      <c r="FZ84" s="108">
        <v>53.16708125911326</v>
      </c>
      <c r="GA84" s="108">
        <v>49.964897751583635</v>
      </c>
      <c r="GB84" s="108">
        <v>31.398545797081628</v>
      </c>
      <c r="GC84" s="63">
        <v>34</v>
      </c>
      <c r="GD84" s="64">
        <v>43</v>
      </c>
      <c r="GE84" s="63">
        <v>35</v>
      </c>
      <c r="GF84" s="63">
        <v>32</v>
      </c>
      <c r="GG84" s="112">
        <v>35.814501377830823</v>
      </c>
      <c r="GH84" s="112">
        <v>43.254492601379425</v>
      </c>
      <c r="GI84" s="112">
        <v>32.721295826638915</v>
      </c>
      <c r="GJ84" s="112">
        <v>31.782963833151548</v>
      </c>
      <c r="GK84" s="63"/>
      <c r="GL84" s="63"/>
      <c r="GM84" s="63"/>
      <c r="GN84" s="64"/>
      <c r="GO84" s="63"/>
      <c r="GP84" s="63"/>
      <c r="GQ84" s="63"/>
      <c r="GR84" s="63"/>
      <c r="GS84" s="64"/>
      <c r="GT84" s="63"/>
      <c r="GU84" s="63"/>
      <c r="GV84" s="63"/>
      <c r="GW84" s="63"/>
      <c r="GX84" s="64"/>
      <c r="GY84" s="64"/>
      <c r="GZ84" s="64"/>
      <c r="HA84" s="64"/>
      <c r="HB84" s="64"/>
      <c r="HC84" s="64"/>
      <c r="HD84" s="65"/>
      <c r="HE84" s="65"/>
      <c r="HF84" s="65"/>
      <c r="HG84" s="65"/>
      <c r="HH84" s="65"/>
      <c r="HI84" s="66"/>
      <c r="HJ84" s="66"/>
      <c r="HK84" s="63"/>
      <c r="HL84" s="64"/>
      <c r="HM84" s="64"/>
      <c r="HN84" s="64"/>
      <c r="HO84" s="64"/>
      <c r="HP84" s="64"/>
      <c r="HQ84" s="64"/>
      <c r="HR84" s="64"/>
      <c r="HS84" s="64"/>
      <c r="HT84" s="64"/>
      <c r="HU84" s="39"/>
    </row>
    <row r="85" spans="1:229" ht="21" customHeight="1" x14ac:dyDescent="0.2">
      <c r="A85" s="37">
        <v>82</v>
      </c>
      <c r="B85" s="86" t="s">
        <v>140</v>
      </c>
      <c r="C85" s="93">
        <v>226475</v>
      </c>
      <c r="D85" s="93">
        <v>229173</v>
      </c>
      <c r="E85" s="93">
        <v>231958</v>
      </c>
      <c r="F85" s="93">
        <v>238136</v>
      </c>
      <c r="G85" s="93">
        <v>241280</v>
      </c>
      <c r="H85" s="43">
        <v>213548</v>
      </c>
      <c r="I85" s="43">
        <v>9171</v>
      </c>
      <c r="J85" s="43">
        <v>1245</v>
      </c>
      <c r="K85" s="43">
        <v>12504</v>
      </c>
      <c r="L85" s="43">
        <v>8411</v>
      </c>
      <c r="M85" s="44">
        <v>85632</v>
      </c>
      <c r="N85" s="44">
        <v>86709</v>
      </c>
      <c r="O85" s="45">
        <v>88120</v>
      </c>
      <c r="P85" s="45">
        <v>87859</v>
      </c>
      <c r="Q85" s="46">
        <v>88921</v>
      </c>
      <c r="R85" s="105">
        <v>12.413863055729889</v>
      </c>
      <c r="S85" s="105">
        <v>12.737989574087733</v>
      </c>
      <c r="T85" s="105">
        <v>13.678420858104003</v>
      </c>
      <c r="U85" s="105">
        <v>15.507417292533052</v>
      </c>
      <c r="V85" s="105">
        <v>16.277944509095363</v>
      </c>
      <c r="W85" s="105">
        <v>31.158276436989279</v>
      </c>
      <c r="X85" s="105">
        <v>30.507669421074343</v>
      </c>
      <c r="Y85" s="105">
        <v>31.630447720054374</v>
      </c>
      <c r="Z85" s="105">
        <v>32.302153807957296</v>
      </c>
      <c r="AA85" s="105">
        <v>31.501806823053837</v>
      </c>
      <c r="AB85" s="105">
        <v>43.572139492719167</v>
      </c>
      <c r="AC85" s="105">
        <v>43.245658995162074</v>
      </c>
      <c r="AD85" s="105">
        <v>45.308868578158375</v>
      </c>
      <c r="AE85" s="105">
        <v>47.809571100490345</v>
      </c>
      <c r="AF85" s="105">
        <v>47.779751332149203</v>
      </c>
      <c r="AG85" s="46">
        <v>4.0500316408721941</v>
      </c>
      <c r="AH85" s="46">
        <v>4.9505103023300601</v>
      </c>
      <c r="AI85" s="46">
        <v>7.5343366735017607</v>
      </c>
      <c r="AJ85" s="46">
        <v>6.9336525836101028</v>
      </c>
      <c r="AK85" s="45">
        <v>6.2893565327038852</v>
      </c>
      <c r="AL85" s="49">
        <v>2148.5</v>
      </c>
      <c r="AM85" s="49">
        <v>2392.25</v>
      </c>
      <c r="AN85" s="49">
        <v>3012.6666666666665</v>
      </c>
      <c r="AO85" s="49">
        <v>2392.25</v>
      </c>
      <c r="AP85" s="49">
        <v>4437.083333333333</v>
      </c>
      <c r="AQ85" s="49">
        <v>50693.829523649154</v>
      </c>
      <c r="AR85" s="49">
        <v>50157.400686214816</v>
      </c>
      <c r="AS85" s="49">
        <v>47940.683900968514</v>
      </c>
      <c r="AT85" s="49">
        <v>48517.495972163015</v>
      </c>
      <c r="AU85" s="49">
        <v>49522.778514588863</v>
      </c>
      <c r="AV85" s="101">
        <v>84742.406782031612</v>
      </c>
      <c r="AW85" s="101">
        <v>83235.673121136264</v>
      </c>
      <c r="AX85" s="102">
        <v>79077.848198679014</v>
      </c>
      <c r="AY85" s="102">
        <v>80040.182104596985</v>
      </c>
      <c r="AZ85" s="102">
        <v>77069</v>
      </c>
      <c r="BA85" s="99">
        <v>4.6517255750796576</v>
      </c>
      <c r="BB85" s="99">
        <v>4.4691550393087329</v>
      </c>
      <c r="BC85" s="99">
        <v>5.6569925923981295</v>
      </c>
      <c r="BD85" s="99">
        <v>5.8185571915276846</v>
      </c>
      <c r="BE85" s="99">
        <v>5.8843318573092631</v>
      </c>
      <c r="BF85" s="99">
        <v>5.5450843122075995</v>
      </c>
      <c r="BG85" s="99">
        <v>4.7227717749708313</v>
      </c>
      <c r="BH85" s="48">
        <v>6.460697287594078</v>
      </c>
      <c r="BI85" s="48">
        <v>7.1061169581387986</v>
      </c>
      <c r="BJ85" s="48">
        <v>7.07892335035947</v>
      </c>
      <c r="BK85" s="44">
        <v>39108</v>
      </c>
      <c r="BL85" s="44">
        <v>38681</v>
      </c>
      <c r="BM85" s="44">
        <v>39274</v>
      </c>
      <c r="BN85" s="42">
        <v>39855</v>
      </c>
      <c r="BO85" s="45">
        <v>14.948348164058505</v>
      </c>
      <c r="BP85" s="45">
        <v>16.320674232827486</v>
      </c>
      <c r="BQ85" s="45">
        <v>17.823496460762847</v>
      </c>
      <c r="BR85" s="46">
        <v>19.465562664659391</v>
      </c>
      <c r="BS85" s="105">
        <v>3.0991101564897208</v>
      </c>
      <c r="BT85" s="105">
        <v>3.1798557431297021</v>
      </c>
      <c r="BU85" s="105">
        <v>3.824413097723685</v>
      </c>
      <c r="BV85" s="105">
        <v>4.4561535566428301</v>
      </c>
      <c r="BW85" s="45">
        <v>12.892502812723739</v>
      </c>
      <c r="BX85" s="45">
        <v>11.982627129598511</v>
      </c>
      <c r="BY85" s="45">
        <v>11.890818353108926</v>
      </c>
      <c r="BZ85" s="45">
        <v>12.221804039643709</v>
      </c>
      <c r="CA85" s="44">
        <v>86.768521187662145</v>
      </c>
      <c r="CB85" s="44">
        <v>87.629170357248299</v>
      </c>
      <c r="CC85" s="44">
        <v>88.879029872818691</v>
      </c>
      <c r="CD85" s="44">
        <v>87.9</v>
      </c>
      <c r="CE85" s="45">
        <v>2.7097146151628713</v>
      </c>
      <c r="CF85" s="45">
        <v>2.0962503690581635</v>
      </c>
      <c r="CG85" s="45">
        <v>1.5084294587400178</v>
      </c>
      <c r="CH85" s="45">
        <v>1.56</v>
      </c>
      <c r="CI85" s="48">
        <v>12588</v>
      </c>
      <c r="CJ85" s="51">
        <v>13757</v>
      </c>
      <c r="CK85" s="51">
        <v>14498</v>
      </c>
      <c r="CL85" s="57">
        <v>14301</v>
      </c>
      <c r="CM85" s="108">
        <v>14.583910197962563</v>
      </c>
      <c r="CN85" s="108">
        <v>13.771308389416603</v>
      </c>
      <c r="CO85" s="108">
        <v>13.350891410048622</v>
      </c>
      <c r="CP85" s="108">
        <v>12.25426770018046</v>
      </c>
      <c r="CQ85" s="60">
        <v>508</v>
      </c>
      <c r="CR85" s="60">
        <v>506</v>
      </c>
      <c r="CS85" s="60">
        <v>562</v>
      </c>
      <c r="CT85" s="60">
        <v>563</v>
      </c>
      <c r="CU85" s="108">
        <v>4.1486320947325437</v>
      </c>
      <c r="CV85" s="108">
        <v>3.8159879336349927</v>
      </c>
      <c r="CW85" s="108">
        <v>4.0359066427289045</v>
      </c>
      <c r="CX85" s="108">
        <v>4.0966310121516409</v>
      </c>
      <c r="CY85" s="61">
        <v>750</v>
      </c>
      <c r="CZ85" s="57">
        <v>771</v>
      </c>
      <c r="DA85" s="60">
        <v>920</v>
      </c>
      <c r="DB85" s="60">
        <v>968</v>
      </c>
      <c r="DC85" s="108">
        <v>6.6096765664933459</v>
      </c>
      <c r="DD85" s="108">
        <v>6.6863238227387045</v>
      </c>
      <c r="DE85" s="108">
        <v>7.7026121902210312</v>
      </c>
      <c r="DF85" s="108">
        <v>7.6935304403115561</v>
      </c>
      <c r="DG85" s="108">
        <v>90.902397120183267</v>
      </c>
      <c r="DH85" s="108">
        <v>91.525807425294289</v>
      </c>
      <c r="DI85" s="108">
        <v>92.203215622935176</v>
      </c>
      <c r="DJ85" s="108">
        <v>90.909090909090907</v>
      </c>
      <c r="DK85" s="108">
        <v>10.01818482393784</v>
      </c>
      <c r="DL85" s="108">
        <v>8.500194779898715</v>
      </c>
      <c r="DM85" s="108">
        <v>6.7689466581433342</v>
      </c>
      <c r="DN85" s="108">
        <v>7.4913992838587378</v>
      </c>
      <c r="DO85" s="108">
        <v>14.689759275442917</v>
      </c>
      <c r="DP85" s="108">
        <v>15.709090909090909</v>
      </c>
      <c r="DQ85" s="108">
        <v>19.409573734308179</v>
      </c>
      <c r="DR85" s="108">
        <v>23.646285154610325</v>
      </c>
      <c r="DS85" s="108">
        <v>18.722791397990246</v>
      </c>
      <c r="DT85" s="108">
        <v>16.115800894440181</v>
      </c>
      <c r="DU85" s="108">
        <v>14.923850098216791</v>
      </c>
      <c r="DV85" s="108">
        <v>13.370045145606985</v>
      </c>
      <c r="DW85" s="62">
        <v>2378</v>
      </c>
      <c r="DX85" s="62">
        <v>134</v>
      </c>
      <c r="DY85" s="57">
        <v>9</v>
      </c>
      <c r="DZ85" s="60">
        <v>243</v>
      </c>
      <c r="EA85" s="60">
        <v>91</v>
      </c>
      <c r="EB85" s="60">
        <v>69</v>
      </c>
      <c r="EC85" s="60">
        <v>61</v>
      </c>
      <c r="ED85" s="57">
        <v>67</v>
      </c>
      <c r="EE85" s="60">
        <v>70</v>
      </c>
      <c r="EF85" s="60">
        <v>3835</v>
      </c>
      <c r="EG85" s="60">
        <v>4671</v>
      </c>
      <c r="EH85" s="60">
        <v>5421</v>
      </c>
      <c r="EI85" s="60">
        <v>6277</v>
      </c>
      <c r="EJ85" s="115">
        <v>1283</v>
      </c>
      <c r="EK85" s="115">
        <v>17</v>
      </c>
      <c r="EL85" s="115">
        <v>3</v>
      </c>
      <c r="EM85" s="115">
        <v>26</v>
      </c>
      <c r="EN85" s="115">
        <v>19</v>
      </c>
      <c r="EO85" s="108">
        <v>444.30644748320964</v>
      </c>
      <c r="EP85" s="108">
        <v>467.58582166871378</v>
      </c>
      <c r="EQ85" s="108">
        <v>499.2080447915132</v>
      </c>
      <c r="ER85" s="108">
        <v>537.8647531923134</v>
      </c>
      <c r="ES85" s="108">
        <v>795.70694047865697</v>
      </c>
      <c r="ET85" s="108">
        <v>788.42389184994784</v>
      </c>
      <c r="EU85" s="108">
        <v>746.18307245033441</v>
      </c>
      <c r="EV85" s="108">
        <v>680.79467909519872</v>
      </c>
      <c r="EW85" s="108">
        <v>968.90949843433123</v>
      </c>
      <c r="EX85" s="108">
        <v>936.14404084775106</v>
      </c>
      <c r="EY85" s="108">
        <v>859.59463332009409</v>
      </c>
      <c r="EZ85" s="108">
        <v>780.86634573003153</v>
      </c>
      <c r="FA85" s="108">
        <v>671.63256448163463</v>
      </c>
      <c r="FB85" s="108">
        <v>681.37509693352456</v>
      </c>
      <c r="FC85" s="108">
        <v>660.46058473392554</v>
      </c>
      <c r="FD85" s="108">
        <v>603.49413870796707</v>
      </c>
      <c r="FE85" s="57">
        <v>1018</v>
      </c>
      <c r="FF85" s="62">
        <v>1253</v>
      </c>
      <c r="FG85" s="62">
        <v>1434</v>
      </c>
      <c r="FH85" s="62">
        <v>1720</v>
      </c>
      <c r="FI85" s="108">
        <v>201.31473708602519</v>
      </c>
      <c r="FJ85" s="108">
        <v>197.75001763744436</v>
      </c>
      <c r="FK85" s="108">
        <v>182.81879355214264</v>
      </c>
      <c r="FL85" s="108">
        <v>174.47040627521514</v>
      </c>
      <c r="FM85" s="62">
        <v>927</v>
      </c>
      <c r="FN85" s="62">
        <v>1016</v>
      </c>
      <c r="FO85" s="57">
        <v>1000</v>
      </c>
      <c r="FP85" s="62">
        <v>988</v>
      </c>
      <c r="FQ85" s="108">
        <v>200.71406707296015</v>
      </c>
      <c r="FR85" s="108">
        <v>179.17762161256201</v>
      </c>
      <c r="FS85" s="108">
        <v>143.73596609315598</v>
      </c>
      <c r="FT85" s="108">
        <v>111.85109692570683</v>
      </c>
      <c r="FU85" s="60">
        <v>317</v>
      </c>
      <c r="FV85" s="60">
        <v>337</v>
      </c>
      <c r="FW85" s="60">
        <v>331</v>
      </c>
      <c r="FX85" s="60">
        <v>319</v>
      </c>
      <c r="FY85" s="108">
        <v>73.291335013359372</v>
      </c>
      <c r="FZ85" s="108">
        <v>62.697039301594224</v>
      </c>
      <c r="GA85" s="108">
        <v>49.943721842563292</v>
      </c>
      <c r="GB85" s="108">
        <v>36.801429195270813</v>
      </c>
      <c r="GC85" s="63">
        <v>144</v>
      </c>
      <c r="GD85" s="64">
        <v>192</v>
      </c>
      <c r="GE85" s="63">
        <v>246</v>
      </c>
      <c r="GF85" s="63">
        <v>289</v>
      </c>
      <c r="GG85" s="112">
        <v>22.044667128373217</v>
      </c>
      <c r="GH85" s="112">
        <v>26.065494684092265</v>
      </c>
      <c r="GI85" s="112">
        <v>27.057242982042315</v>
      </c>
      <c r="GJ85" s="112">
        <v>27.884064209129932</v>
      </c>
      <c r="GK85" s="63"/>
      <c r="GL85" s="63"/>
      <c r="GM85" s="63"/>
      <c r="GN85" s="64"/>
      <c r="GO85" s="63"/>
      <c r="GP85" s="63"/>
      <c r="GQ85" s="63"/>
      <c r="GR85" s="63"/>
      <c r="GS85" s="64"/>
      <c r="GT85" s="63"/>
      <c r="GU85" s="63"/>
      <c r="GV85" s="63"/>
      <c r="GW85" s="63"/>
      <c r="GX85" s="64"/>
      <c r="GY85" s="64"/>
      <c r="GZ85" s="64"/>
      <c r="HA85" s="64"/>
      <c r="HB85" s="64"/>
      <c r="HC85" s="64"/>
      <c r="HD85" s="65"/>
      <c r="HE85" s="65"/>
      <c r="HF85" s="65"/>
      <c r="HG85" s="65"/>
      <c r="HH85" s="65"/>
      <c r="HI85" s="66"/>
      <c r="HJ85" s="66"/>
      <c r="HK85" s="63"/>
      <c r="HL85" s="64"/>
      <c r="HM85" s="64"/>
      <c r="HN85" s="64"/>
      <c r="HO85" s="64"/>
      <c r="HP85" s="64"/>
      <c r="HQ85" s="64"/>
      <c r="HR85" s="64"/>
      <c r="HS85" s="64"/>
      <c r="HT85" s="64"/>
      <c r="HU85" s="39"/>
    </row>
    <row r="86" spans="1:229" x14ac:dyDescent="0.2">
      <c r="A86" s="37">
        <v>83</v>
      </c>
      <c r="B86" s="86" t="s">
        <v>141</v>
      </c>
      <c r="C86" s="93">
        <v>11022</v>
      </c>
      <c r="D86" s="93">
        <v>10860</v>
      </c>
      <c r="E86" s="93">
        <v>10912</v>
      </c>
      <c r="F86" s="93">
        <v>11211</v>
      </c>
      <c r="G86" s="93">
        <v>11201</v>
      </c>
      <c r="H86" s="43">
        <v>10786</v>
      </c>
      <c r="I86" s="43">
        <v>101</v>
      </c>
      <c r="J86" s="43">
        <v>113</v>
      </c>
      <c r="K86" s="43">
        <v>106</v>
      </c>
      <c r="L86" s="43">
        <v>2363</v>
      </c>
      <c r="M86" s="44">
        <v>4594</v>
      </c>
      <c r="N86" s="44">
        <v>4588</v>
      </c>
      <c r="O86" s="45">
        <v>4546</v>
      </c>
      <c r="P86" s="45">
        <v>4520</v>
      </c>
      <c r="Q86" s="46">
        <v>4525</v>
      </c>
      <c r="R86" s="105">
        <v>32.562033795098188</v>
      </c>
      <c r="S86" s="105">
        <v>33.359025743795286</v>
      </c>
      <c r="T86" s="105">
        <v>32.34016139044072</v>
      </c>
      <c r="U86" s="105">
        <v>31.231628453850675</v>
      </c>
      <c r="V86" s="105">
        <v>31.068388611681833</v>
      </c>
      <c r="W86" s="105">
        <v>35.226061805449838</v>
      </c>
      <c r="X86" s="105">
        <v>34.052720826267922</v>
      </c>
      <c r="Y86" s="105">
        <v>36.995654872749846</v>
      </c>
      <c r="Z86" s="105">
        <v>33.539094650205762</v>
      </c>
      <c r="AA86" s="105">
        <v>33.313765776342827</v>
      </c>
      <c r="AB86" s="105">
        <v>67.788095600548033</v>
      </c>
      <c r="AC86" s="105">
        <v>67.411746570063201</v>
      </c>
      <c r="AD86" s="105">
        <v>69.335816263190566</v>
      </c>
      <c r="AE86" s="105">
        <v>64.770723104056444</v>
      </c>
      <c r="AF86" s="105">
        <v>64.382154388024659</v>
      </c>
      <c r="AG86" s="46">
        <v>5.0955414012738851</v>
      </c>
      <c r="AH86" s="46">
        <v>6.4663023679417124</v>
      </c>
      <c r="AI86" s="46">
        <v>9.1882247992863508</v>
      </c>
      <c r="AJ86" s="46">
        <v>7.76768216639943</v>
      </c>
      <c r="AK86" s="45">
        <v>6.9070685324721923</v>
      </c>
      <c r="AL86" s="49">
        <v>171.66666666666666</v>
      </c>
      <c r="AM86" s="49">
        <v>174.91666666666666</v>
      </c>
      <c r="AN86" s="49">
        <v>225</v>
      </c>
      <c r="AO86" s="49">
        <v>174.91666666666666</v>
      </c>
      <c r="AP86" s="49">
        <v>383</v>
      </c>
      <c r="AQ86" s="49">
        <v>33203.225729408761</v>
      </c>
      <c r="AR86" s="49">
        <v>36795.030818955936</v>
      </c>
      <c r="AS86" s="49">
        <v>34804.454047963314</v>
      </c>
      <c r="AT86" s="49">
        <v>36247.846125439239</v>
      </c>
      <c r="AU86" s="49">
        <v>39073.65413802339</v>
      </c>
      <c r="AV86" s="101">
        <v>47193.990498789441</v>
      </c>
      <c r="AW86" s="101">
        <v>45686.114596638232</v>
      </c>
      <c r="AX86" s="102">
        <v>45833.508653518969</v>
      </c>
      <c r="AY86" s="102">
        <v>45078.371432109183</v>
      </c>
      <c r="AZ86" s="102">
        <v>46565</v>
      </c>
      <c r="BA86" s="99">
        <v>9.1102282176845613</v>
      </c>
      <c r="BB86" s="99">
        <v>11.140285071267817</v>
      </c>
      <c r="BC86" s="99">
        <v>11.309301456854689</v>
      </c>
      <c r="BD86" s="99">
        <v>11.426761965077354</v>
      </c>
      <c r="BE86" s="99">
        <v>11.787623448400833</v>
      </c>
      <c r="BF86" s="99">
        <v>13.66100469822913</v>
      </c>
      <c r="BG86" s="99">
        <v>14.907063197026023</v>
      </c>
      <c r="BH86" s="48">
        <v>16.179615110477549</v>
      </c>
      <c r="BI86" s="48">
        <v>17.227651103872603</v>
      </c>
      <c r="BJ86" s="48">
        <v>17.591240875912408</v>
      </c>
      <c r="BK86" s="44">
        <v>1951</v>
      </c>
      <c r="BL86" s="44">
        <v>1921</v>
      </c>
      <c r="BM86" s="44">
        <v>1839</v>
      </c>
      <c r="BN86" s="42">
        <v>1829</v>
      </c>
      <c r="BO86" s="45">
        <v>48.692977960020499</v>
      </c>
      <c r="BP86" s="45">
        <v>51.639770952628837</v>
      </c>
      <c r="BQ86" s="45">
        <v>53.779227841218052</v>
      </c>
      <c r="BR86" s="46">
        <v>54.237288135593218</v>
      </c>
      <c r="BS86" s="105">
        <v>14.044079958995386</v>
      </c>
      <c r="BT86" s="105">
        <v>12.805830296720458</v>
      </c>
      <c r="BU86" s="105">
        <v>10.549211528004351</v>
      </c>
      <c r="BV86" s="105">
        <v>11.591033351558229</v>
      </c>
      <c r="BW86" s="45">
        <v>15.940543311122502</v>
      </c>
      <c r="BX86" s="45">
        <v>16.710046850598648</v>
      </c>
      <c r="BY86" s="45">
        <v>17.29200652528548</v>
      </c>
      <c r="BZ86" s="45">
        <v>17.495899398578459</v>
      </c>
      <c r="CA86" s="44">
        <v>81.76100628930817</v>
      </c>
      <c r="CB86" s="44">
        <v>81.707317073170728</v>
      </c>
      <c r="CC86" s="44">
        <v>80.606060606060609</v>
      </c>
      <c r="CD86" s="44">
        <v>86.84</v>
      </c>
      <c r="CE86" s="45">
        <v>5.6603773584905657</v>
      </c>
      <c r="CF86" s="45">
        <v>6.0975609756097562</v>
      </c>
      <c r="CG86" s="45">
        <v>5.4545454545454541</v>
      </c>
      <c r="CH86" s="45">
        <v>5.26</v>
      </c>
      <c r="CI86" s="48">
        <v>857</v>
      </c>
      <c r="CJ86" s="51">
        <v>862</v>
      </c>
      <c r="CK86" s="51">
        <v>742</v>
      </c>
      <c r="CL86" s="57">
        <v>794</v>
      </c>
      <c r="CM86" s="108">
        <v>14.759067268280921</v>
      </c>
      <c r="CN86" s="108">
        <v>14.764824774759344</v>
      </c>
      <c r="CO86" s="108">
        <v>13.000665802291762</v>
      </c>
      <c r="CP86" s="108">
        <v>14.382494656377929</v>
      </c>
      <c r="CQ86" s="60">
        <v>28</v>
      </c>
      <c r="CR86" s="60">
        <v>28</v>
      </c>
      <c r="CS86" s="60">
        <v>39</v>
      </c>
      <c r="CT86" s="60">
        <v>30</v>
      </c>
      <c r="CU86" s="108">
        <v>3.3653846153846154</v>
      </c>
      <c r="CV86" s="108">
        <v>3.3412887828162292</v>
      </c>
      <c r="CW86" s="108">
        <v>5.4091539528432735</v>
      </c>
      <c r="CX86" s="108">
        <v>3.9267015706806281</v>
      </c>
      <c r="CY86" s="61">
        <v>69</v>
      </c>
      <c r="CZ86" s="57">
        <v>56</v>
      </c>
      <c r="DA86" s="60">
        <v>69</v>
      </c>
      <c r="DB86" s="60">
        <v>66</v>
      </c>
      <c r="DC86" s="108">
        <v>9.0909090909090917</v>
      </c>
      <c r="DD86" s="108">
        <v>7.0796460176991154</v>
      </c>
      <c r="DE86" s="108">
        <v>10.407239819004525</v>
      </c>
      <c r="DF86" s="108">
        <v>9.1922005571030638</v>
      </c>
      <c r="DG86" s="108">
        <v>69.975490196078425</v>
      </c>
      <c r="DH86" s="108">
        <v>73.975903614457835</v>
      </c>
      <c r="DI86" s="108">
        <v>82.786885245901644</v>
      </c>
      <c r="DJ86" s="108">
        <v>84.674329501915707</v>
      </c>
      <c r="DK86" s="108">
        <v>11.269430051813471</v>
      </c>
      <c r="DL86" s="108">
        <v>10.223266745005876</v>
      </c>
      <c r="DM86" s="108">
        <v>12.567567567567568</v>
      </c>
      <c r="DN86" s="108">
        <v>10.466582597730138</v>
      </c>
      <c r="DO86" s="108">
        <v>30.490654205607477</v>
      </c>
      <c r="DP86" s="108">
        <v>33.10104529616725</v>
      </c>
      <c r="DQ86" s="108">
        <v>38.005390835579512</v>
      </c>
      <c r="DR86" s="108">
        <v>41.183879093198989</v>
      </c>
      <c r="DS86" s="108">
        <v>71.009389671361504</v>
      </c>
      <c r="DT86" s="108">
        <v>61.076102762966556</v>
      </c>
      <c r="DU86" s="108">
        <v>50.746268656716417</v>
      </c>
      <c r="DV86" s="108">
        <v>48.979591836734691</v>
      </c>
      <c r="DW86" s="62">
        <v>116</v>
      </c>
      <c r="DX86" s="62">
        <v>1</v>
      </c>
      <c r="DY86" s="57">
        <v>0</v>
      </c>
      <c r="DZ86" s="60">
        <v>0</v>
      </c>
      <c r="EA86" s="60">
        <v>49</v>
      </c>
      <c r="EB86" s="60">
        <v>6</v>
      </c>
      <c r="EC86" s="60">
        <v>5</v>
      </c>
      <c r="ED86" s="57">
        <v>6</v>
      </c>
      <c r="EE86" s="60">
        <v>8</v>
      </c>
      <c r="EF86" s="60">
        <v>646</v>
      </c>
      <c r="EG86" s="60">
        <v>656</v>
      </c>
      <c r="EH86" s="60">
        <v>589</v>
      </c>
      <c r="EI86" s="60">
        <v>605</v>
      </c>
      <c r="EJ86" s="115">
        <v>109</v>
      </c>
      <c r="EK86" s="115">
        <v>0</v>
      </c>
      <c r="EL86" s="115">
        <v>0</v>
      </c>
      <c r="EM86" s="115">
        <v>1</v>
      </c>
      <c r="EN86" s="115">
        <v>3</v>
      </c>
      <c r="EO86" s="108">
        <v>1112.5271243068232</v>
      </c>
      <c r="EP86" s="108">
        <v>1123.6339967798294</v>
      </c>
      <c r="EQ86" s="108">
        <v>1031.9935522304377</v>
      </c>
      <c r="ER86" s="108">
        <v>1095.8953736912654</v>
      </c>
      <c r="ES86" s="108">
        <v>774.95732247216779</v>
      </c>
      <c r="ET86" s="108">
        <v>752.01026976040021</v>
      </c>
      <c r="EU86" s="108">
        <v>648.98263790038834</v>
      </c>
      <c r="EV86" s="108">
        <v>669.17461292690859</v>
      </c>
      <c r="EW86" s="108">
        <v>968.46236467904293</v>
      </c>
      <c r="EX86" s="108">
        <v>889.12266681155415</v>
      </c>
      <c r="EY86" s="108">
        <v>741.52959834106446</v>
      </c>
      <c r="EZ86" s="108">
        <v>878.95731980084042</v>
      </c>
      <c r="FA86" s="108">
        <v>637.19600336870417</v>
      </c>
      <c r="FB86" s="108">
        <v>643.26559025276595</v>
      </c>
      <c r="FC86" s="108">
        <v>573.52546846424855</v>
      </c>
      <c r="FD86" s="108">
        <v>494.41643435147864</v>
      </c>
      <c r="FE86" s="57">
        <v>150</v>
      </c>
      <c r="FF86" s="62">
        <v>157</v>
      </c>
      <c r="FG86" s="62">
        <v>128</v>
      </c>
      <c r="FH86" s="62">
        <v>130</v>
      </c>
      <c r="FI86" s="108">
        <v>191.9881422107899</v>
      </c>
      <c r="FJ86" s="108">
        <v>189.60020729104428</v>
      </c>
      <c r="FK86" s="108">
        <v>156.70927969059258</v>
      </c>
      <c r="FL86" s="108">
        <v>150.0359765980794</v>
      </c>
      <c r="FM86" s="62">
        <v>248</v>
      </c>
      <c r="FN86" s="62">
        <v>212</v>
      </c>
      <c r="FO86" s="57">
        <v>154</v>
      </c>
      <c r="FP86" s="62">
        <v>147</v>
      </c>
      <c r="FQ86" s="108">
        <v>282.13817506549844</v>
      </c>
      <c r="FR86" s="108">
        <v>233.97753905168724</v>
      </c>
      <c r="FS86" s="108">
        <v>164.26840747792403</v>
      </c>
      <c r="FT86" s="108">
        <v>154.48525291100512</v>
      </c>
      <c r="FU86" s="60">
        <v>61</v>
      </c>
      <c r="FV86" s="60">
        <v>61</v>
      </c>
      <c r="FW86" s="60">
        <v>37</v>
      </c>
      <c r="FX86" s="60">
        <v>46</v>
      </c>
      <c r="FY86" s="108">
        <v>66.199564121892479</v>
      </c>
      <c r="FZ86" s="108">
        <v>63.520611090669121</v>
      </c>
      <c r="GA86" s="108">
        <v>34.516011443861842</v>
      </c>
      <c r="GB86" s="108">
        <v>45.42940802477483</v>
      </c>
      <c r="GC86" s="63">
        <v>28</v>
      </c>
      <c r="GD86" s="64">
        <v>24</v>
      </c>
      <c r="GE86" s="63">
        <v>34</v>
      </c>
      <c r="GF86" s="63">
        <v>26</v>
      </c>
      <c r="GG86" s="112">
        <v>45.516995535777241</v>
      </c>
      <c r="GH86" s="112">
        <v>37.808437647571978</v>
      </c>
      <c r="GI86" s="112">
        <v>44.843480173796195</v>
      </c>
      <c r="GJ86" s="112">
        <v>38.087308047055878</v>
      </c>
      <c r="GK86" s="63"/>
      <c r="GL86" s="63"/>
      <c r="GM86" s="63"/>
      <c r="GN86" s="64"/>
      <c r="GO86" s="63"/>
      <c r="GP86" s="63"/>
      <c r="GQ86" s="63"/>
      <c r="GR86" s="63"/>
      <c r="GS86" s="64"/>
      <c r="GT86" s="63"/>
      <c r="GU86" s="63"/>
      <c r="GV86" s="63"/>
      <c r="GW86" s="63"/>
      <c r="GX86" s="64"/>
      <c r="GY86" s="64"/>
      <c r="GZ86" s="64"/>
      <c r="HA86" s="64"/>
      <c r="HB86" s="64"/>
      <c r="HC86" s="64"/>
      <c r="HD86" s="65"/>
      <c r="HE86" s="65"/>
      <c r="HF86" s="65"/>
      <c r="HG86" s="65"/>
      <c r="HH86" s="65"/>
      <c r="HI86" s="66"/>
      <c r="HJ86" s="66"/>
      <c r="HK86" s="63"/>
      <c r="HL86" s="64"/>
      <c r="HM86" s="64"/>
      <c r="HN86" s="64"/>
      <c r="HO86" s="64"/>
      <c r="HP86" s="64"/>
      <c r="HQ86" s="64"/>
      <c r="HR86" s="64"/>
      <c r="HS86" s="64"/>
      <c r="HT86" s="64"/>
      <c r="HU86" s="39"/>
    </row>
    <row r="87" spans="1:229" x14ac:dyDescent="0.2">
      <c r="A87" s="37">
        <v>84</v>
      </c>
      <c r="B87" s="86" t="s">
        <v>142</v>
      </c>
      <c r="C87" s="93">
        <v>6418</v>
      </c>
      <c r="D87" s="93">
        <v>6286</v>
      </c>
      <c r="E87" s="93">
        <v>6264</v>
      </c>
      <c r="F87" s="93">
        <v>6576</v>
      </c>
      <c r="G87" s="93">
        <v>6592</v>
      </c>
      <c r="H87" s="43">
        <v>6400</v>
      </c>
      <c r="I87" s="43">
        <v>16</v>
      </c>
      <c r="J87" s="43">
        <v>76</v>
      </c>
      <c r="K87" s="43">
        <v>24</v>
      </c>
      <c r="L87" s="43">
        <v>152</v>
      </c>
      <c r="M87" s="44">
        <v>2716</v>
      </c>
      <c r="N87" s="44">
        <v>2696</v>
      </c>
      <c r="O87" s="45">
        <v>2673</v>
      </c>
      <c r="P87" s="45">
        <v>2690</v>
      </c>
      <c r="Q87" s="46">
        <v>2708</v>
      </c>
      <c r="R87" s="105">
        <v>24.856046065259118</v>
      </c>
      <c r="S87" s="105">
        <v>24.896366739819555</v>
      </c>
      <c r="T87" s="105">
        <v>28.246013667425967</v>
      </c>
      <c r="U87" s="105">
        <v>28.257191201353638</v>
      </c>
      <c r="V87" s="105">
        <v>28.867469879518072</v>
      </c>
      <c r="W87" s="105">
        <v>29.126679462571978</v>
      </c>
      <c r="X87" s="105">
        <v>28.383321141185078</v>
      </c>
      <c r="Y87" s="105">
        <v>30.296127562642369</v>
      </c>
      <c r="Z87" s="105">
        <v>30.698573845781969</v>
      </c>
      <c r="AA87" s="105">
        <v>29.975903614457831</v>
      </c>
      <c r="AB87" s="105">
        <v>53.982725527831093</v>
      </c>
      <c r="AC87" s="105">
        <v>53.279687881004634</v>
      </c>
      <c r="AD87" s="105">
        <v>58.542141230068339</v>
      </c>
      <c r="AE87" s="105">
        <v>58.955765047135607</v>
      </c>
      <c r="AF87" s="105">
        <v>58.843373493975903</v>
      </c>
      <c r="AG87" s="46">
        <v>3.8417431192660549</v>
      </c>
      <c r="AH87" s="46">
        <v>4.3378995433789953</v>
      </c>
      <c r="AI87" s="46">
        <v>5.6024774774774775</v>
      </c>
      <c r="AJ87" s="46">
        <v>4.8793859649122808</v>
      </c>
      <c r="AK87" s="45">
        <v>4.2682926829268295</v>
      </c>
      <c r="AL87" s="49">
        <v>148.41666666666666</v>
      </c>
      <c r="AM87" s="49">
        <v>150</v>
      </c>
      <c r="AN87" s="49">
        <v>184.58333333333334</v>
      </c>
      <c r="AO87" s="49">
        <v>150</v>
      </c>
      <c r="AP87" s="49">
        <v>314.58333333333331</v>
      </c>
      <c r="AQ87" s="49">
        <v>37243.737606896109</v>
      </c>
      <c r="AR87" s="49">
        <v>44932.849645581002</v>
      </c>
      <c r="AS87" s="49">
        <v>37765.299002764208</v>
      </c>
      <c r="AT87" s="49">
        <v>41914.910936346583</v>
      </c>
      <c r="AU87" s="49">
        <v>42437.5</v>
      </c>
      <c r="AV87" s="101">
        <v>48851.671007321238</v>
      </c>
      <c r="AW87" s="101">
        <v>54058.785418689011</v>
      </c>
      <c r="AX87" s="102">
        <v>52159.023539063186</v>
      </c>
      <c r="AY87" s="102">
        <v>50145.420116850713</v>
      </c>
      <c r="AZ87" s="102">
        <v>50004</v>
      </c>
      <c r="BA87" s="99">
        <v>8.9371209703159913</v>
      </c>
      <c r="BB87" s="99">
        <v>7.7236434740101023</v>
      </c>
      <c r="BC87" s="99">
        <v>9.1147111765668463</v>
      </c>
      <c r="BD87" s="99">
        <v>9.4925839188134269</v>
      </c>
      <c r="BE87" s="99">
        <v>9.6342412451361863</v>
      </c>
      <c r="BF87" s="99">
        <v>10.572390572390573</v>
      </c>
      <c r="BG87" s="99">
        <v>10.623229461756374</v>
      </c>
      <c r="BH87" s="48">
        <v>12.200137080191912</v>
      </c>
      <c r="BI87" s="48">
        <v>13.600525624178712</v>
      </c>
      <c r="BJ87" s="48">
        <v>12.850619699934768</v>
      </c>
      <c r="BK87" s="44">
        <v>1150</v>
      </c>
      <c r="BL87" s="44">
        <v>1121</v>
      </c>
      <c r="BM87" s="44">
        <v>1119</v>
      </c>
      <c r="BN87" s="42">
        <v>1120</v>
      </c>
      <c r="BO87" s="45">
        <v>37.391304347826086</v>
      </c>
      <c r="BP87" s="45">
        <v>40.231935771632472</v>
      </c>
      <c r="BQ87" s="45">
        <v>40.125111706881142</v>
      </c>
      <c r="BR87" s="46">
        <v>41.517857142857146</v>
      </c>
      <c r="BS87" s="105">
        <v>2.8695652173913042</v>
      </c>
      <c r="BT87" s="105">
        <v>3.0330062444246209</v>
      </c>
      <c r="BU87" s="105">
        <v>1.8766756032171581</v>
      </c>
      <c r="BV87" s="105">
        <v>3.2142857142857144</v>
      </c>
      <c r="BW87" s="45">
        <v>17.391304347826086</v>
      </c>
      <c r="BX87" s="45">
        <v>18.554861730597679</v>
      </c>
      <c r="BY87" s="45">
        <v>19.749776586237711</v>
      </c>
      <c r="BZ87" s="45">
        <v>20.625</v>
      </c>
      <c r="CA87" s="44">
        <v>82.352941176470594</v>
      </c>
      <c r="CB87" s="44">
        <v>78.301886792452834</v>
      </c>
      <c r="CC87" s="44">
        <v>83.63636363636364</v>
      </c>
      <c r="CD87" s="44">
        <v>88.14</v>
      </c>
      <c r="CE87" s="45">
        <v>7.8431372549019605</v>
      </c>
      <c r="CF87" s="45">
        <v>7.5471698113207548</v>
      </c>
      <c r="CG87" s="45">
        <v>8.1818181818181817</v>
      </c>
      <c r="CH87" s="45">
        <v>1.69</v>
      </c>
      <c r="CI87" s="48">
        <v>441</v>
      </c>
      <c r="CJ87" s="51">
        <v>441</v>
      </c>
      <c r="CK87" s="51">
        <v>369</v>
      </c>
      <c r="CL87" s="57">
        <v>365</v>
      </c>
      <c r="CM87" s="108">
        <v>11.909906017068165</v>
      </c>
      <c r="CN87" s="108">
        <v>12.217081751946145</v>
      </c>
      <c r="CO87" s="108">
        <v>10.810335735630163</v>
      </c>
      <c r="CP87" s="108">
        <v>11.357978590988299</v>
      </c>
      <c r="CQ87" s="60">
        <v>22</v>
      </c>
      <c r="CR87" s="60">
        <v>21</v>
      </c>
      <c r="CS87" s="60">
        <v>17</v>
      </c>
      <c r="CT87" s="60">
        <v>18</v>
      </c>
      <c r="CU87" s="108">
        <v>5.1764705882352944</v>
      </c>
      <c r="CV87" s="108">
        <v>5.0724637681159424</v>
      </c>
      <c r="CW87" s="108">
        <v>4.7619047619047619</v>
      </c>
      <c r="CX87" s="108">
        <v>4.986149584487535</v>
      </c>
      <c r="CY87" s="61">
        <v>32</v>
      </c>
      <c r="CZ87" s="57">
        <v>31</v>
      </c>
      <c r="DA87" s="60">
        <v>33</v>
      </c>
      <c r="DB87" s="60">
        <v>21</v>
      </c>
      <c r="DC87" s="108">
        <v>7.8817733990147785</v>
      </c>
      <c r="DD87" s="108">
        <v>7.6354679802955667</v>
      </c>
      <c r="DE87" s="108">
        <v>9.8802395209580833</v>
      </c>
      <c r="DF87" s="108">
        <v>6.6037735849056602</v>
      </c>
      <c r="DG87" s="108">
        <v>81.627906976744185</v>
      </c>
      <c r="DH87" s="108">
        <v>89.607390300230946</v>
      </c>
      <c r="DI87" s="108">
        <v>88.980716253443532</v>
      </c>
      <c r="DJ87" s="108">
        <v>89.149560117302059</v>
      </c>
      <c r="DK87" s="108">
        <v>20.379146919431278</v>
      </c>
      <c r="DL87" s="108">
        <v>14.545454545454545</v>
      </c>
      <c r="DM87" s="108">
        <v>14.905149051490515</v>
      </c>
      <c r="DN87" s="108">
        <v>14.56043956043956</v>
      </c>
      <c r="DO87" s="108">
        <v>19.954648526077097</v>
      </c>
      <c r="DP87" s="108">
        <v>23.582766439909296</v>
      </c>
      <c r="DQ87" s="108">
        <v>22.222222222222221</v>
      </c>
      <c r="DR87" s="108">
        <v>29.041095890410958</v>
      </c>
      <c r="DS87" s="108">
        <v>29.756537421100091</v>
      </c>
      <c r="DT87" s="108">
        <v>27.376425855513308</v>
      </c>
      <c r="DU87" s="108">
        <v>16.771488469601678</v>
      </c>
      <c r="DV87" s="108" t="s">
        <v>39</v>
      </c>
      <c r="DW87" s="62">
        <v>68</v>
      </c>
      <c r="DX87" s="62">
        <v>53</v>
      </c>
      <c r="DY87" s="57">
        <v>0</v>
      </c>
      <c r="DZ87" s="60">
        <v>0</v>
      </c>
      <c r="EA87" s="60">
        <v>2</v>
      </c>
      <c r="EB87" s="60">
        <v>2</v>
      </c>
      <c r="EC87" s="60">
        <v>3</v>
      </c>
      <c r="ED87" s="57">
        <v>6</v>
      </c>
      <c r="EE87" s="60">
        <v>0</v>
      </c>
      <c r="EF87" s="60">
        <v>396</v>
      </c>
      <c r="EG87" s="60">
        <v>387</v>
      </c>
      <c r="EH87" s="60">
        <v>359</v>
      </c>
      <c r="EI87" s="60">
        <v>395</v>
      </c>
      <c r="EJ87" s="115">
        <v>72</v>
      </c>
      <c r="EK87" s="115">
        <v>0</v>
      </c>
      <c r="EL87" s="115">
        <v>1</v>
      </c>
      <c r="EM87" s="115">
        <v>0</v>
      </c>
      <c r="EN87" s="115">
        <v>0</v>
      </c>
      <c r="EO87" s="108">
        <v>1069.4609484714269</v>
      </c>
      <c r="EP87" s="108">
        <v>1072.111255783029</v>
      </c>
      <c r="EQ87" s="108">
        <v>1051.7372707564305</v>
      </c>
      <c r="ER87" s="108">
        <v>1229.1511077918844</v>
      </c>
      <c r="ES87" s="108">
        <v>786.39799475716336</v>
      </c>
      <c r="ET87" s="108">
        <v>798.47900669843841</v>
      </c>
      <c r="EU87" s="108">
        <v>738.98655745985616</v>
      </c>
      <c r="EV87" s="108">
        <v>817.61322349112515</v>
      </c>
      <c r="EW87" s="108">
        <v>995.13682081659192</v>
      </c>
      <c r="EX87" s="108">
        <v>1031.9946782864108</v>
      </c>
      <c r="EY87" s="108">
        <v>762.27631339041614</v>
      </c>
      <c r="EZ87" s="108">
        <v>870.77460649788895</v>
      </c>
      <c r="FA87" s="108">
        <v>616.24232773399683</v>
      </c>
      <c r="FB87" s="108">
        <v>611.66843454992306</v>
      </c>
      <c r="FC87" s="108">
        <v>695.18989496684708</v>
      </c>
      <c r="FD87" s="108">
        <v>760.26970520320697</v>
      </c>
      <c r="FE87" s="57">
        <v>87</v>
      </c>
      <c r="FF87" s="62">
        <v>94</v>
      </c>
      <c r="FG87" s="62">
        <v>78</v>
      </c>
      <c r="FH87" s="62">
        <v>70</v>
      </c>
      <c r="FI87" s="108">
        <v>178.66411043467198</v>
      </c>
      <c r="FJ87" s="108">
        <v>206.36924208884321</v>
      </c>
      <c r="FK87" s="108">
        <v>171.29359514791747</v>
      </c>
      <c r="FL87" s="108">
        <v>160.00192105648745</v>
      </c>
      <c r="FM87" s="62">
        <v>153</v>
      </c>
      <c r="FN87" s="62">
        <v>105</v>
      </c>
      <c r="FO87" s="57">
        <v>99</v>
      </c>
      <c r="FP87" s="62">
        <v>138</v>
      </c>
      <c r="FQ87" s="108">
        <v>292.29822882011064</v>
      </c>
      <c r="FR87" s="108">
        <v>200.65517315456941</v>
      </c>
      <c r="FS87" s="108">
        <v>192.92652417109593</v>
      </c>
      <c r="FT87" s="108">
        <v>273.35006109639232</v>
      </c>
      <c r="FU87" s="60">
        <v>27</v>
      </c>
      <c r="FV87" s="60">
        <v>32</v>
      </c>
      <c r="FW87" s="60">
        <v>34</v>
      </c>
      <c r="FX87" s="60">
        <v>29</v>
      </c>
      <c r="FY87" s="108">
        <v>48.658510286225237</v>
      </c>
      <c r="FZ87" s="108">
        <v>58.649844691484766</v>
      </c>
      <c r="GA87" s="108">
        <v>58.044972667557445</v>
      </c>
      <c r="GB87" s="108">
        <v>51.977992270024728</v>
      </c>
      <c r="GC87" s="63">
        <v>12</v>
      </c>
      <c r="GD87" s="64">
        <v>18</v>
      </c>
      <c r="GE87" s="63">
        <v>15</v>
      </c>
      <c r="GF87" s="63">
        <v>18</v>
      </c>
      <c r="GG87" s="112" t="s">
        <v>39</v>
      </c>
      <c r="GH87" s="112" t="s">
        <v>39</v>
      </c>
      <c r="GI87" s="112" t="s">
        <v>39</v>
      </c>
      <c r="GJ87" s="112" t="s">
        <v>39</v>
      </c>
      <c r="GK87" s="63"/>
      <c r="GL87" s="63"/>
      <c r="GM87" s="63"/>
      <c r="GN87" s="64"/>
      <c r="GO87" s="63"/>
      <c r="GP87" s="63"/>
      <c r="GQ87" s="63"/>
      <c r="GR87" s="63"/>
      <c r="GS87" s="64"/>
      <c r="GT87" s="63"/>
      <c r="GU87" s="63"/>
      <c r="GV87" s="63"/>
      <c r="GW87" s="63"/>
      <c r="GX87" s="64"/>
      <c r="GY87" s="64"/>
      <c r="GZ87" s="64"/>
      <c r="HA87" s="64"/>
      <c r="HB87" s="64"/>
      <c r="HC87" s="64"/>
      <c r="HD87" s="65"/>
      <c r="HE87" s="65"/>
      <c r="HF87" s="65"/>
      <c r="HG87" s="65"/>
      <c r="HH87" s="65"/>
      <c r="HI87" s="66"/>
      <c r="HJ87" s="66"/>
      <c r="HK87" s="63"/>
      <c r="HL87" s="64"/>
      <c r="HM87" s="64"/>
      <c r="HN87" s="64"/>
      <c r="HO87" s="64"/>
      <c r="HP87" s="64"/>
      <c r="HQ87" s="64"/>
      <c r="HR87" s="64"/>
      <c r="HS87" s="64"/>
      <c r="HT87" s="64"/>
      <c r="HU87" s="39"/>
    </row>
    <row r="88" spans="1:229" x14ac:dyDescent="0.2">
      <c r="A88" s="37">
        <v>85</v>
      </c>
      <c r="B88" s="86" t="s">
        <v>143</v>
      </c>
      <c r="C88" s="93">
        <v>49802</v>
      </c>
      <c r="D88" s="93">
        <v>49879</v>
      </c>
      <c r="E88" s="93">
        <v>49436</v>
      </c>
      <c r="F88" s="93">
        <v>51461</v>
      </c>
      <c r="G88" s="93">
        <v>51378</v>
      </c>
      <c r="H88" s="43">
        <v>48689</v>
      </c>
      <c r="I88" s="43">
        <v>680</v>
      </c>
      <c r="J88" s="43">
        <v>183</v>
      </c>
      <c r="K88" s="43">
        <v>1245</v>
      </c>
      <c r="L88" s="43">
        <v>1311</v>
      </c>
      <c r="M88" s="44">
        <v>19332</v>
      </c>
      <c r="N88" s="44">
        <v>19541</v>
      </c>
      <c r="O88" s="45">
        <v>19731</v>
      </c>
      <c r="P88" s="45">
        <v>19554</v>
      </c>
      <c r="Q88" s="46">
        <v>19609</v>
      </c>
      <c r="R88" s="105">
        <v>19.542785474032268</v>
      </c>
      <c r="S88" s="105">
        <v>20.002280761774433</v>
      </c>
      <c r="T88" s="105">
        <v>19.294077233561389</v>
      </c>
      <c r="U88" s="105">
        <v>18.92871858261228</v>
      </c>
      <c r="V88" s="105">
        <v>19.281699794379712</v>
      </c>
      <c r="W88" s="105">
        <v>22.416053816772134</v>
      </c>
      <c r="X88" s="105">
        <v>22.20036492188391</v>
      </c>
      <c r="Y88" s="105">
        <v>22.222540291414994</v>
      </c>
      <c r="Z88" s="105">
        <v>22.428237879412169</v>
      </c>
      <c r="AA88" s="105">
        <v>21.57642220699109</v>
      </c>
      <c r="AB88" s="105">
        <v>41.958839290804399</v>
      </c>
      <c r="AC88" s="105">
        <v>42.202645683658339</v>
      </c>
      <c r="AD88" s="105">
        <v>41.516617524976382</v>
      </c>
      <c r="AE88" s="105">
        <v>41.356956462024449</v>
      </c>
      <c r="AF88" s="105">
        <v>40.858122001370802</v>
      </c>
      <c r="AG88" s="46">
        <v>4.2282043224747738</v>
      </c>
      <c r="AH88" s="46">
        <v>4.7310791267819017</v>
      </c>
      <c r="AI88" s="46">
        <v>7.9607829599199089</v>
      </c>
      <c r="AJ88" s="46">
        <v>6.8558165315596202</v>
      </c>
      <c r="AK88" s="45">
        <v>5.9752129059059751</v>
      </c>
      <c r="AL88" s="49">
        <v>915.33333333333337</v>
      </c>
      <c r="AM88" s="49">
        <v>946.16666666666663</v>
      </c>
      <c r="AN88" s="49">
        <v>1214.8333333333333</v>
      </c>
      <c r="AO88" s="49">
        <v>946.16666666666663</v>
      </c>
      <c r="AP88" s="49">
        <v>1731.5833333333333</v>
      </c>
      <c r="AQ88" s="49">
        <v>34641.427134121084</v>
      </c>
      <c r="AR88" s="49">
        <v>35926.417362120337</v>
      </c>
      <c r="AS88" s="49">
        <v>33944.254002020862</v>
      </c>
      <c r="AT88" s="49">
        <v>34220.349363768226</v>
      </c>
      <c r="AU88" s="49">
        <v>35049.126085094787</v>
      </c>
      <c r="AV88" s="101">
        <v>48260.417161018988</v>
      </c>
      <c r="AW88" s="101">
        <v>47175.935983242227</v>
      </c>
      <c r="AX88" s="102">
        <v>44823.816819476357</v>
      </c>
      <c r="AY88" s="102">
        <v>43442.308888542393</v>
      </c>
      <c r="AZ88" s="102">
        <v>46028</v>
      </c>
      <c r="BA88" s="99">
        <v>11.489305922705524</v>
      </c>
      <c r="BB88" s="99">
        <v>13.660291279171785</v>
      </c>
      <c r="BC88" s="99">
        <v>16.379023860690786</v>
      </c>
      <c r="BD88" s="99">
        <v>15.371245681341275</v>
      </c>
      <c r="BE88" s="99">
        <v>14.624262740272416</v>
      </c>
      <c r="BF88" s="99">
        <v>11.748090804477457</v>
      </c>
      <c r="BG88" s="99">
        <v>11.724795929184777</v>
      </c>
      <c r="BH88" s="48">
        <v>12.966138019717102</v>
      </c>
      <c r="BI88" s="48">
        <v>15.141277641277641</v>
      </c>
      <c r="BJ88" s="48">
        <v>14.615627965833596</v>
      </c>
      <c r="BK88" s="44">
        <v>5838</v>
      </c>
      <c r="BL88" s="44">
        <v>5716</v>
      </c>
      <c r="BM88" s="44">
        <v>5632</v>
      </c>
      <c r="BN88" s="42">
        <v>5563</v>
      </c>
      <c r="BO88" s="45">
        <v>30.678314491264132</v>
      </c>
      <c r="BP88" s="45">
        <v>34.797060881735476</v>
      </c>
      <c r="BQ88" s="45">
        <v>35.3515625</v>
      </c>
      <c r="BR88" s="46">
        <v>36.059680028761463</v>
      </c>
      <c r="BS88" s="105">
        <v>2.620760534429599</v>
      </c>
      <c r="BT88" s="105">
        <v>2.4667599720083975</v>
      </c>
      <c r="BU88" s="105">
        <v>2.5213068181818183</v>
      </c>
      <c r="BV88" s="105">
        <v>2.948049613517886</v>
      </c>
      <c r="BW88" s="45">
        <v>15.758821514217198</v>
      </c>
      <c r="BX88" s="45">
        <v>16.217634709587124</v>
      </c>
      <c r="BY88" s="45">
        <v>16.637073863636363</v>
      </c>
      <c r="BZ88" s="45">
        <v>17.166996225058423</v>
      </c>
      <c r="CA88" s="44">
        <v>83.035714285714292</v>
      </c>
      <c r="CB88" s="44">
        <v>83.02658486707567</v>
      </c>
      <c r="CC88" s="44">
        <v>81.818181818181813</v>
      </c>
      <c r="CD88" s="44">
        <v>83.04</v>
      </c>
      <c r="CE88" s="45">
        <v>4.8214285714285712</v>
      </c>
      <c r="CF88" s="45">
        <v>4.4989775051124745</v>
      </c>
      <c r="CG88" s="45">
        <v>4.338842975206612</v>
      </c>
      <c r="CH88" s="45">
        <v>4.3499999999999996</v>
      </c>
      <c r="CI88" s="48">
        <v>2787</v>
      </c>
      <c r="CJ88" s="51">
        <v>2771</v>
      </c>
      <c r="CK88" s="51">
        <v>2643</v>
      </c>
      <c r="CL88" s="57">
        <v>2501</v>
      </c>
      <c r="CM88" s="108">
        <v>11.546444714197529</v>
      </c>
      <c r="CN88" s="108">
        <v>11.361306775783319</v>
      </c>
      <c r="CO88" s="108">
        <v>10.724110787408604</v>
      </c>
      <c r="CP88" s="108">
        <v>9.9263363444410935</v>
      </c>
      <c r="CQ88" s="60">
        <v>96</v>
      </c>
      <c r="CR88" s="60">
        <v>104</v>
      </c>
      <c r="CS88" s="60">
        <v>110</v>
      </c>
      <c r="CT88" s="60">
        <v>91</v>
      </c>
      <c r="CU88" s="108">
        <v>3.551609322974473</v>
      </c>
      <c r="CV88" s="108">
        <v>3.8863976083707024</v>
      </c>
      <c r="CW88" s="108">
        <v>4.2619139868268112</v>
      </c>
      <c r="CX88" s="108">
        <v>3.8027580442958628</v>
      </c>
      <c r="CY88" s="61">
        <v>179</v>
      </c>
      <c r="CZ88" s="57">
        <v>177</v>
      </c>
      <c r="DA88" s="60">
        <v>161</v>
      </c>
      <c r="DB88" s="60">
        <v>140</v>
      </c>
      <c r="DC88" s="108">
        <v>7.0444706808343174</v>
      </c>
      <c r="DD88" s="108">
        <v>7.6923076923076925</v>
      </c>
      <c r="DE88" s="108">
        <v>7.5304022450888679</v>
      </c>
      <c r="DF88" s="108">
        <v>6.4844835572024087</v>
      </c>
      <c r="DG88" s="108">
        <v>86.005939123979218</v>
      </c>
      <c r="DH88" s="108">
        <v>89.281598155973882</v>
      </c>
      <c r="DI88" s="108">
        <v>87.814313346228246</v>
      </c>
      <c r="DJ88" s="108">
        <v>86.67763157894737</v>
      </c>
      <c r="DK88" s="108">
        <v>12.932940309506264</v>
      </c>
      <c r="DL88" s="108">
        <v>11.263430900333457</v>
      </c>
      <c r="DM88" s="108">
        <v>9.0107361963190176</v>
      </c>
      <c r="DN88" s="108">
        <v>13.292929292929292</v>
      </c>
      <c r="DO88" s="108">
        <v>21.528525296017222</v>
      </c>
      <c r="DP88" s="108">
        <v>23.601587874413568</v>
      </c>
      <c r="DQ88" s="108">
        <v>26.522890654559212</v>
      </c>
      <c r="DR88" s="108">
        <v>32.24</v>
      </c>
      <c r="DS88" s="108">
        <v>18.78736122971819</v>
      </c>
      <c r="DT88" s="108">
        <v>16.50471563303801</v>
      </c>
      <c r="DU88" s="108">
        <v>13.452248234856931</v>
      </c>
      <c r="DV88" s="108">
        <v>9.7875885047896709</v>
      </c>
      <c r="DW88" s="62">
        <v>422</v>
      </c>
      <c r="DX88" s="62">
        <v>10</v>
      </c>
      <c r="DY88" s="57">
        <v>1</v>
      </c>
      <c r="DZ88" s="60">
        <v>12</v>
      </c>
      <c r="EA88" s="60">
        <v>23</v>
      </c>
      <c r="EB88" s="60">
        <v>16</v>
      </c>
      <c r="EC88" s="60">
        <v>16</v>
      </c>
      <c r="ED88" s="57">
        <v>14</v>
      </c>
      <c r="EE88" s="60">
        <v>15</v>
      </c>
      <c r="EF88" s="60">
        <v>2151</v>
      </c>
      <c r="EG88" s="60">
        <v>2135</v>
      </c>
      <c r="EH88" s="60">
        <v>1964</v>
      </c>
      <c r="EI88" s="60">
        <v>1977</v>
      </c>
      <c r="EJ88" s="115">
        <v>381</v>
      </c>
      <c r="EK88" s="115">
        <v>0</v>
      </c>
      <c r="EL88" s="115">
        <v>0</v>
      </c>
      <c r="EM88" s="115">
        <v>0</v>
      </c>
      <c r="EN88" s="115">
        <v>0</v>
      </c>
      <c r="EO88" s="108">
        <v>891.15186868456703</v>
      </c>
      <c r="EP88" s="108">
        <v>875.36593165995623</v>
      </c>
      <c r="EQ88" s="108">
        <v>796.90327606774486</v>
      </c>
      <c r="ER88" s="108">
        <v>784.66081379288448</v>
      </c>
      <c r="ES88" s="108">
        <v>797.82927955363186</v>
      </c>
      <c r="ET88" s="108">
        <v>783.37457652276396</v>
      </c>
      <c r="EU88" s="108">
        <v>681.62934136015645</v>
      </c>
      <c r="EV88" s="108">
        <v>655.73586403398429</v>
      </c>
      <c r="EW88" s="108">
        <v>983.52245764649615</v>
      </c>
      <c r="EX88" s="108">
        <v>986.35218147962132</v>
      </c>
      <c r="EY88" s="108">
        <v>813.64060684634956</v>
      </c>
      <c r="EZ88" s="108">
        <v>797.26491767056939</v>
      </c>
      <c r="FA88" s="108">
        <v>655.46617057778894</v>
      </c>
      <c r="FB88" s="108">
        <v>628.8185970983177</v>
      </c>
      <c r="FC88" s="108">
        <v>585.86468602285061</v>
      </c>
      <c r="FD88" s="108">
        <v>552.61235270425254</v>
      </c>
      <c r="FE88" s="57">
        <v>502</v>
      </c>
      <c r="FF88" s="62">
        <v>494</v>
      </c>
      <c r="FG88" s="62">
        <v>486</v>
      </c>
      <c r="FH88" s="62">
        <v>471</v>
      </c>
      <c r="FI88" s="108">
        <v>195.85407832531939</v>
      </c>
      <c r="FJ88" s="108">
        <v>194.64113232326994</v>
      </c>
      <c r="FK88" s="108">
        <v>184.56235881177284</v>
      </c>
      <c r="FL88" s="108">
        <v>164.4759035439838</v>
      </c>
      <c r="FM88" s="62">
        <v>699</v>
      </c>
      <c r="FN88" s="62">
        <v>658</v>
      </c>
      <c r="FO88" s="57">
        <v>520</v>
      </c>
      <c r="FP88" s="62">
        <v>459</v>
      </c>
      <c r="FQ88" s="108">
        <v>254.22706634608215</v>
      </c>
      <c r="FR88" s="108">
        <v>236.7853742850931</v>
      </c>
      <c r="FS88" s="108">
        <v>173.06266965902103</v>
      </c>
      <c r="FT88" s="108">
        <v>146.55031115995297</v>
      </c>
      <c r="FU88" s="60">
        <v>176</v>
      </c>
      <c r="FV88" s="60">
        <v>158</v>
      </c>
      <c r="FW88" s="60">
        <v>119</v>
      </c>
      <c r="FX88" s="60">
        <v>112</v>
      </c>
      <c r="FY88" s="108">
        <v>62.342650324120726</v>
      </c>
      <c r="FZ88" s="108">
        <v>54.926539159273645</v>
      </c>
      <c r="GA88" s="108">
        <v>38.674618980837153</v>
      </c>
      <c r="GB88" s="108">
        <v>34.714295027460686</v>
      </c>
      <c r="GC88" s="63">
        <v>85</v>
      </c>
      <c r="GD88" s="64">
        <v>95</v>
      </c>
      <c r="GE88" s="63">
        <v>87</v>
      </c>
      <c r="GF88" s="63">
        <v>108</v>
      </c>
      <c r="GG88" s="112">
        <v>32.660815264273367</v>
      </c>
      <c r="GH88" s="112">
        <v>36.507040966624523</v>
      </c>
      <c r="GI88" s="112">
        <v>32.82134392951378</v>
      </c>
      <c r="GJ88" s="112">
        <v>39.720906832882221</v>
      </c>
      <c r="GK88" s="63"/>
      <c r="GL88" s="63"/>
      <c r="GM88" s="63"/>
      <c r="GN88" s="64"/>
      <c r="GO88" s="63"/>
      <c r="GP88" s="63"/>
      <c r="GQ88" s="63"/>
      <c r="GR88" s="63"/>
      <c r="GS88" s="64"/>
      <c r="GT88" s="63"/>
      <c r="GU88" s="63"/>
      <c r="GV88" s="63"/>
      <c r="GW88" s="63"/>
      <c r="GX88" s="64"/>
      <c r="GY88" s="64"/>
      <c r="GZ88" s="64"/>
      <c r="HA88" s="64"/>
      <c r="HB88" s="64"/>
      <c r="HC88" s="64"/>
      <c r="HD88" s="65"/>
      <c r="HE88" s="65"/>
      <c r="HF88" s="65"/>
      <c r="HG88" s="65"/>
      <c r="HH88" s="65"/>
      <c r="HI88" s="66"/>
      <c r="HJ88" s="66"/>
      <c r="HK88" s="63"/>
      <c r="HL88" s="64"/>
      <c r="HM88" s="64"/>
      <c r="HN88" s="64"/>
      <c r="HO88" s="64"/>
      <c r="HP88" s="64"/>
      <c r="HQ88" s="64"/>
      <c r="HR88" s="64"/>
      <c r="HS88" s="64"/>
      <c r="HT88" s="64"/>
      <c r="HU88" s="39"/>
    </row>
    <row r="89" spans="1:229" x14ac:dyDescent="0.2">
      <c r="A89" s="37">
        <v>86</v>
      </c>
      <c r="B89" s="86" t="s">
        <v>144</v>
      </c>
      <c r="C89" s="93">
        <v>117372</v>
      </c>
      <c r="D89" s="93">
        <v>119701</v>
      </c>
      <c r="E89" s="93">
        <v>121907</v>
      </c>
      <c r="F89" s="93">
        <v>124700</v>
      </c>
      <c r="G89" s="93">
        <v>126437</v>
      </c>
      <c r="H89" s="43">
        <v>120997</v>
      </c>
      <c r="I89" s="43">
        <v>1452</v>
      </c>
      <c r="J89" s="43">
        <v>482</v>
      </c>
      <c r="K89" s="43">
        <v>1626</v>
      </c>
      <c r="L89" s="43">
        <v>3282</v>
      </c>
      <c r="M89" s="44">
        <v>42836</v>
      </c>
      <c r="N89" s="44">
        <v>43878</v>
      </c>
      <c r="O89" s="45">
        <v>44627</v>
      </c>
      <c r="P89" s="45">
        <v>44473</v>
      </c>
      <c r="Q89" s="46">
        <v>44955</v>
      </c>
      <c r="R89" s="105">
        <v>12.623903383844137</v>
      </c>
      <c r="S89" s="105">
        <v>12.93262058677275</v>
      </c>
      <c r="T89" s="105">
        <v>13.880688117393525</v>
      </c>
      <c r="U89" s="105">
        <v>14.697587349286303</v>
      </c>
      <c r="V89" s="105">
        <v>15.360085685422524</v>
      </c>
      <c r="W89" s="105">
        <v>35.961414302533136</v>
      </c>
      <c r="X89" s="105">
        <v>35.875186474390851</v>
      </c>
      <c r="Y89" s="105">
        <v>37.977253758859945</v>
      </c>
      <c r="Z89" s="105">
        <v>38.87951525302659</v>
      </c>
      <c r="AA89" s="105">
        <v>38.529229196334029</v>
      </c>
      <c r="AB89" s="105">
        <v>48.585317686377273</v>
      </c>
      <c r="AC89" s="105">
        <v>48.807807061163601</v>
      </c>
      <c r="AD89" s="105">
        <v>51.85794187625347</v>
      </c>
      <c r="AE89" s="105">
        <v>53.577102602312891</v>
      </c>
      <c r="AF89" s="105">
        <v>53.889314881756555</v>
      </c>
      <c r="AG89" s="46">
        <v>5.1237122745536388</v>
      </c>
      <c r="AH89" s="46">
        <v>6.047624675017726</v>
      </c>
      <c r="AI89" s="46">
        <v>9.3045717965228594</v>
      </c>
      <c r="AJ89" s="46">
        <v>8.2297999823773011</v>
      </c>
      <c r="AK89" s="45">
        <v>7.2351041972409744</v>
      </c>
      <c r="AL89" s="49">
        <v>1284.5833333333333</v>
      </c>
      <c r="AM89" s="49">
        <v>1393</v>
      </c>
      <c r="AN89" s="49">
        <v>1832.5833333333333</v>
      </c>
      <c r="AO89" s="49">
        <v>1393</v>
      </c>
      <c r="AP89" s="49">
        <v>2980.9166666666665</v>
      </c>
      <c r="AQ89" s="49">
        <v>36253.67844213605</v>
      </c>
      <c r="AR89" s="49">
        <v>36199.778239591142</v>
      </c>
      <c r="AS89" s="49">
        <v>34946.885629532211</v>
      </c>
      <c r="AT89" s="49">
        <v>35330.641207386376</v>
      </c>
      <c r="AU89" s="49">
        <v>37195.57566218749</v>
      </c>
      <c r="AV89" s="101">
        <v>73110.436616797364</v>
      </c>
      <c r="AW89" s="101">
        <v>69815.788330863943</v>
      </c>
      <c r="AX89" s="102">
        <v>70427.840274637929</v>
      </c>
      <c r="AY89" s="102">
        <v>68819.846488975309</v>
      </c>
      <c r="AZ89" s="102">
        <v>68387</v>
      </c>
      <c r="BA89" s="99">
        <v>5.0121156919692726</v>
      </c>
      <c r="BB89" s="99">
        <v>5.583952977238086</v>
      </c>
      <c r="BC89" s="99">
        <v>6.1955397409905251</v>
      </c>
      <c r="BD89" s="99">
        <v>5.8149850794418905</v>
      </c>
      <c r="BE89" s="99">
        <v>6.9108092144122857</v>
      </c>
      <c r="BF89" s="99">
        <v>5.9342038425912094</v>
      </c>
      <c r="BG89" s="99">
        <v>6.4364624564305544</v>
      </c>
      <c r="BH89" s="48">
        <v>7.4256867279598398</v>
      </c>
      <c r="BI89" s="48">
        <v>7.2151282328752302</v>
      </c>
      <c r="BJ89" s="48">
        <v>8.5873777199685666</v>
      </c>
      <c r="BK89" s="44">
        <v>22775</v>
      </c>
      <c r="BL89" s="44">
        <v>25458</v>
      </c>
      <c r="BM89" s="44">
        <v>25626</v>
      </c>
      <c r="BN89" s="42">
        <v>26212</v>
      </c>
      <c r="BO89" s="45">
        <v>19.525795828759605</v>
      </c>
      <c r="BP89" s="45">
        <v>23.454316914133081</v>
      </c>
      <c r="BQ89" s="45">
        <v>25.005853430110044</v>
      </c>
      <c r="BR89" s="46">
        <v>23.741034640622615</v>
      </c>
      <c r="BS89" s="105">
        <v>2.0548847420417125</v>
      </c>
      <c r="BT89" s="105">
        <v>1.7872574436326498</v>
      </c>
      <c r="BU89" s="105">
        <v>1.8262701943338797</v>
      </c>
      <c r="BV89" s="105">
        <v>1.8846329925225087</v>
      </c>
      <c r="BW89" s="45">
        <v>13.545554335894622</v>
      </c>
      <c r="BX89" s="45">
        <v>13.327834079660617</v>
      </c>
      <c r="BY89" s="45">
        <v>13.369234371341607</v>
      </c>
      <c r="BZ89" s="45">
        <v>13.543415229665802</v>
      </c>
      <c r="CA89" s="44">
        <v>86.894273127753308</v>
      </c>
      <c r="CB89" s="44">
        <v>87.34518039849219</v>
      </c>
      <c r="CC89" s="44">
        <v>87.671232876712324</v>
      </c>
      <c r="CD89" s="44">
        <v>88.04</v>
      </c>
      <c r="CE89" s="45">
        <v>3.248898678414097</v>
      </c>
      <c r="CF89" s="45">
        <v>2.6925148088314486</v>
      </c>
      <c r="CG89" s="45">
        <v>2.8451001053740779</v>
      </c>
      <c r="CH89" s="45">
        <v>2.89</v>
      </c>
      <c r="CI89" s="48">
        <v>6014</v>
      </c>
      <c r="CJ89" s="51">
        <v>6958</v>
      </c>
      <c r="CK89" s="51">
        <v>9668</v>
      </c>
      <c r="CL89" s="57">
        <v>9982</v>
      </c>
      <c r="CM89" s="108">
        <v>15.719423708257533</v>
      </c>
      <c r="CN89" s="108">
        <v>15.817698636240671</v>
      </c>
      <c r="CO89" s="108">
        <v>18.138224225073074</v>
      </c>
      <c r="CP89" s="108">
        <v>16.360796371843435</v>
      </c>
      <c r="CQ89" s="60">
        <v>179</v>
      </c>
      <c r="CR89" s="60">
        <v>281</v>
      </c>
      <c r="CS89" s="60">
        <v>363</v>
      </c>
      <c r="CT89" s="60">
        <v>369</v>
      </c>
      <c r="CU89" s="108">
        <v>3.0566939890710381</v>
      </c>
      <c r="CV89" s="108">
        <v>4.1722345953971791</v>
      </c>
      <c r="CW89" s="108">
        <v>3.8811076659895223</v>
      </c>
      <c r="CX89" s="108">
        <v>3.8505687154335804</v>
      </c>
      <c r="CY89" s="61">
        <v>336</v>
      </c>
      <c r="CZ89" s="57">
        <v>491</v>
      </c>
      <c r="DA89" s="60">
        <v>642</v>
      </c>
      <c r="DB89" s="60">
        <v>583</v>
      </c>
      <c r="DC89" s="108">
        <v>6.3122299455194435</v>
      </c>
      <c r="DD89" s="108">
        <v>8.180606464511829</v>
      </c>
      <c r="DE89" s="108">
        <v>8.0461210678029822</v>
      </c>
      <c r="DF89" s="108">
        <v>7.2135609997525361</v>
      </c>
      <c r="DG89" s="108">
        <v>87.480410935051367</v>
      </c>
      <c r="DH89" s="108">
        <v>91.206296352353561</v>
      </c>
      <c r="DI89" s="108">
        <v>90.345360255985881</v>
      </c>
      <c r="DJ89" s="108">
        <v>90.050940846241815</v>
      </c>
      <c r="DK89" s="108">
        <v>13.337940566689703</v>
      </c>
      <c r="DL89" s="108">
        <v>11.725699498625263</v>
      </c>
      <c r="DM89" s="108">
        <v>9.8150935282734899</v>
      </c>
      <c r="DN89" s="108">
        <v>9.4766908089360395</v>
      </c>
      <c r="DO89" s="108">
        <v>16.713786795276899</v>
      </c>
      <c r="DP89" s="108">
        <v>17.095614665708123</v>
      </c>
      <c r="DQ89" s="108">
        <v>16.902865418433848</v>
      </c>
      <c r="DR89" s="108">
        <v>19.619238476953907</v>
      </c>
      <c r="DS89" s="108">
        <v>25.861446218305282</v>
      </c>
      <c r="DT89" s="108">
        <v>24.000925336880456</v>
      </c>
      <c r="DU89" s="108">
        <v>21.49204381070469</v>
      </c>
      <c r="DV89" s="108">
        <v>19.964708847995968</v>
      </c>
      <c r="DW89" s="62">
        <v>1793</v>
      </c>
      <c r="DX89" s="62">
        <v>20</v>
      </c>
      <c r="DY89" s="57">
        <v>7</v>
      </c>
      <c r="DZ89" s="60">
        <v>23</v>
      </c>
      <c r="EA89" s="60">
        <v>35</v>
      </c>
      <c r="EB89" s="60">
        <v>33</v>
      </c>
      <c r="EC89" s="60">
        <v>33</v>
      </c>
      <c r="ED89" s="57">
        <v>35</v>
      </c>
      <c r="EE89" s="60">
        <v>42</v>
      </c>
      <c r="EF89" s="60">
        <v>2396</v>
      </c>
      <c r="EG89" s="60">
        <v>2619</v>
      </c>
      <c r="EH89" s="60">
        <v>2920</v>
      </c>
      <c r="EI89" s="60">
        <v>3207</v>
      </c>
      <c r="EJ89" s="115">
        <v>673</v>
      </c>
      <c r="EK89" s="115">
        <v>0</v>
      </c>
      <c r="EL89" s="115">
        <v>2</v>
      </c>
      <c r="EM89" s="115">
        <v>3</v>
      </c>
      <c r="EN89" s="115">
        <v>6</v>
      </c>
      <c r="EO89" s="108">
        <v>626.26769546034336</v>
      </c>
      <c r="EP89" s="108">
        <v>595.38017718186711</v>
      </c>
      <c r="EQ89" s="108">
        <v>547.82390088139607</v>
      </c>
      <c r="ER89" s="108">
        <v>525.63688603989067</v>
      </c>
      <c r="ES89" s="108">
        <v>793.05841896891434</v>
      </c>
      <c r="ET89" s="108">
        <v>774.1468669267847</v>
      </c>
      <c r="EU89" s="108">
        <v>735.78221959606049</v>
      </c>
      <c r="EV89" s="108">
        <v>681.1038475330555</v>
      </c>
      <c r="EW89" s="108">
        <v>960.79678309804592</v>
      </c>
      <c r="EX89" s="108">
        <v>911.25028615685778</v>
      </c>
      <c r="EY89" s="108">
        <v>879.49456527145571</v>
      </c>
      <c r="EZ89" s="108">
        <v>773.38880858420691</v>
      </c>
      <c r="FA89" s="108">
        <v>648.52713480516627</v>
      </c>
      <c r="FB89" s="108">
        <v>664.49726844473253</v>
      </c>
      <c r="FC89" s="108">
        <v>623.79028036581747</v>
      </c>
      <c r="FD89" s="108">
        <v>604.76269505149025</v>
      </c>
      <c r="FE89" s="57">
        <v>547</v>
      </c>
      <c r="FF89" s="62">
        <v>590</v>
      </c>
      <c r="FG89" s="62">
        <v>705</v>
      </c>
      <c r="FH89" s="62">
        <v>847</v>
      </c>
      <c r="FI89" s="108">
        <v>182.11480759594241</v>
      </c>
      <c r="FJ89" s="108">
        <v>174.29828255699161</v>
      </c>
      <c r="FK89" s="108">
        <v>179.26328951144788</v>
      </c>
      <c r="FL89" s="108">
        <v>177.94747739059702</v>
      </c>
      <c r="FM89" s="62">
        <v>670</v>
      </c>
      <c r="FN89" s="62">
        <v>612</v>
      </c>
      <c r="FO89" s="57">
        <v>581</v>
      </c>
      <c r="FP89" s="62">
        <v>536</v>
      </c>
      <c r="FQ89" s="108">
        <v>226.45922378789254</v>
      </c>
      <c r="FR89" s="108">
        <v>184.59576861966028</v>
      </c>
      <c r="FS89" s="108">
        <v>149.02605371383572</v>
      </c>
      <c r="FT89" s="108">
        <v>118.30089008900043</v>
      </c>
      <c r="FU89" s="60">
        <v>227</v>
      </c>
      <c r="FV89" s="60">
        <v>217</v>
      </c>
      <c r="FW89" s="60">
        <v>190</v>
      </c>
      <c r="FX89" s="60">
        <v>179</v>
      </c>
      <c r="FY89" s="108">
        <v>76.634604608943874</v>
      </c>
      <c r="FZ89" s="108">
        <v>65.817432862629303</v>
      </c>
      <c r="GA89" s="108">
        <v>50.923255968635743</v>
      </c>
      <c r="GB89" s="108">
        <v>39.789058827245597</v>
      </c>
      <c r="GC89" s="63">
        <v>126</v>
      </c>
      <c r="GD89" s="64">
        <v>151</v>
      </c>
      <c r="GE89" s="63">
        <v>193</v>
      </c>
      <c r="GF89" s="63">
        <v>217</v>
      </c>
      <c r="GG89" s="112">
        <v>36.978395588172248</v>
      </c>
      <c r="GH89" s="112">
        <v>39.886087425759577</v>
      </c>
      <c r="GI89" s="112">
        <v>40.962904852865591</v>
      </c>
      <c r="GJ89" s="112">
        <v>42.040086906691613</v>
      </c>
      <c r="GK89" s="63"/>
      <c r="GL89" s="63"/>
      <c r="GM89" s="63"/>
      <c r="GN89" s="64"/>
      <c r="GO89" s="63"/>
      <c r="GP89" s="63"/>
      <c r="GQ89" s="63"/>
      <c r="GR89" s="63"/>
      <c r="GS89" s="64"/>
      <c r="GT89" s="63"/>
      <c r="GU89" s="63"/>
      <c r="GV89" s="63"/>
      <c r="GW89" s="63"/>
      <c r="GX89" s="64"/>
      <c r="GY89" s="64"/>
      <c r="GZ89" s="64"/>
      <c r="HA89" s="64"/>
      <c r="HB89" s="64"/>
      <c r="HC89" s="64"/>
      <c r="HD89" s="65"/>
      <c r="HE89" s="65"/>
      <c r="HF89" s="65"/>
      <c r="HG89" s="65"/>
      <c r="HH89" s="65"/>
      <c r="HI89" s="66"/>
      <c r="HJ89" s="66"/>
      <c r="HK89" s="63"/>
      <c r="HL89" s="64"/>
      <c r="HM89" s="64"/>
      <c r="HN89" s="64"/>
      <c r="HO89" s="64"/>
      <c r="HP89" s="64"/>
      <c r="HQ89" s="64"/>
      <c r="HR89" s="64"/>
      <c r="HS89" s="64"/>
      <c r="HT89" s="64"/>
      <c r="HU89" s="39"/>
    </row>
    <row r="90" spans="1:229" ht="21" customHeight="1" x14ac:dyDescent="0.2">
      <c r="A90" s="37">
        <v>87</v>
      </c>
      <c r="B90" s="86" t="s">
        <v>145</v>
      </c>
      <c r="C90" s="93">
        <v>10128</v>
      </c>
      <c r="D90" s="93">
        <v>9958</v>
      </c>
      <c r="E90" s="93">
        <v>9867</v>
      </c>
      <c r="F90" s="93">
        <v>10438</v>
      </c>
      <c r="G90" s="93">
        <v>10307</v>
      </c>
      <c r="H90" s="43">
        <v>9759</v>
      </c>
      <c r="I90" s="43">
        <v>27</v>
      </c>
      <c r="J90" s="43">
        <v>333</v>
      </c>
      <c r="K90" s="43">
        <v>51</v>
      </c>
      <c r="L90" s="43">
        <v>429</v>
      </c>
      <c r="M90" s="44">
        <v>4323</v>
      </c>
      <c r="N90" s="44">
        <v>4329</v>
      </c>
      <c r="O90" s="45">
        <v>4286</v>
      </c>
      <c r="P90" s="45">
        <v>4292</v>
      </c>
      <c r="Q90" s="46">
        <v>4260</v>
      </c>
      <c r="R90" s="105">
        <v>33.873816021833363</v>
      </c>
      <c r="S90" s="105">
        <v>34.870364292746963</v>
      </c>
      <c r="T90" s="105">
        <v>34.869302949061662</v>
      </c>
      <c r="U90" s="105">
        <v>31.774092615769714</v>
      </c>
      <c r="V90" s="105">
        <v>32.244250594766058</v>
      </c>
      <c r="W90" s="105">
        <v>28.720500882966768</v>
      </c>
      <c r="X90" s="105">
        <v>28.536265178864458</v>
      </c>
      <c r="Y90" s="105">
        <v>30.462466487935657</v>
      </c>
      <c r="Z90" s="105">
        <v>31.523779724655821</v>
      </c>
      <c r="AA90" s="105">
        <v>31.229183187946074</v>
      </c>
      <c r="AB90" s="105">
        <v>62.594316904800131</v>
      </c>
      <c r="AC90" s="105">
        <v>63.406629471611424</v>
      </c>
      <c r="AD90" s="105">
        <v>65.33176943699732</v>
      </c>
      <c r="AE90" s="105">
        <v>63.297872340425535</v>
      </c>
      <c r="AF90" s="105">
        <v>63.473433782712135</v>
      </c>
      <c r="AG90" s="46">
        <v>4.337137840210711</v>
      </c>
      <c r="AH90" s="46">
        <v>5.0264099505878344</v>
      </c>
      <c r="AI90" s="46">
        <v>6.6757261763207065</v>
      </c>
      <c r="AJ90" s="46">
        <v>6.0529421682684204</v>
      </c>
      <c r="AK90" s="45">
        <v>5.4713804713804715</v>
      </c>
      <c r="AL90" s="49">
        <v>159.58333333333334</v>
      </c>
      <c r="AM90" s="49">
        <v>157.08333333333334</v>
      </c>
      <c r="AN90" s="49">
        <v>213.58333333333334</v>
      </c>
      <c r="AO90" s="49">
        <v>157.08333333333334</v>
      </c>
      <c r="AP90" s="49">
        <v>281.91666666666669</v>
      </c>
      <c r="AQ90" s="49">
        <v>36802.251616653681</v>
      </c>
      <c r="AR90" s="49">
        <v>40534.47954270539</v>
      </c>
      <c r="AS90" s="49">
        <v>39632.20101140425</v>
      </c>
      <c r="AT90" s="49">
        <v>41144.413309158503</v>
      </c>
      <c r="AU90" s="49">
        <v>42985.543805180947</v>
      </c>
      <c r="AV90" s="101">
        <v>48387.346885821491</v>
      </c>
      <c r="AW90" s="101">
        <v>48456.80626373065</v>
      </c>
      <c r="AX90" s="102">
        <v>48467.305005663351</v>
      </c>
      <c r="AY90" s="102">
        <v>48065.784500311849</v>
      </c>
      <c r="AZ90" s="102">
        <v>46586</v>
      </c>
      <c r="BA90" s="99">
        <v>11.095334685598377</v>
      </c>
      <c r="BB90" s="99">
        <v>9.9050763516302105</v>
      </c>
      <c r="BC90" s="99">
        <v>10.035431429762401</v>
      </c>
      <c r="BD90" s="99">
        <v>12.73154954425169</v>
      </c>
      <c r="BE90" s="99">
        <v>11.067036890122967</v>
      </c>
      <c r="BF90" s="99">
        <v>13.29142343960485</v>
      </c>
      <c r="BG90" s="99">
        <v>11.431226765799256</v>
      </c>
      <c r="BH90" s="48">
        <v>13.294010889292196</v>
      </c>
      <c r="BI90" s="48">
        <v>18.076764341725134</v>
      </c>
      <c r="BJ90" s="48">
        <v>14.974832214765101</v>
      </c>
      <c r="BK90" s="44">
        <v>1673</v>
      </c>
      <c r="BL90" s="44">
        <v>1684</v>
      </c>
      <c r="BM90" s="44">
        <v>1643</v>
      </c>
      <c r="BN90" s="42">
        <v>1609</v>
      </c>
      <c r="BO90" s="45">
        <v>43.454871488344288</v>
      </c>
      <c r="BP90" s="45">
        <v>47.684085510688838</v>
      </c>
      <c r="BQ90" s="45">
        <v>49.543517954960436</v>
      </c>
      <c r="BR90" s="46">
        <v>44.375388440024864</v>
      </c>
      <c r="BS90" s="105">
        <v>3.945008965929468</v>
      </c>
      <c r="BT90" s="105">
        <v>3.7410926365795723</v>
      </c>
      <c r="BU90" s="105">
        <v>2.7997565429093121</v>
      </c>
      <c r="BV90" s="105">
        <v>3.4804226227470481</v>
      </c>
      <c r="BW90" s="45">
        <v>18.290496114763897</v>
      </c>
      <c r="BX90" s="45">
        <v>18.64608076009501</v>
      </c>
      <c r="BY90" s="45">
        <v>18.015824710894705</v>
      </c>
      <c r="BZ90" s="45">
        <v>18.210068365444375</v>
      </c>
      <c r="CA90" s="44">
        <v>88.965517241379317</v>
      </c>
      <c r="CB90" s="44">
        <v>90.683229813664596</v>
      </c>
      <c r="CC90" s="44">
        <v>95.172413793103445</v>
      </c>
      <c r="CD90" s="44">
        <v>96.55</v>
      </c>
      <c r="CE90" s="45">
        <v>2.0689655172413794</v>
      </c>
      <c r="CF90" s="45">
        <v>1.8633540372670807</v>
      </c>
      <c r="CG90" s="45">
        <v>0</v>
      </c>
      <c r="CH90" s="45">
        <v>1.38</v>
      </c>
      <c r="CI90" s="48">
        <v>652</v>
      </c>
      <c r="CJ90" s="51">
        <v>640</v>
      </c>
      <c r="CK90" s="51">
        <v>621</v>
      </c>
      <c r="CL90" s="57">
        <v>605</v>
      </c>
      <c r="CM90" s="108">
        <v>11.203711659077241</v>
      </c>
      <c r="CN90" s="108">
        <v>11.363434598107277</v>
      </c>
      <c r="CO90" s="108">
        <v>11.729817536171659</v>
      </c>
      <c r="CP90" s="108">
        <v>11.933409601956685</v>
      </c>
      <c r="CQ90" s="60">
        <v>22</v>
      </c>
      <c r="CR90" s="60">
        <v>19</v>
      </c>
      <c r="CS90" s="60">
        <v>29</v>
      </c>
      <c r="CT90" s="60">
        <v>17</v>
      </c>
      <c r="CU90" s="108">
        <v>3.4428794992175273</v>
      </c>
      <c r="CV90" s="108">
        <v>3.0448717948717947</v>
      </c>
      <c r="CW90" s="108">
        <v>4.7933884297520661</v>
      </c>
      <c r="CX90" s="108">
        <v>2.9720279720279721</v>
      </c>
      <c r="CY90" s="61">
        <v>34</v>
      </c>
      <c r="CZ90" s="57">
        <v>49</v>
      </c>
      <c r="DA90" s="60">
        <v>46</v>
      </c>
      <c r="DB90" s="60">
        <v>39</v>
      </c>
      <c r="DC90" s="108">
        <v>6.0498220640569391</v>
      </c>
      <c r="DD90" s="108">
        <v>8.4628670120898093</v>
      </c>
      <c r="DE90" s="108">
        <v>8.9147286821705425</v>
      </c>
      <c r="DF90" s="108">
        <v>7.862903225806452</v>
      </c>
      <c r="DG90" s="108">
        <v>82.899022801302934</v>
      </c>
      <c r="DH90" s="108">
        <v>85.924713584288057</v>
      </c>
      <c r="DI90" s="108">
        <v>86.31921824104235</v>
      </c>
      <c r="DJ90" s="108">
        <v>87.521663778162917</v>
      </c>
      <c r="DK90" s="108">
        <v>11.642743221690591</v>
      </c>
      <c r="DL90" s="108">
        <v>14.803149606299213</v>
      </c>
      <c r="DM90" s="108">
        <v>16.260162601626018</v>
      </c>
      <c r="DN90" s="108">
        <v>17.109634551495017</v>
      </c>
      <c r="DO90" s="108">
        <v>17.638036809815951</v>
      </c>
      <c r="DP90" s="108">
        <v>24.6875</v>
      </c>
      <c r="DQ90" s="108">
        <v>27.375201288244767</v>
      </c>
      <c r="DR90" s="108">
        <v>34.049586776859506</v>
      </c>
      <c r="DS90" s="108">
        <v>44.88330341113106</v>
      </c>
      <c r="DT90" s="108">
        <v>39.493670886075947</v>
      </c>
      <c r="DU90" s="108">
        <v>25.525525525525527</v>
      </c>
      <c r="DV90" s="108">
        <v>28.638223261250729</v>
      </c>
      <c r="DW90" s="62">
        <v>110</v>
      </c>
      <c r="DX90" s="62">
        <v>1</v>
      </c>
      <c r="DY90" s="57">
        <v>5</v>
      </c>
      <c r="DZ90" s="60">
        <v>0</v>
      </c>
      <c r="EA90" s="60">
        <v>8</v>
      </c>
      <c r="EB90" s="60">
        <v>7</v>
      </c>
      <c r="EC90" s="60">
        <v>5</v>
      </c>
      <c r="ED90" s="57">
        <v>3</v>
      </c>
      <c r="EE90" s="60">
        <v>2</v>
      </c>
      <c r="EF90" s="60">
        <v>683</v>
      </c>
      <c r="EG90" s="60">
        <v>689</v>
      </c>
      <c r="EH90" s="60">
        <v>667</v>
      </c>
      <c r="EI90" s="60">
        <v>593</v>
      </c>
      <c r="EJ90" s="115">
        <v>137</v>
      </c>
      <c r="EK90" s="115">
        <v>0</v>
      </c>
      <c r="EL90" s="115">
        <v>1</v>
      </c>
      <c r="EM90" s="115">
        <v>0</v>
      </c>
      <c r="EN90" s="115">
        <v>1</v>
      </c>
      <c r="EO90" s="108">
        <v>1173.6403471088581</v>
      </c>
      <c r="EP90" s="108">
        <v>1223.3447559524866</v>
      </c>
      <c r="EQ90" s="108">
        <v>1259.8692909221413</v>
      </c>
      <c r="ER90" s="108">
        <v>1169.6713874314569</v>
      </c>
      <c r="ES90" s="108">
        <v>695.57920609883786</v>
      </c>
      <c r="ET90" s="108">
        <v>717.70144055041919</v>
      </c>
      <c r="EU90" s="108">
        <v>722.53487767528691</v>
      </c>
      <c r="EV90" s="108">
        <v>642.18339735297786</v>
      </c>
      <c r="EW90" s="108">
        <v>842.24132529913697</v>
      </c>
      <c r="EX90" s="108">
        <v>876.45104099651951</v>
      </c>
      <c r="EY90" s="108">
        <v>901.67882684639301</v>
      </c>
      <c r="EZ90" s="108">
        <v>777.50415273056547</v>
      </c>
      <c r="FA90" s="108">
        <v>582.1010761108239</v>
      </c>
      <c r="FB90" s="108">
        <v>588.96221844691195</v>
      </c>
      <c r="FC90" s="108">
        <v>594.22273839561865</v>
      </c>
      <c r="FD90" s="108">
        <v>534.5992400271175</v>
      </c>
      <c r="FE90" s="57">
        <v>173</v>
      </c>
      <c r="FF90" s="62">
        <v>167</v>
      </c>
      <c r="FG90" s="62">
        <v>148</v>
      </c>
      <c r="FH90" s="62">
        <v>139</v>
      </c>
      <c r="FI90" s="108">
        <v>182.15982342592261</v>
      </c>
      <c r="FJ90" s="108">
        <v>189.90894014589233</v>
      </c>
      <c r="FK90" s="108">
        <v>185.87771299806224</v>
      </c>
      <c r="FL90" s="108">
        <v>170.10486956248826</v>
      </c>
      <c r="FM90" s="62">
        <v>249</v>
      </c>
      <c r="FN90" s="62">
        <v>216</v>
      </c>
      <c r="FO90" s="57">
        <v>160</v>
      </c>
      <c r="FP90" s="62">
        <v>110</v>
      </c>
      <c r="FQ90" s="108">
        <v>243.16349072473884</v>
      </c>
      <c r="FR90" s="108">
        <v>218.5977689323812</v>
      </c>
      <c r="FS90" s="108">
        <v>154.95381123543683</v>
      </c>
      <c r="FT90" s="108">
        <v>110.47616907829017</v>
      </c>
      <c r="FU90" s="60">
        <v>78</v>
      </c>
      <c r="FV90" s="60">
        <v>60</v>
      </c>
      <c r="FW90" s="60">
        <v>60</v>
      </c>
      <c r="FX90" s="60">
        <v>53</v>
      </c>
      <c r="FY90" s="108">
        <v>71.363183396221274</v>
      </c>
      <c r="FZ90" s="108">
        <v>52.862275343547608</v>
      </c>
      <c r="GA90" s="108">
        <v>54.384205164283514</v>
      </c>
      <c r="GB90" s="108">
        <v>49.05160681858176</v>
      </c>
      <c r="GC90" s="63">
        <v>21</v>
      </c>
      <c r="GD90" s="64">
        <v>27</v>
      </c>
      <c r="GE90" s="63">
        <v>39</v>
      </c>
      <c r="GF90" s="63">
        <v>33</v>
      </c>
      <c r="GG90" s="112">
        <v>31.534533530600349</v>
      </c>
      <c r="GH90" s="112">
        <v>36.003645172960248</v>
      </c>
      <c r="GI90" s="112">
        <v>57.499591851949859</v>
      </c>
      <c r="GJ90" s="112">
        <v>47.925156848919976</v>
      </c>
      <c r="GK90" s="63"/>
      <c r="GL90" s="63"/>
      <c r="GM90" s="63"/>
      <c r="GN90" s="64"/>
      <c r="GO90" s="63"/>
      <c r="GP90" s="63"/>
      <c r="GQ90" s="63"/>
      <c r="GR90" s="63"/>
      <c r="GS90" s="64"/>
      <c r="GT90" s="63"/>
      <c r="GU90" s="63"/>
      <c r="GV90" s="63"/>
      <c r="GW90" s="63"/>
      <c r="GX90" s="64"/>
      <c r="GY90" s="64"/>
      <c r="GZ90" s="64"/>
      <c r="HA90" s="64"/>
      <c r="HB90" s="64"/>
      <c r="HC90" s="64"/>
      <c r="HD90" s="65"/>
      <c r="HE90" s="65"/>
      <c r="HF90" s="65"/>
      <c r="HG90" s="65"/>
      <c r="HH90" s="65"/>
      <c r="HI90" s="66"/>
      <c r="HJ90" s="66"/>
      <c r="HK90" s="63"/>
      <c r="HL90" s="64"/>
      <c r="HM90" s="64"/>
      <c r="HN90" s="64"/>
      <c r="HO90" s="64"/>
      <c r="HP90" s="64"/>
      <c r="HQ90" s="64"/>
      <c r="HR90" s="64"/>
      <c r="HS90" s="64"/>
      <c r="HT90" s="64"/>
      <c r="HU90" s="39"/>
    </row>
    <row r="91" spans="1:229" s="27" customFormat="1" x14ac:dyDescent="0.2">
      <c r="A91" s="92" t="s">
        <v>459</v>
      </c>
      <c r="B91" s="90" t="s">
        <v>502</v>
      </c>
      <c r="C91" s="91">
        <f>C4+C34+C39</f>
        <v>73911</v>
      </c>
      <c r="D91" s="91">
        <f t="shared" ref="D91:G91" si="0">D4+D34+D39</f>
        <v>73499</v>
      </c>
      <c r="E91" s="91">
        <f t="shared" si="0"/>
        <v>73501</v>
      </c>
      <c r="F91" s="91">
        <f t="shared" si="0"/>
        <v>74571</v>
      </c>
      <c r="G91" s="91">
        <f t="shared" si="0"/>
        <v>74467</v>
      </c>
      <c r="H91" s="91">
        <f t="shared" ref="H91:P91" si="1">H4+H34+H39</f>
        <v>70186</v>
      </c>
      <c r="I91" s="91">
        <f t="shared" si="1"/>
        <v>333</v>
      </c>
      <c r="J91" s="91">
        <f t="shared" si="1"/>
        <v>2315</v>
      </c>
      <c r="K91" s="91">
        <f t="shared" si="1"/>
        <v>277</v>
      </c>
      <c r="L91" s="91">
        <f t="shared" si="1"/>
        <v>822</v>
      </c>
      <c r="M91" s="91">
        <f t="shared" si="1"/>
        <v>32003</v>
      </c>
      <c r="N91" s="91">
        <f t="shared" si="1"/>
        <v>32249</v>
      </c>
      <c r="O91" s="91">
        <f t="shared" si="1"/>
        <v>32260</v>
      </c>
      <c r="P91" s="91">
        <f t="shared" si="1"/>
        <v>31946</v>
      </c>
      <c r="Q91" s="52">
        <v>32036</v>
      </c>
      <c r="R91" s="106">
        <v>30.568975338073038</v>
      </c>
      <c r="S91" s="106">
        <v>31.666880314489596</v>
      </c>
      <c r="T91" s="106">
        <v>32.736234149730763</v>
      </c>
      <c r="U91" s="106">
        <v>33.628833958845604</v>
      </c>
      <c r="V91" s="106">
        <v>33.951870733604082</v>
      </c>
      <c r="W91" s="106">
        <v>25.358114807704478</v>
      </c>
      <c r="X91" s="106">
        <v>25.362133059864121</v>
      </c>
      <c r="Y91" s="106">
        <v>26.854264373805801</v>
      </c>
      <c r="Z91" s="106">
        <v>27.216254691342048</v>
      </c>
      <c r="AA91" s="106">
        <v>26.91177741294392</v>
      </c>
      <c r="AB91" s="106">
        <v>55.927090145777512</v>
      </c>
      <c r="AC91" s="106">
        <v>57.029013374353717</v>
      </c>
      <c r="AD91" s="106">
        <v>59.590498523536567</v>
      </c>
      <c r="AE91" s="106">
        <v>60.845088650187655</v>
      </c>
      <c r="AF91" s="106">
        <v>60.863648146548002</v>
      </c>
      <c r="AG91" s="107">
        <v>7.198949298164008</v>
      </c>
      <c r="AH91" s="107">
        <v>7.814294307431509</v>
      </c>
      <c r="AI91" s="107">
        <v>10.828569902238367</v>
      </c>
      <c r="AJ91" s="107">
        <v>9.6085315312937194</v>
      </c>
      <c r="AK91" s="103">
        <v>8.8253917999050184</v>
      </c>
      <c r="AL91" s="55">
        <v>2421.25</v>
      </c>
      <c r="AM91" s="55">
        <v>2659.5</v>
      </c>
      <c r="AN91" s="55">
        <v>3256.166666666667</v>
      </c>
      <c r="AO91" s="55">
        <v>2659.5</v>
      </c>
      <c r="AP91" s="55">
        <v>4337.0833333333339</v>
      </c>
      <c r="AQ91" s="55">
        <v>31763.314340057306</v>
      </c>
      <c r="AR91" s="55">
        <v>32441.011563742653</v>
      </c>
      <c r="AS91" s="55">
        <v>32458.607431985565</v>
      </c>
      <c r="AT91" s="55">
        <v>33096.239697745339</v>
      </c>
      <c r="AU91" s="55">
        <v>33425.114480239572</v>
      </c>
      <c r="AV91" s="55" t="s">
        <v>161</v>
      </c>
      <c r="AW91" s="55" t="s">
        <v>161</v>
      </c>
      <c r="AX91" s="55" t="s">
        <v>161</v>
      </c>
      <c r="AY91" s="55" t="s">
        <v>161</v>
      </c>
      <c r="AZ91" s="55" t="s">
        <v>161</v>
      </c>
      <c r="BA91" s="100">
        <v>11.173768327235717</v>
      </c>
      <c r="BB91" s="100">
        <v>13.126996639422478</v>
      </c>
      <c r="BC91" s="54">
        <v>13.765669535379251</v>
      </c>
      <c r="BD91" s="54">
        <v>12.852823270259547</v>
      </c>
      <c r="BE91" s="54">
        <v>13.866893169301587</v>
      </c>
      <c r="BF91" s="54">
        <v>16.621475054229936</v>
      </c>
      <c r="BG91" s="100">
        <v>18.614748449345278</v>
      </c>
      <c r="BH91" s="54">
        <v>20.53344055756601</v>
      </c>
      <c r="BI91" s="54">
        <v>20.662092852860855</v>
      </c>
      <c r="BJ91" s="54">
        <v>21.237266410308305</v>
      </c>
      <c r="BK91" s="53">
        <v>10700</v>
      </c>
      <c r="BL91" s="53">
        <v>10590</v>
      </c>
      <c r="BM91" s="53">
        <v>10571</v>
      </c>
      <c r="BN91" s="53">
        <v>10433</v>
      </c>
      <c r="BO91" s="103">
        <v>43.112149532710283</v>
      </c>
      <c r="BP91" s="103">
        <v>45.949008498583567</v>
      </c>
      <c r="BQ91" s="103">
        <v>45.776180115410085</v>
      </c>
      <c r="BR91" s="107">
        <v>47.225150963289565</v>
      </c>
      <c r="BS91" s="109">
        <v>5.6074766355140186E-2</v>
      </c>
      <c r="BT91" s="109">
        <v>7.5542965061378656E-2</v>
      </c>
      <c r="BU91" s="106">
        <v>9.4598429666067546E-2</v>
      </c>
      <c r="BV91" s="106">
        <v>8.6264736892552471E-2</v>
      </c>
      <c r="BW91" s="103">
        <v>15.588785046728972</v>
      </c>
      <c r="BX91" s="103">
        <v>15.901794145420208</v>
      </c>
      <c r="BY91" s="103">
        <v>16.015514142465236</v>
      </c>
      <c r="BZ91" s="103">
        <v>16.428639892648327</v>
      </c>
      <c r="CA91" s="53">
        <v>78.17497648165569</v>
      </c>
      <c r="CB91" s="53">
        <v>78.915046059365409</v>
      </c>
      <c r="CC91" s="53">
        <v>82.067510548523202</v>
      </c>
      <c r="CD91" s="53">
        <v>77.553191489361708</v>
      </c>
      <c r="CE91" s="103">
        <v>5.174035747883349</v>
      </c>
      <c r="CF91" s="103">
        <v>6.1412487205731834</v>
      </c>
      <c r="CG91" s="103">
        <v>4.9578059071729959</v>
      </c>
      <c r="CH91" s="103">
        <v>7.6595744680851068</v>
      </c>
      <c r="CI91" s="54">
        <v>3781</v>
      </c>
      <c r="CJ91" s="53">
        <v>3642</v>
      </c>
      <c r="CK91" s="56">
        <v>3812</v>
      </c>
      <c r="CL91" s="58">
        <v>3654</v>
      </c>
      <c r="CM91" s="107">
        <v>10.523649682982359</v>
      </c>
      <c r="CN91" s="107">
        <v>9.9210024516480519</v>
      </c>
      <c r="CO91" s="107">
        <v>10.277924571034156</v>
      </c>
      <c r="CP91" s="107">
        <v>9.8770371051144892</v>
      </c>
      <c r="CQ91" s="68">
        <v>149</v>
      </c>
      <c r="CR91" s="68">
        <v>148</v>
      </c>
      <c r="CS91" s="68">
        <v>158</v>
      </c>
      <c r="CT91" s="68">
        <v>166</v>
      </c>
      <c r="CU91" s="107">
        <v>4.0194227137847314</v>
      </c>
      <c r="CV91" s="107">
        <v>4.1867043847241865</v>
      </c>
      <c r="CW91" s="107">
        <v>4.2911461162411735</v>
      </c>
      <c r="CX91" s="107">
        <v>4.676056338028169</v>
      </c>
      <c r="CY91" s="69">
        <v>195</v>
      </c>
      <c r="CZ91" s="58">
        <v>194</v>
      </c>
      <c r="DA91" s="68">
        <v>251</v>
      </c>
      <c r="DB91" s="68">
        <v>251</v>
      </c>
      <c r="DC91" s="107">
        <v>6.8686157097569565</v>
      </c>
      <c r="DD91" s="107">
        <v>6.3048423789405268</v>
      </c>
      <c r="DE91" s="107">
        <v>8.062961773209123</v>
      </c>
      <c r="DF91" s="107">
        <v>8.4511784511784516</v>
      </c>
      <c r="DG91" s="107">
        <v>83.359746434231383</v>
      </c>
      <c r="DH91" s="107">
        <v>89.050669772859635</v>
      </c>
      <c r="DI91" s="107">
        <v>86.456043956043956</v>
      </c>
      <c r="DJ91" s="107">
        <v>84.216428371180257</v>
      </c>
      <c r="DK91" s="107">
        <v>22.102189781021899</v>
      </c>
      <c r="DL91" s="107">
        <v>19.824163357912649</v>
      </c>
      <c r="DM91" s="107">
        <v>21.750878141042961</v>
      </c>
      <c r="DN91" s="107">
        <v>25.269560409178876</v>
      </c>
      <c r="DO91" s="107">
        <v>30.643027255887802</v>
      </c>
      <c r="DP91" s="107">
        <v>32.784184514003293</v>
      </c>
      <c r="DQ91" s="107">
        <v>38.457502623294857</v>
      </c>
      <c r="DR91" s="107">
        <v>44.128113879003557</v>
      </c>
      <c r="DS91" s="107">
        <v>35.779164363004504</v>
      </c>
      <c r="DT91" s="107">
        <v>29.435105692229996</v>
      </c>
      <c r="DU91" s="107">
        <v>30.258423290807983</v>
      </c>
      <c r="DV91" s="107">
        <v>30.469171310444004</v>
      </c>
      <c r="DW91" s="67">
        <v>662</v>
      </c>
      <c r="DX91" s="67">
        <v>5</v>
      </c>
      <c r="DY91" s="58">
        <v>65</v>
      </c>
      <c r="DZ91" s="68">
        <v>5</v>
      </c>
      <c r="EA91" s="68">
        <v>10</v>
      </c>
      <c r="EB91" s="68">
        <v>28</v>
      </c>
      <c r="EC91" s="68">
        <v>30</v>
      </c>
      <c r="ED91" s="58">
        <v>26</v>
      </c>
      <c r="EE91" s="68">
        <v>11</v>
      </c>
      <c r="EF91" s="68">
        <v>3967</v>
      </c>
      <c r="EG91" s="68">
        <v>3935</v>
      </c>
      <c r="EH91" s="68">
        <v>4029</v>
      </c>
      <c r="EI91" s="68">
        <v>4160</v>
      </c>
      <c r="EJ91" s="116">
        <v>867</v>
      </c>
      <c r="EK91" s="116">
        <v>1</v>
      </c>
      <c r="EL91" s="116">
        <v>23</v>
      </c>
      <c r="EM91" s="116">
        <v>0</v>
      </c>
      <c r="EN91" s="116">
        <v>2</v>
      </c>
      <c r="EO91" s="107">
        <v>1104.1343108275858</v>
      </c>
      <c r="EP91" s="107">
        <v>1071.9150095341868</v>
      </c>
      <c r="EQ91" s="107">
        <v>1086.3000550025345</v>
      </c>
      <c r="ER91" s="107">
        <v>1124.4793201225034</v>
      </c>
      <c r="ES91" s="107">
        <v>924.01291280613884</v>
      </c>
      <c r="ET91" s="107">
        <v>824.55972992874888</v>
      </c>
      <c r="EU91" s="107">
        <v>753.44188243407393</v>
      </c>
      <c r="EV91" s="103">
        <v>725.07474780258644</v>
      </c>
      <c r="EW91" s="103">
        <v>1169.0376681162215</v>
      </c>
      <c r="EX91" s="103">
        <v>983.20202000459415</v>
      </c>
      <c r="EY91" s="103">
        <v>897.28940150599158</v>
      </c>
      <c r="EZ91" s="107">
        <v>857.42602055909151</v>
      </c>
      <c r="FA91" s="107">
        <v>728.70991441560022</v>
      </c>
      <c r="FB91" s="107">
        <v>696.88891953541054</v>
      </c>
      <c r="FC91" s="107">
        <v>626.24226650865432</v>
      </c>
      <c r="FD91" s="107">
        <v>606.87670957600017</v>
      </c>
      <c r="FE91" s="58">
        <v>992</v>
      </c>
      <c r="FF91" s="67">
        <v>980</v>
      </c>
      <c r="FG91" s="67">
        <v>1030</v>
      </c>
      <c r="FH91" s="67">
        <v>1025</v>
      </c>
      <c r="FI91" s="107">
        <v>223.16496140228986</v>
      </c>
      <c r="FJ91" s="107">
        <v>200.9723181980217</v>
      </c>
      <c r="FK91" s="107">
        <v>191.60967243500605</v>
      </c>
      <c r="FL91" s="107">
        <v>175.2762701015624</v>
      </c>
      <c r="FM91" s="67">
        <v>1252</v>
      </c>
      <c r="FN91" s="67">
        <v>1099</v>
      </c>
      <c r="FO91" s="58">
        <v>966</v>
      </c>
      <c r="FP91" s="67">
        <v>897</v>
      </c>
      <c r="FQ91" s="107">
        <v>287.49172039604349</v>
      </c>
      <c r="FR91" s="107">
        <v>225.26252046748181</v>
      </c>
      <c r="FS91" s="107">
        <v>174.40659012010471</v>
      </c>
      <c r="FT91" s="107">
        <v>149.50728805552495</v>
      </c>
      <c r="FU91" s="54">
        <v>334</v>
      </c>
      <c r="FV91" s="54">
        <v>268</v>
      </c>
      <c r="FW91" s="54">
        <v>282</v>
      </c>
      <c r="FX91" s="54">
        <v>224</v>
      </c>
      <c r="FY91" s="107">
        <v>77.70753805255157</v>
      </c>
      <c r="FZ91" s="103">
        <v>54.684320689629487</v>
      </c>
      <c r="GA91" s="103">
        <v>48.650576873419929</v>
      </c>
      <c r="GB91" s="103">
        <v>37.433444239828034</v>
      </c>
      <c r="GC91" s="70">
        <v>174</v>
      </c>
      <c r="GD91" s="71">
        <v>184</v>
      </c>
      <c r="GE91" s="70">
        <v>202</v>
      </c>
      <c r="GF91" s="70">
        <v>226</v>
      </c>
      <c r="GG91" s="113">
        <v>46.556198595142149</v>
      </c>
      <c r="GH91" s="113">
        <v>45.867937641335558</v>
      </c>
      <c r="GI91" s="114">
        <v>48.259027585624963</v>
      </c>
      <c r="GJ91" s="113">
        <v>49.613035621881409</v>
      </c>
      <c r="GK91" s="70"/>
      <c r="GL91" s="70"/>
      <c r="GM91" s="70"/>
      <c r="GN91" s="71"/>
      <c r="GO91" s="70"/>
      <c r="GP91" s="70"/>
      <c r="GQ91" s="70"/>
      <c r="GR91" s="70"/>
      <c r="GS91" s="71"/>
      <c r="GT91" s="70"/>
      <c r="GU91" s="70"/>
      <c r="GV91" s="70"/>
      <c r="GW91" s="70"/>
      <c r="GX91" s="71"/>
      <c r="GY91" s="71"/>
      <c r="GZ91" s="71"/>
      <c r="HA91" s="71"/>
      <c r="HB91" s="71"/>
      <c r="HC91" s="71"/>
      <c r="HD91" s="72"/>
      <c r="HE91" s="72"/>
      <c r="HF91" s="72"/>
      <c r="HG91" s="72"/>
      <c r="HH91" s="72"/>
      <c r="HI91" s="73"/>
      <c r="HJ91" s="73"/>
      <c r="HK91" s="74"/>
      <c r="HL91" s="71"/>
      <c r="HM91" s="71"/>
      <c r="HN91" s="71"/>
      <c r="HO91" s="71"/>
      <c r="HP91" s="71"/>
      <c r="HQ91" s="71"/>
      <c r="HR91" s="71"/>
      <c r="HS91" s="71"/>
      <c r="HT91" s="71"/>
      <c r="HU91" s="41"/>
    </row>
    <row r="92" spans="1:229" ht="24" x14ac:dyDescent="0.2">
      <c r="A92" s="92" t="s">
        <v>460</v>
      </c>
      <c r="B92" s="90" t="s">
        <v>518</v>
      </c>
      <c r="C92" s="91">
        <f t="shared" ref="C92:G92" si="2">C7+C18+C32+C42</f>
        <v>74730</v>
      </c>
      <c r="D92" s="91">
        <f t="shared" si="2"/>
        <v>74879</v>
      </c>
      <c r="E92" s="91">
        <f t="shared" si="2"/>
        <v>75116</v>
      </c>
      <c r="F92" s="91">
        <f t="shared" si="2"/>
        <v>77610</v>
      </c>
      <c r="G92" s="91">
        <f t="shared" si="2"/>
        <v>78348</v>
      </c>
      <c r="H92" s="91">
        <f t="shared" ref="H92:L92" si="3">H7+H18+H32+H42</f>
        <v>64839</v>
      </c>
      <c r="I92" s="91">
        <f t="shared" si="3"/>
        <v>455</v>
      </c>
      <c r="J92" s="91">
        <f t="shared" si="3"/>
        <v>10413</v>
      </c>
      <c r="K92" s="91">
        <f t="shared" si="3"/>
        <v>504</v>
      </c>
      <c r="L92" s="91">
        <f t="shared" si="3"/>
        <v>1352</v>
      </c>
      <c r="M92" s="91">
        <f t="shared" ref="M92:P92" si="4">M7+M18+M32+M42</f>
        <v>29428</v>
      </c>
      <c r="N92" s="91">
        <f t="shared" si="4"/>
        <v>29677</v>
      </c>
      <c r="O92" s="91">
        <f t="shared" si="4"/>
        <v>29733</v>
      </c>
      <c r="P92" s="91">
        <f t="shared" si="4"/>
        <v>30818</v>
      </c>
      <c r="Q92" s="46">
        <v>31215</v>
      </c>
      <c r="R92" s="105">
        <v>23.877630473536463</v>
      </c>
      <c r="S92" s="105">
        <v>24.978234733220017</v>
      </c>
      <c r="T92" s="105">
        <v>25.191821160466176</v>
      </c>
      <c r="U92" s="105">
        <v>25.010051463493085</v>
      </c>
      <c r="V92" s="105">
        <v>25.638048721900834</v>
      </c>
      <c r="W92" s="105">
        <v>29.24820195479786</v>
      </c>
      <c r="X92" s="105">
        <v>30.237137763774303</v>
      </c>
      <c r="Y92" s="105">
        <v>30.579403591721622</v>
      </c>
      <c r="Z92" s="105">
        <v>31.008764876165969</v>
      </c>
      <c r="AA92" s="105">
        <v>31.192825830213984</v>
      </c>
      <c r="AB92" s="105">
        <v>53.125832428334327</v>
      </c>
      <c r="AC92" s="105">
        <v>55.21537249699432</v>
      </c>
      <c r="AD92" s="105">
        <v>55.771224752187798</v>
      </c>
      <c r="AE92" s="105">
        <v>56.018816339659054</v>
      </c>
      <c r="AF92" s="105">
        <v>56.830874552114821</v>
      </c>
      <c r="AG92" s="108">
        <v>6.5890519526659563</v>
      </c>
      <c r="AH92" s="108">
        <v>7.4490097546556315</v>
      </c>
      <c r="AI92" s="108">
        <v>9.9551569506726452</v>
      </c>
      <c r="AJ92" s="108">
        <v>9.1851851851851851</v>
      </c>
      <c r="AK92" s="45">
        <v>8.9841903461316246</v>
      </c>
      <c r="AL92" s="49">
        <v>3960.166666666667</v>
      </c>
      <c r="AM92" s="49">
        <v>4297.583333333333</v>
      </c>
      <c r="AN92" s="49">
        <v>4930.166666666667</v>
      </c>
      <c r="AO92" s="49">
        <v>4297.583333333333</v>
      </c>
      <c r="AP92" s="49">
        <v>6134.75</v>
      </c>
      <c r="AQ92" s="49">
        <v>31553.571003504949</v>
      </c>
      <c r="AR92" s="49">
        <v>32514.974161131297</v>
      </c>
      <c r="AS92" s="49">
        <v>32260.890912618073</v>
      </c>
      <c r="AT92" s="49">
        <v>32732.767118985776</v>
      </c>
      <c r="AU92" s="49">
        <v>32873.821405506955</v>
      </c>
      <c r="AV92" s="55" t="s">
        <v>161</v>
      </c>
      <c r="AW92" s="55" t="s">
        <v>161</v>
      </c>
      <c r="AX92" s="55" t="s">
        <v>161</v>
      </c>
      <c r="AY92" s="55" t="s">
        <v>161</v>
      </c>
      <c r="AZ92" s="55" t="s">
        <v>161</v>
      </c>
      <c r="BA92" s="99">
        <v>15.136898262684339</v>
      </c>
      <c r="BB92" s="99">
        <v>14.853366377529946</v>
      </c>
      <c r="BC92" s="48">
        <v>17.908599265161211</v>
      </c>
      <c r="BD92" s="48">
        <v>17.590697674418603</v>
      </c>
      <c r="BE92" s="48">
        <v>18.18720535173431</v>
      </c>
      <c r="BF92" s="48">
        <v>22.421888586168919</v>
      </c>
      <c r="BG92" s="99">
        <v>22.992489890236858</v>
      </c>
      <c r="BH92" s="48">
        <v>26.773018900641581</v>
      </c>
      <c r="BI92" s="48">
        <v>26.344561016013252</v>
      </c>
      <c r="BJ92" s="48">
        <v>27.610629186340176</v>
      </c>
      <c r="BK92" s="44">
        <v>11938</v>
      </c>
      <c r="BL92" s="44">
        <v>12040</v>
      </c>
      <c r="BM92" s="44">
        <v>12137</v>
      </c>
      <c r="BN92" s="44">
        <v>12080</v>
      </c>
      <c r="BO92" s="45">
        <v>53.68570949907857</v>
      </c>
      <c r="BP92" s="45">
        <v>56.569767441860463</v>
      </c>
      <c r="BQ92" s="45">
        <v>57.485375298673475</v>
      </c>
      <c r="BR92" s="108">
        <v>57.284768211920529</v>
      </c>
      <c r="BS92" s="110">
        <v>1.0219467247445133</v>
      </c>
      <c r="BT92" s="110">
        <v>1.1794019933554818</v>
      </c>
      <c r="BU92" s="105">
        <v>0.74153415176732307</v>
      </c>
      <c r="BV92" s="105">
        <v>0.78642384105960261</v>
      </c>
      <c r="BW92" s="45">
        <v>18.579326520355167</v>
      </c>
      <c r="BX92" s="45">
        <v>18.845514950166113</v>
      </c>
      <c r="BY92" s="45">
        <v>18.711378429595452</v>
      </c>
      <c r="BZ92" s="45">
        <v>18.443708609271525</v>
      </c>
      <c r="CA92" s="44">
        <v>66.064981949458485</v>
      </c>
      <c r="CB92" s="44">
        <v>66.2109375</v>
      </c>
      <c r="CC92" s="44">
        <v>65.435897435897431</v>
      </c>
      <c r="CD92" s="44">
        <v>66.596858638743456</v>
      </c>
      <c r="CE92" s="45">
        <v>12.454873646209386</v>
      </c>
      <c r="CF92" s="45">
        <v>9.86328125</v>
      </c>
      <c r="CG92" s="45">
        <v>9.9487179487179489</v>
      </c>
      <c r="CH92" s="45">
        <v>10.261780104712042</v>
      </c>
      <c r="CI92" s="48">
        <v>4335</v>
      </c>
      <c r="CJ92" s="44">
        <v>4437</v>
      </c>
      <c r="CK92" s="51">
        <v>5106</v>
      </c>
      <c r="CL92" s="57">
        <v>5538</v>
      </c>
      <c r="CM92" s="108">
        <v>13.186351897648358</v>
      </c>
      <c r="CN92" s="108">
        <v>12.735471315769079</v>
      </c>
      <c r="CO92" s="108">
        <v>13.841749709935915</v>
      </c>
      <c r="CP92" s="108">
        <v>14.54753692704954</v>
      </c>
      <c r="CQ92" s="60">
        <v>191</v>
      </c>
      <c r="CR92" s="60">
        <v>208</v>
      </c>
      <c r="CS92" s="60">
        <v>226</v>
      </c>
      <c r="CT92" s="60">
        <v>241</v>
      </c>
      <c r="CU92" s="108">
        <v>4.5015319349516849</v>
      </c>
      <c r="CV92" s="108">
        <v>4.8003692591737828</v>
      </c>
      <c r="CW92" s="108">
        <v>4.5481988327631315</v>
      </c>
      <c r="CX92" s="108">
        <v>4.497107669341295</v>
      </c>
      <c r="CY92" s="61">
        <v>307</v>
      </c>
      <c r="CZ92" s="57">
        <v>289</v>
      </c>
      <c r="DA92" s="60">
        <v>375</v>
      </c>
      <c r="DB92" s="60">
        <v>418</v>
      </c>
      <c r="DC92" s="108">
        <v>7.8117048346055977</v>
      </c>
      <c r="DD92" s="108">
        <v>8.3189407023603916</v>
      </c>
      <c r="DE92" s="108">
        <v>8.8339222614840995</v>
      </c>
      <c r="DF92" s="108">
        <v>9.0593844820112697</v>
      </c>
      <c r="DG92" s="108">
        <v>72.058476774345678</v>
      </c>
      <c r="DH92" s="108">
        <v>74.51710495694671</v>
      </c>
      <c r="DI92" s="108">
        <v>73.829365079365076</v>
      </c>
      <c r="DJ92" s="108">
        <v>72.823701536210677</v>
      </c>
      <c r="DK92" s="108">
        <v>20.024067388688326</v>
      </c>
      <c r="DL92" s="108">
        <v>18.000474946568509</v>
      </c>
      <c r="DM92" s="108">
        <v>25.152409046214355</v>
      </c>
      <c r="DN92" s="108">
        <v>26.398696360673547</v>
      </c>
      <c r="DO92" s="108">
        <v>38.685121107266433</v>
      </c>
      <c r="DP92" s="108">
        <v>43.878241262683204</v>
      </c>
      <c r="DQ92" s="108">
        <v>46.003134796238243</v>
      </c>
      <c r="DR92" s="108">
        <v>50.650054171180933</v>
      </c>
      <c r="DS92" s="108">
        <v>44.418960244648318</v>
      </c>
      <c r="DT92" s="108">
        <v>43.572697953004671</v>
      </c>
      <c r="DU92" s="108">
        <v>44.818481848184817</v>
      </c>
      <c r="DV92" s="108">
        <v>49.003926130580197</v>
      </c>
      <c r="DW92" s="62">
        <v>753</v>
      </c>
      <c r="DX92" s="62">
        <v>7</v>
      </c>
      <c r="DY92" s="57">
        <v>323</v>
      </c>
      <c r="DZ92" s="60">
        <v>6</v>
      </c>
      <c r="EA92" s="60">
        <v>15</v>
      </c>
      <c r="EB92" s="60">
        <v>52</v>
      </c>
      <c r="EC92" s="60">
        <v>32</v>
      </c>
      <c r="ED92" s="57">
        <v>36</v>
      </c>
      <c r="EE92" s="60">
        <v>44</v>
      </c>
      <c r="EF92" s="60">
        <v>3134</v>
      </c>
      <c r="EG92" s="60">
        <v>3267</v>
      </c>
      <c r="EH92" s="60">
        <v>3251</v>
      </c>
      <c r="EI92" s="60">
        <v>3368</v>
      </c>
      <c r="EJ92" s="116">
        <v>643</v>
      </c>
      <c r="EK92" s="116">
        <v>1</v>
      </c>
      <c r="EL92" s="116">
        <v>87</v>
      </c>
      <c r="EM92" s="116">
        <v>0</v>
      </c>
      <c r="EN92" s="116">
        <v>1</v>
      </c>
      <c r="EO92" s="108">
        <v>953.31088459584669</v>
      </c>
      <c r="EP92" s="108">
        <v>937.7233443456746</v>
      </c>
      <c r="EQ92" s="108">
        <v>881.30686069333444</v>
      </c>
      <c r="ER92" s="108">
        <v>884.7256115981013</v>
      </c>
      <c r="ES92" s="108">
        <v>866.28474348456143</v>
      </c>
      <c r="ET92" s="108">
        <v>839.03764817252625</v>
      </c>
      <c r="EU92" s="108">
        <v>749.0773302653904</v>
      </c>
      <c r="EV92" s="45">
        <v>705.38981472665694</v>
      </c>
      <c r="EW92" s="45">
        <v>1075.8387375580019</v>
      </c>
      <c r="EX92" s="45">
        <v>992.99164979941088</v>
      </c>
      <c r="EY92" s="45">
        <v>919.95343613235218</v>
      </c>
      <c r="EZ92" s="108">
        <v>826.08034595724973</v>
      </c>
      <c r="FA92" s="108">
        <v>690.54358505281016</v>
      </c>
      <c r="FB92" s="108">
        <v>699.15494655033751</v>
      </c>
      <c r="FC92" s="108">
        <v>600.58652727755543</v>
      </c>
      <c r="FD92" s="108">
        <v>598.47544728507592</v>
      </c>
      <c r="FE92" s="57">
        <v>721</v>
      </c>
      <c r="FF92" s="62">
        <v>709</v>
      </c>
      <c r="FG92" s="62">
        <v>754</v>
      </c>
      <c r="FH92" s="62">
        <v>809</v>
      </c>
      <c r="FI92" s="108">
        <v>202.91996752230713</v>
      </c>
      <c r="FJ92" s="108">
        <v>184.79234736304323</v>
      </c>
      <c r="FK92" s="108">
        <v>176.48104160926846</v>
      </c>
      <c r="FL92" s="108">
        <v>169.59654926725671</v>
      </c>
      <c r="FM92" s="62">
        <v>891</v>
      </c>
      <c r="FN92" s="62">
        <v>872</v>
      </c>
      <c r="FO92" s="57">
        <v>752</v>
      </c>
      <c r="FP92" s="62">
        <v>666</v>
      </c>
      <c r="FQ92" s="108">
        <v>243.71949246124444</v>
      </c>
      <c r="FR92" s="108">
        <v>218.9773540911097</v>
      </c>
      <c r="FS92" s="108">
        <v>169.31106780620169</v>
      </c>
      <c r="FT92" s="108">
        <v>134.77666757992571</v>
      </c>
      <c r="FU92" s="48">
        <v>247</v>
      </c>
      <c r="FV92" s="48">
        <v>253</v>
      </c>
      <c r="FW92" s="48">
        <v>187</v>
      </c>
      <c r="FX92" s="48">
        <v>194</v>
      </c>
      <c r="FY92" s="108">
        <v>65.997961761447186</v>
      </c>
      <c r="FZ92" s="45">
        <v>62.697742047277515</v>
      </c>
      <c r="GA92" s="45">
        <v>41.172051033822271</v>
      </c>
      <c r="GB92" s="45">
        <v>38.969016850704932</v>
      </c>
      <c r="GC92" s="75">
        <v>178</v>
      </c>
      <c r="GD92" s="64">
        <v>198</v>
      </c>
      <c r="GE92" s="75">
        <v>199</v>
      </c>
      <c r="GF92" s="75">
        <v>206</v>
      </c>
      <c r="GG92" s="81">
        <v>52.510181266122956</v>
      </c>
      <c r="GH92" s="81">
        <v>55.499967771178433</v>
      </c>
      <c r="GI92" s="112">
        <v>51.922246193188535</v>
      </c>
      <c r="GJ92" s="81">
        <v>50.822237859850475</v>
      </c>
      <c r="GK92" s="75"/>
      <c r="GL92" s="75"/>
      <c r="GM92" s="75"/>
      <c r="GN92" s="64"/>
      <c r="GO92" s="75"/>
      <c r="GP92" s="75"/>
      <c r="GQ92" s="75"/>
      <c r="GR92" s="75"/>
      <c r="GS92" s="64"/>
      <c r="GT92" s="75"/>
      <c r="GU92" s="75"/>
      <c r="GV92" s="75"/>
      <c r="GW92" s="75"/>
      <c r="GX92" s="64"/>
      <c r="GY92" s="64"/>
      <c r="GZ92" s="64"/>
      <c r="HA92" s="64"/>
      <c r="HB92" s="64"/>
      <c r="HC92" s="64"/>
      <c r="HD92" s="65"/>
      <c r="HE92" s="65"/>
      <c r="HF92" s="65"/>
      <c r="HG92" s="65"/>
      <c r="HH92" s="65"/>
      <c r="HI92" s="66"/>
      <c r="HJ92" s="66"/>
      <c r="HK92" s="63"/>
      <c r="HL92" s="64"/>
      <c r="HM92" s="64"/>
      <c r="HN92" s="64"/>
      <c r="HO92" s="64"/>
      <c r="HP92" s="64"/>
      <c r="HQ92" s="64"/>
      <c r="HR92" s="64"/>
      <c r="HS92" s="64"/>
      <c r="HT92" s="64"/>
      <c r="HU92" s="39"/>
    </row>
    <row r="93" spans="1:229" ht="36" x14ac:dyDescent="0.2">
      <c r="A93" s="92" t="s">
        <v>461</v>
      </c>
      <c r="B93" s="90" t="s">
        <v>519</v>
      </c>
      <c r="C93" s="91">
        <f t="shared" ref="C93:G93" si="5">C9+C15+C40+C79+C90</f>
        <v>46428</v>
      </c>
      <c r="D93" s="91">
        <f t="shared" si="5"/>
        <v>45937</v>
      </c>
      <c r="E93" s="91">
        <f t="shared" si="5"/>
        <v>45372</v>
      </c>
      <c r="F93" s="91">
        <f t="shared" si="5"/>
        <v>45190</v>
      </c>
      <c r="G93" s="91">
        <f t="shared" si="5"/>
        <v>44697</v>
      </c>
      <c r="H93" s="91">
        <f t="shared" ref="H93:L93" si="6">H9+H15+H40+H79+H90</f>
        <v>43174</v>
      </c>
      <c r="I93" s="91">
        <f t="shared" si="6"/>
        <v>204</v>
      </c>
      <c r="J93" s="91">
        <f t="shared" si="6"/>
        <v>560</v>
      </c>
      <c r="K93" s="91">
        <f t="shared" si="6"/>
        <v>292</v>
      </c>
      <c r="L93" s="91">
        <f t="shared" si="6"/>
        <v>1645</v>
      </c>
      <c r="M93" s="91">
        <f t="shared" ref="M93:P93" si="7">M9+M15+M40+M79+M90</f>
        <v>19455</v>
      </c>
      <c r="N93" s="91">
        <f t="shared" si="7"/>
        <v>19441</v>
      </c>
      <c r="O93" s="91">
        <f t="shared" si="7"/>
        <v>19303</v>
      </c>
      <c r="P93" s="91">
        <f t="shared" si="7"/>
        <v>19217</v>
      </c>
      <c r="Q93" s="46">
        <v>19120</v>
      </c>
      <c r="R93" s="105">
        <v>32.78784136132839</v>
      </c>
      <c r="S93" s="105">
        <v>33.304368982656143</v>
      </c>
      <c r="T93" s="105">
        <v>33.104062722736991</v>
      </c>
      <c r="U93" s="105">
        <v>34.381482694617318</v>
      </c>
      <c r="V93" s="105">
        <v>34.400970802382879</v>
      </c>
      <c r="W93" s="105">
        <v>26.495814464114176</v>
      </c>
      <c r="X93" s="105">
        <v>26.359876264293906</v>
      </c>
      <c r="Y93" s="105">
        <v>28.592302209550962</v>
      </c>
      <c r="Z93" s="105">
        <v>30.083342431852095</v>
      </c>
      <c r="AA93" s="105">
        <v>29.962491726116056</v>
      </c>
      <c r="AB93" s="105">
        <v>59.283655825442573</v>
      </c>
      <c r="AC93" s="105">
        <v>59.664245246950053</v>
      </c>
      <c r="AD93" s="105">
        <v>61.696364932287956</v>
      </c>
      <c r="AE93" s="105">
        <v>64.464825126469407</v>
      </c>
      <c r="AF93" s="105">
        <v>64.363462528498928</v>
      </c>
      <c r="AG93" s="108">
        <v>4.5785931741708064</v>
      </c>
      <c r="AH93" s="108">
        <v>5.2815226011102299</v>
      </c>
      <c r="AI93" s="108">
        <v>7.0939973868265316</v>
      </c>
      <c r="AJ93" s="108">
        <v>6.7209001748650499</v>
      </c>
      <c r="AK93" s="45">
        <v>6.1496099128040385</v>
      </c>
      <c r="AL93" s="49">
        <v>780.16666666666674</v>
      </c>
      <c r="AM93" s="49">
        <v>833.5</v>
      </c>
      <c r="AN93" s="49">
        <v>1069.5833333333333</v>
      </c>
      <c r="AO93" s="49">
        <v>833.5</v>
      </c>
      <c r="AP93" s="49">
        <v>1522</v>
      </c>
      <c r="AQ93" s="49">
        <v>36975.15784911262</v>
      </c>
      <c r="AR93" s="49">
        <v>40838.100606349435</v>
      </c>
      <c r="AS93" s="49">
        <v>40153.219402431154</v>
      </c>
      <c r="AT93" s="49">
        <v>42365.823988720171</v>
      </c>
      <c r="AU93" s="49">
        <v>43488.287804550644</v>
      </c>
      <c r="AV93" s="55" t="s">
        <v>161</v>
      </c>
      <c r="AW93" s="55" t="s">
        <v>161</v>
      </c>
      <c r="AX93" s="55" t="s">
        <v>161</v>
      </c>
      <c r="AY93" s="55" t="s">
        <v>161</v>
      </c>
      <c r="AZ93" s="55" t="s">
        <v>161</v>
      </c>
      <c r="BA93" s="99">
        <v>11.022558112905072</v>
      </c>
      <c r="BB93" s="99">
        <v>10.341319026917029</v>
      </c>
      <c r="BC93" s="48">
        <v>10.298909858164341</v>
      </c>
      <c r="BD93" s="48">
        <v>10.728722082966375</v>
      </c>
      <c r="BE93" s="48">
        <v>11.249543629061701</v>
      </c>
      <c r="BF93" s="48">
        <v>13.194154488517745</v>
      </c>
      <c r="BG93" s="99">
        <v>12.334987855106135</v>
      </c>
      <c r="BH93" s="48">
        <v>13.40069401918759</v>
      </c>
      <c r="BI93" s="48">
        <v>15.523429710867397</v>
      </c>
      <c r="BJ93" s="48">
        <v>15.895719212822073</v>
      </c>
      <c r="BK93" s="44">
        <v>7795</v>
      </c>
      <c r="BL93" s="44">
        <v>7714</v>
      </c>
      <c r="BM93" s="44">
        <v>7533</v>
      </c>
      <c r="BN93" s="44">
        <v>7412</v>
      </c>
      <c r="BO93" s="45">
        <v>38.127004490057729</v>
      </c>
      <c r="BP93" s="45">
        <v>39.655172413793103</v>
      </c>
      <c r="BQ93" s="45">
        <v>42.453205894066109</v>
      </c>
      <c r="BR93" s="108">
        <v>40.744738262277387</v>
      </c>
      <c r="BS93" s="110">
        <v>2.2963438101347018</v>
      </c>
      <c r="BT93" s="110">
        <v>2.3463831993777546</v>
      </c>
      <c r="BU93" s="105">
        <v>2.2832868711004912</v>
      </c>
      <c r="BV93" s="105">
        <v>2.6173772261198058</v>
      </c>
      <c r="BW93" s="45">
        <v>16.523412443874278</v>
      </c>
      <c r="BX93" s="45">
        <v>16.528389940368161</v>
      </c>
      <c r="BY93" s="45">
        <v>17.04500199123855</v>
      </c>
      <c r="BZ93" s="45">
        <v>16.972477064220183</v>
      </c>
      <c r="CA93" s="44">
        <v>81.603153745072277</v>
      </c>
      <c r="CB93" s="44">
        <v>85.536159600997507</v>
      </c>
      <c r="CC93" s="44">
        <v>87.5</v>
      </c>
      <c r="CD93" s="44">
        <v>85.050798258345424</v>
      </c>
      <c r="CE93" s="45">
        <v>1.971090670170828</v>
      </c>
      <c r="CF93" s="45">
        <v>6.7331670822942646</v>
      </c>
      <c r="CG93" s="45">
        <v>1.3157894736842106</v>
      </c>
      <c r="CH93" s="45">
        <v>2.0319303338171264</v>
      </c>
      <c r="CI93" s="48">
        <v>2729</v>
      </c>
      <c r="CJ93" s="44">
        <v>2611</v>
      </c>
      <c r="CK93" s="51">
        <v>2590</v>
      </c>
      <c r="CL93" s="57">
        <v>2614</v>
      </c>
      <c r="CM93" s="108">
        <v>10.93511458028634</v>
      </c>
      <c r="CN93" s="108">
        <v>10.594140154266261</v>
      </c>
      <c r="CO93" s="108">
        <v>10.801793347930351</v>
      </c>
      <c r="CP93" s="108">
        <v>11.483850560573577</v>
      </c>
      <c r="CQ93" s="60">
        <v>83</v>
      </c>
      <c r="CR93" s="60">
        <v>87</v>
      </c>
      <c r="CS93" s="60">
        <v>102</v>
      </c>
      <c r="CT93" s="60">
        <v>89</v>
      </c>
      <c r="CU93" s="108">
        <v>3.1132783195798948</v>
      </c>
      <c r="CV93" s="108">
        <v>3.3957845433255271</v>
      </c>
      <c r="CW93" s="108">
        <v>4.0605095541401273</v>
      </c>
      <c r="CX93" s="108">
        <v>3.5317460317460316</v>
      </c>
      <c r="CY93" s="61">
        <v>150</v>
      </c>
      <c r="CZ93" s="57">
        <v>160</v>
      </c>
      <c r="DA93" s="60">
        <v>171</v>
      </c>
      <c r="DB93" s="60">
        <v>172</v>
      </c>
      <c r="DC93" s="108">
        <v>6.087662337662338</v>
      </c>
      <c r="DD93" s="108">
        <v>6.5359477124183005</v>
      </c>
      <c r="DE93" s="108">
        <v>7.5330396475770929</v>
      </c>
      <c r="DF93" s="108">
        <v>7.7512392969806223</v>
      </c>
      <c r="DG93" s="108">
        <v>84.226415094339629</v>
      </c>
      <c r="DH93" s="108">
        <v>84.360374414976604</v>
      </c>
      <c r="DI93" s="108">
        <v>86.574803149606296</v>
      </c>
      <c r="DJ93" s="108">
        <v>87.48</v>
      </c>
      <c r="DK93" s="108">
        <v>14.007633587786259</v>
      </c>
      <c r="DL93" s="108">
        <v>15.984555984555984</v>
      </c>
      <c r="DM93" s="108">
        <v>16.159250585480095</v>
      </c>
      <c r="DN93" s="108">
        <v>17.533718689788053</v>
      </c>
      <c r="DO93" s="108">
        <v>18.138512275558814</v>
      </c>
      <c r="DP93" s="108">
        <v>24.674329501915707</v>
      </c>
      <c r="DQ93" s="108">
        <v>29.443585780525503</v>
      </c>
      <c r="DR93" s="108">
        <v>34.736036725325171</v>
      </c>
      <c r="DS93" s="108">
        <v>30.64516129032258</v>
      </c>
      <c r="DT93" s="108">
        <v>30.834412145463105</v>
      </c>
      <c r="DU93" s="108">
        <v>26.834280188565213</v>
      </c>
      <c r="DV93" s="108">
        <v>29.305051632710018</v>
      </c>
      <c r="DW93" s="62">
        <v>472</v>
      </c>
      <c r="DX93" s="62">
        <v>4</v>
      </c>
      <c r="DY93" s="57">
        <v>10</v>
      </c>
      <c r="DZ93" s="60">
        <v>14</v>
      </c>
      <c r="EA93" s="60">
        <v>43</v>
      </c>
      <c r="EB93" s="60">
        <v>21</v>
      </c>
      <c r="EC93" s="60">
        <v>13</v>
      </c>
      <c r="ED93" s="57">
        <v>12</v>
      </c>
      <c r="EE93" s="60">
        <v>12</v>
      </c>
      <c r="EF93" s="60">
        <v>3263</v>
      </c>
      <c r="EG93" s="60">
        <v>3222</v>
      </c>
      <c r="EH93" s="60">
        <v>2963</v>
      </c>
      <c r="EI93" s="60">
        <v>2771</v>
      </c>
      <c r="EJ93" s="116">
        <v>576</v>
      </c>
      <c r="EK93" s="116">
        <v>0</v>
      </c>
      <c r="EL93" s="116">
        <v>4</v>
      </c>
      <c r="EM93" s="116">
        <v>1</v>
      </c>
      <c r="EN93" s="116">
        <v>8</v>
      </c>
      <c r="EO93" s="108">
        <v>1307.4854846271282</v>
      </c>
      <c r="EP93" s="108">
        <v>1307.3274445440786</v>
      </c>
      <c r="EQ93" s="108">
        <v>1235.7418413095611</v>
      </c>
      <c r="ER93" s="108">
        <v>1217.3584507784767</v>
      </c>
      <c r="ES93" s="108">
        <v>773.59898254905147</v>
      </c>
      <c r="ET93" s="108">
        <v>751.04835539724263</v>
      </c>
      <c r="EU93" s="108">
        <v>681.72449725736942</v>
      </c>
      <c r="EV93" s="45">
        <v>654.16182180641954</v>
      </c>
      <c r="EW93" s="45">
        <v>988.84867386106998</v>
      </c>
      <c r="EX93" s="45">
        <v>935.24785303434771</v>
      </c>
      <c r="EY93" s="45">
        <v>842.06149402687242</v>
      </c>
      <c r="EZ93" s="108">
        <v>781.16207776305441</v>
      </c>
      <c r="FA93" s="108">
        <v>600.78515470919501</v>
      </c>
      <c r="FB93" s="108">
        <v>600.36959223030078</v>
      </c>
      <c r="FC93" s="108">
        <v>556.84095992003472</v>
      </c>
      <c r="FD93" s="108">
        <v>553.67771752864894</v>
      </c>
      <c r="FE93" s="57">
        <v>742</v>
      </c>
      <c r="FF93" s="62">
        <v>775</v>
      </c>
      <c r="FG93" s="62">
        <v>684</v>
      </c>
      <c r="FH93" s="62">
        <v>629</v>
      </c>
      <c r="FI93" s="108">
        <v>188.12940531480899</v>
      </c>
      <c r="FJ93" s="108">
        <v>196.97828555303181</v>
      </c>
      <c r="FK93" s="108">
        <v>178.70918491141541</v>
      </c>
      <c r="FL93" s="108">
        <v>165.022500753668</v>
      </c>
      <c r="FM93" s="62">
        <v>1159</v>
      </c>
      <c r="FN93" s="62">
        <v>944</v>
      </c>
      <c r="FO93" s="57">
        <v>765</v>
      </c>
      <c r="FP93" s="62">
        <v>657</v>
      </c>
      <c r="FQ93" s="108">
        <v>258.65661066835878</v>
      </c>
      <c r="FR93" s="108">
        <v>208.13074248295376</v>
      </c>
      <c r="FS93" s="108">
        <v>160.17275754483197</v>
      </c>
      <c r="FT93" s="108">
        <v>140.94216595365245</v>
      </c>
      <c r="FU93" s="48">
        <v>296</v>
      </c>
      <c r="FV93" s="48">
        <v>274</v>
      </c>
      <c r="FW93" s="48">
        <v>225</v>
      </c>
      <c r="FX93" s="48">
        <v>183</v>
      </c>
      <c r="FY93" s="108">
        <v>62.976304783407741</v>
      </c>
      <c r="FZ93" s="45">
        <v>56.414413030541823</v>
      </c>
      <c r="GA93" s="45">
        <v>44.492062899362978</v>
      </c>
      <c r="GB93" s="45">
        <v>37.786574604126344</v>
      </c>
      <c r="GC93" s="75">
        <v>119</v>
      </c>
      <c r="GD93" s="64">
        <v>135</v>
      </c>
      <c r="GE93" s="75">
        <v>147</v>
      </c>
      <c r="GF93" s="75">
        <v>135</v>
      </c>
      <c r="GG93" s="81">
        <v>40.704647295288375</v>
      </c>
      <c r="GH93" s="81">
        <v>42.58207508433803</v>
      </c>
      <c r="GI93" s="112">
        <v>46.391255403545422</v>
      </c>
      <c r="GJ93" s="81">
        <v>44.317019272848221</v>
      </c>
      <c r="GK93" s="75"/>
      <c r="GL93" s="75"/>
      <c r="GM93" s="75"/>
      <c r="GN93" s="64"/>
      <c r="GO93" s="75"/>
      <c r="GP93" s="75"/>
      <c r="GQ93" s="75"/>
      <c r="GR93" s="75"/>
      <c r="GS93" s="64"/>
      <c r="GT93" s="75"/>
      <c r="GU93" s="75"/>
      <c r="GV93" s="75"/>
      <c r="GW93" s="75"/>
      <c r="GX93" s="64"/>
      <c r="GY93" s="64"/>
      <c r="GZ93" s="64"/>
      <c r="HA93" s="64"/>
      <c r="HB93" s="64"/>
      <c r="HC93" s="64"/>
      <c r="HD93" s="65"/>
      <c r="HE93" s="65"/>
      <c r="HF93" s="65"/>
      <c r="HG93" s="65"/>
      <c r="HH93" s="65"/>
      <c r="HI93" s="66"/>
      <c r="HJ93" s="66"/>
      <c r="HK93" s="63"/>
      <c r="HL93" s="64"/>
      <c r="HM93" s="64"/>
      <c r="HN93" s="64"/>
      <c r="HO93" s="64"/>
      <c r="HP93" s="64"/>
      <c r="HQ93" s="64"/>
      <c r="HR93" s="64"/>
      <c r="HS93" s="64"/>
      <c r="HT93" s="64"/>
      <c r="HU93" s="39"/>
    </row>
    <row r="94" spans="1:229" x14ac:dyDescent="0.2">
      <c r="A94" s="92" t="s">
        <v>462</v>
      </c>
      <c r="B94" s="90" t="s">
        <v>503</v>
      </c>
      <c r="C94" s="91">
        <f t="shared" ref="C94:G94" si="8">C11+C55</f>
        <v>57693</v>
      </c>
      <c r="D94" s="91">
        <f t="shared" si="8"/>
        <v>57889</v>
      </c>
      <c r="E94" s="91">
        <f t="shared" si="8"/>
        <v>57827</v>
      </c>
      <c r="F94" s="91">
        <f t="shared" si="8"/>
        <v>58620</v>
      </c>
      <c r="G94" s="91">
        <f t="shared" si="8"/>
        <v>58554</v>
      </c>
      <c r="H94" s="91">
        <f t="shared" ref="H94:L94" si="9">H11+H55</f>
        <v>56303</v>
      </c>
      <c r="I94" s="91">
        <f t="shared" si="9"/>
        <v>828</v>
      </c>
      <c r="J94" s="91">
        <f t="shared" si="9"/>
        <v>182</v>
      </c>
      <c r="K94" s="91">
        <f t="shared" si="9"/>
        <v>663</v>
      </c>
      <c r="L94" s="91">
        <f t="shared" si="9"/>
        <v>2108</v>
      </c>
      <c r="M94" s="91">
        <f t="shared" ref="M94:P94" si="10">M11+M55</f>
        <v>22811</v>
      </c>
      <c r="N94" s="91">
        <f t="shared" si="10"/>
        <v>22921</v>
      </c>
      <c r="O94" s="91">
        <f t="shared" si="10"/>
        <v>22992</v>
      </c>
      <c r="P94" s="91">
        <f t="shared" si="10"/>
        <v>22983</v>
      </c>
      <c r="Q94" s="46">
        <v>23099</v>
      </c>
      <c r="R94" s="105">
        <v>22.003994673768307</v>
      </c>
      <c r="S94" s="105">
        <v>22.760514228528905</v>
      </c>
      <c r="T94" s="105">
        <v>22.791875549123986</v>
      </c>
      <c r="U94" s="105">
        <v>22.613245780536602</v>
      </c>
      <c r="V94" s="105">
        <v>23.016056518946691</v>
      </c>
      <c r="W94" s="105">
        <v>25.729796169210285</v>
      </c>
      <c r="X94" s="105">
        <v>25.783274742757435</v>
      </c>
      <c r="Y94" s="105">
        <v>26.639619618584941</v>
      </c>
      <c r="Z94" s="105">
        <v>27.748422510644847</v>
      </c>
      <c r="AA94" s="105">
        <v>27.411689145793193</v>
      </c>
      <c r="AB94" s="105">
        <v>47.733790842978593</v>
      </c>
      <c r="AC94" s="105">
        <v>48.54378897128634</v>
      </c>
      <c r="AD94" s="105">
        <v>49.431495167708924</v>
      </c>
      <c r="AE94" s="105">
        <v>50.361668291181452</v>
      </c>
      <c r="AF94" s="105">
        <v>50.427745664739888</v>
      </c>
      <c r="AG94" s="108">
        <v>4.210805084745763</v>
      </c>
      <c r="AH94" s="108">
        <v>5.0086009174311927</v>
      </c>
      <c r="AI94" s="108">
        <v>6.9713113586507509</v>
      </c>
      <c r="AJ94" s="108">
        <v>6.3715056052220804</v>
      </c>
      <c r="AK94" s="45">
        <v>5.5100310822266181</v>
      </c>
      <c r="AL94" s="49">
        <v>954.16666666666663</v>
      </c>
      <c r="AM94" s="49">
        <v>1001.6666666666666</v>
      </c>
      <c r="AN94" s="49">
        <v>1321.3333333333335</v>
      </c>
      <c r="AO94" s="49">
        <v>1001.6666666666666</v>
      </c>
      <c r="AP94" s="49">
        <v>1913.0833333333335</v>
      </c>
      <c r="AQ94" s="49">
        <v>37460.577884429331</v>
      </c>
      <c r="AR94" s="49">
        <v>38878.848246026784</v>
      </c>
      <c r="AS94" s="49">
        <v>37066.887203360224</v>
      </c>
      <c r="AT94" s="49">
        <v>37851.446188776623</v>
      </c>
      <c r="AU94" s="49">
        <v>38882.569935444204</v>
      </c>
      <c r="AV94" s="55" t="s">
        <v>161</v>
      </c>
      <c r="AW94" s="55" t="s">
        <v>161</v>
      </c>
      <c r="AX94" s="55" t="s">
        <v>161</v>
      </c>
      <c r="AY94" s="55" t="s">
        <v>161</v>
      </c>
      <c r="AZ94" s="55" t="s">
        <v>161</v>
      </c>
      <c r="BA94" s="99">
        <v>8.97825966698014</v>
      </c>
      <c r="BB94" s="99">
        <v>9.8010736873069568</v>
      </c>
      <c r="BC94" s="48">
        <v>10.153908390489676</v>
      </c>
      <c r="BD94" s="48">
        <v>9.1522488228183807</v>
      </c>
      <c r="BE94" s="48">
        <v>9.2713794973784118</v>
      </c>
      <c r="BF94" s="48">
        <v>10.285157202047282</v>
      </c>
      <c r="BG94" s="99">
        <v>9.9227227885563956</v>
      </c>
      <c r="BH94" s="48">
        <v>11.09768865265362</v>
      </c>
      <c r="BI94" s="48">
        <v>11.393684865453414</v>
      </c>
      <c r="BJ94" s="48">
        <v>11.772612270714738</v>
      </c>
      <c r="BK94" s="44">
        <v>5733</v>
      </c>
      <c r="BL94" s="44">
        <v>5897</v>
      </c>
      <c r="BM94" s="44">
        <v>5917</v>
      </c>
      <c r="BN94" s="44">
        <v>5967</v>
      </c>
      <c r="BO94" s="45">
        <v>31.1704168847026</v>
      </c>
      <c r="BP94" s="45">
        <v>34.23774800746142</v>
      </c>
      <c r="BQ94" s="45">
        <v>36.471184721987491</v>
      </c>
      <c r="BR94" s="108">
        <v>37.372213842802076</v>
      </c>
      <c r="BS94" s="110">
        <v>3.1397174254317113</v>
      </c>
      <c r="BT94" s="110">
        <v>2.7980328980837714</v>
      </c>
      <c r="BU94" s="105">
        <v>2.9237789420314351</v>
      </c>
      <c r="BV94" s="105">
        <v>2.8825205295793532</v>
      </c>
      <c r="BW94" s="45">
        <v>16.082330368044655</v>
      </c>
      <c r="BX94" s="45">
        <v>17.534339494658301</v>
      </c>
      <c r="BY94" s="45">
        <v>18.489099205678553</v>
      </c>
      <c r="BZ94" s="45">
        <v>18.300653594771241</v>
      </c>
      <c r="CA94" s="44">
        <v>85.231316725978644</v>
      </c>
      <c r="CB94" s="44">
        <v>83.77896613190731</v>
      </c>
      <c r="CC94" s="44">
        <v>80.582524271844662</v>
      </c>
      <c r="CD94" s="44">
        <v>85.887096774193552</v>
      </c>
      <c r="CE94" s="45">
        <v>2.8469750889679717</v>
      </c>
      <c r="CF94" s="45">
        <v>4.6345811051693406</v>
      </c>
      <c r="CG94" s="45">
        <v>4.8543689320388346</v>
      </c>
      <c r="CH94" s="45">
        <v>3.8306451612903225</v>
      </c>
      <c r="CI94" s="48">
        <v>3304</v>
      </c>
      <c r="CJ94" s="44">
        <v>3176</v>
      </c>
      <c r="CK94" s="51">
        <v>3455</v>
      </c>
      <c r="CL94" s="57">
        <v>3463</v>
      </c>
      <c r="CM94" s="108">
        <v>11.681268251981644</v>
      </c>
      <c r="CN94" s="108">
        <v>11.193740527966728</v>
      </c>
      <c r="CO94" s="108">
        <v>12.045630451911611</v>
      </c>
      <c r="CP94" s="108">
        <v>11.917421184308786</v>
      </c>
      <c r="CQ94" s="60">
        <v>130</v>
      </c>
      <c r="CR94" s="60">
        <v>113</v>
      </c>
      <c r="CS94" s="60">
        <v>147</v>
      </c>
      <c r="CT94" s="60">
        <v>128</v>
      </c>
      <c r="CU94" s="108">
        <v>4.0422885572139302</v>
      </c>
      <c r="CV94" s="108">
        <v>3.6736020806241871</v>
      </c>
      <c r="CW94" s="108">
        <v>4.4091181763647267</v>
      </c>
      <c r="CX94" s="108">
        <v>3.8277511961722488</v>
      </c>
      <c r="CY94" s="61">
        <v>202</v>
      </c>
      <c r="CZ94" s="57">
        <v>193</v>
      </c>
      <c r="DA94" s="60">
        <v>282</v>
      </c>
      <c r="DB94" s="60">
        <v>244</v>
      </c>
      <c r="DC94" s="108">
        <v>6.6403681788297169</v>
      </c>
      <c r="DD94" s="108">
        <v>6.5070802427511802</v>
      </c>
      <c r="DE94" s="108">
        <v>8.7823108066023039</v>
      </c>
      <c r="DF94" s="108">
        <v>7.5100030778701141</v>
      </c>
      <c r="DG94" s="108">
        <v>87.373096446700501</v>
      </c>
      <c r="DH94" s="108">
        <v>86.471362738643847</v>
      </c>
      <c r="DI94" s="108">
        <v>89.565724278635969</v>
      </c>
      <c r="DJ94" s="108">
        <v>89.965095986038392</v>
      </c>
      <c r="DK94" s="108">
        <v>11.851618987739705</v>
      </c>
      <c r="DL94" s="108">
        <v>12.115445607358073</v>
      </c>
      <c r="DM94" s="108">
        <v>11.614401858304298</v>
      </c>
      <c r="DN94" s="108">
        <v>10.876482499276829</v>
      </c>
      <c r="DO94" s="108">
        <v>20.399515738498788</v>
      </c>
      <c r="DP94" s="108">
        <v>22.236220472440944</v>
      </c>
      <c r="DQ94" s="108">
        <v>26.685962373371925</v>
      </c>
      <c r="DR94" s="108">
        <v>31.311380704794917</v>
      </c>
      <c r="DS94" s="108">
        <v>21.813703931744218</v>
      </c>
      <c r="DT94" s="108">
        <v>18.347244153695765</v>
      </c>
      <c r="DU94" s="108">
        <v>18.387553041018389</v>
      </c>
      <c r="DV94" s="108">
        <v>15.780245470485097</v>
      </c>
      <c r="DW94" s="62">
        <v>645</v>
      </c>
      <c r="DX94" s="62">
        <v>19</v>
      </c>
      <c r="DY94" s="57">
        <v>2</v>
      </c>
      <c r="DZ94" s="60">
        <v>8</v>
      </c>
      <c r="EA94" s="60">
        <v>51</v>
      </c>
      <c r="EB94" s="60">
        <v>28</v>
      </c>
      <c r="EC94" s="60">
        <v>16</v>
      </c>
      <c r="ED94" s="57">
        <v>11</v>
      </c>
      <c r="EE94" s="60">
        <v>18</v>
      </c>
      <c r="EF94" s="60">
        <v>2210</v>
      </c>
      <c r="EG94" s="60">
        <v>2262</v>
      </c>
      <c r="EH94" s="60">
        <v>2364</v>
      </c>
      <c r="EI94" s="60">
        <v>2442</v>
      </c>
      <c r="EJ94" s="116">
        <v>487</v>
      </c>
      <c r="EK94" s="116">
        <v>0</v>
      </c>
      <c r="EL94" s="116">
        <v>1</v>
      </c>
      <c r="EM94" s="116">
        <v>0</v>
      </c>
      <c r="EN94" s="116">
        <v>2</v>
      </c>
      <c r="EO94" s="108">
        <v>781.34391152782791</v>
      </c>
      <c r="EP94" s="108">
        <v>797.23680964297046</v>
      </c>
      <c r="EQ94" s="108">
        <v>824.19306478492183</v>
      </c>
      <c r="ER94" s="108">
        <v>840.37951291025286</v>
      </c>
      <c r="ES94" s="108">
        <v>681.45492498452052</v>
      </c>
      <c r="ET94" s="108">
        <v>689.09676729110106</v>
      </c>
      <c r="EU94" s="108">
        <v>666.45657454252296</v>
      </c>
      <c r="EV94" s="45">
        <v>627.63752882680626</v>
      </c>
      <c r="EW94" s="45">
        <v>871.80899494331459</v>
      </c>
      <c r="EX94" s="45">
        <v>855.60652725343584</v>
      </c>
      <c r="EY94" s="45">
        <v>780.27065548095686</v>
      </c>
      <c r="EZ94" s="108">
        <v>761.63616722911252</v>
      </c>
      <c r="FA94" s="108">
        <v>552.67262799577486</v>
      </c>
      <c r="FB94" s="108">
        <v>565.50960253740561</v>
      </c>
      <c r="FC94" s="108">
        <v>578.02742760670446</v>
      </c>
      <c r="FD94" s="108">
        <v>518.77011547139796</v>
      </c>
      <c r="FE94" s="57">
        <v>533</v>
      </c>
      <c r="FF94" s="62">
        <v>553</v>
      </c>
      <c r="FG94" s="62">
        <v>605</v>
      </c>
      <c r="FH94" s="62">
        <v>566</v>
      </c>
      <c r="FI94" s="108">
        <v>171.16823712702842</v>
      </c>
      <c r="FJ94" s="108">
        <v>177.89062873537287</v>
      </c>
      <c r="FK94" s="108">
        <v>181.52430643730332</v>
      </c>
      <c r="FL94" s="108">
        <v>152.71607333392348</v>
      </c>
      <c r="FM94" s="62">
        <v>737</v>
      </c>
      <c r="FN94" s="62">
        <v>634</v>
      </c>
      <c r="FO94" s="57">
        <v>569</v>
      </c>
      <c r="FP94" s="62">
        <v>499</v>
      </c>
      <c r="FQ94" s="108">
        <v>223.69670192722913</v>
      </c>
      <c r="FR94" s="108">
        <v>187.46331404209661</v>
      </c>
      <c r="FS94" s="108">
        <v>153.42729233468935</v>
      </c>
      <c r="FT94" s="108">
        <v>122.9324270345992</v>
      </c>
      <c r="FU94" s="48">
        <v>197</v>
      </c>
      <c r="FV94" s="48">
        <v>164</v>
      </c>
      <c r="FW94" s="48">
        <v>150</v>
      </c>
      <c r="FX94" s="48">
        <v>177</v>
      </c>
      <c r="FY94" s="108">
        <v>58.11547944368116</v>
      </c>
      <c r="FZ94" s="45">
        <v>47.962022680651572</v>
      </c>
      <c r="GA94" s="45">
        <v>39.79919938121418</v>
      </c>
      <c r="GB94" s="45">
        <v>41.992774418285109</v>
      </c>
      <c r="GC94" s="75">
        <v>66</v>
      </c>
      <c r="GD94" s="64">
        <v>71</v>
      </c>
      <c r="GE94" s="75">
        <v>93</v>
      </c>
      <c r="GF94" s="75">
        <v>106</v>
      </c>
      <c r="GG94" s="81">
        <v>21.668480362453561</v>
      </c>
      <c r="GH94" s="81">
        <v>22.296737018312346</v>
      </c>
      <c r="GI94" s="112">
        <v>27.143967202215258</v>
      </c>
      <c r="GJ94" s="81">
        <v>30.790401902296814</v>
      </c>
      <c r="GK94" s="75"/>
      <c r="GL94" s="75"/>
      <c r="GM94" s="75"/>
      <c r="GN94" s="64"/>
      <c r="GO94" s="75"/>
      <c r="GP94" s="75"/>
      <c r="GQ94" s="75"/>
      <c r="GR94" s="75"/>
      <c r="GS94" s="64"/>
      <c r="GT94" s="75"/>
      <c r="GU94" s="75"/>
      <c r="GV94" s="75"/>
      <c r="GW94" s="75"/>
      <c r="GX94" s="64"/>
      <c r="GY94" s="64"/>
      <c r="GZ94" s="64"/>
      <c r="HA94" s="64"/>
      <c r="HB94" s="64"/>
      <c r="HC94" s="64"/>
      <c r="HD94" s="65"/>
      <c r="HE94" s="65"/>
      <c r="HF94" s="65"/>
      <c r="HG94" s="65"/>
      <c r="HH94" s="65"/>
      <c r="HI94" s="66"/>
      <c r="HJ94" s="66"/>
      <c r="HK94" s="63"/>
      <c r="HL94" s="64"/>
      <c r="HM94" s="64"/>
      <c r="HN94" s="64"/>
      <c r="HO94" s="64"/>
      <c r="HP94" s="64"/>
      <c r="HQ94" s="64"/>
      <c r="HR94" s="64"/>
      <c r="HS94" s="64"/>
      <c r="HT94" s="64"/>
      <c r="HU94" s="39"/>
    </row>
    <row r="95" spans="1:229" ht="24" x14ac:dyDescent="0.2">
      <c r="A95" s="92" t="s">
        <v>463</v>
      </c>
      <c r="B95" s="90" t="s">
        <v>504</v>
      </c>
      <c r="C95" s="91">
        <f t="shared" ref="C95:G95" si="11">C12+C19+C41+C72</f>
        <v>246726</v>
      </c>
      <c r="D95" s="91">
        <f t="shared" si="11"/>
        <v>246843</v>
      </c>
      <c r="E95" s="91">
        <f t="shared" si="11"/>
        <v>248176</v>
      </c>
      <c r="F95" s="91">
        <f t="shared" si="11"/>
        <v>251654</v>
      </c>
      <c r="G95" s="91">
        <f t="shared" si="11"/>
        <v>251752</v>
      </c>
      <c r="H95" s="91">
        <f t="shared" ref="H95:L95" si="12">H12+H19+H41+H72</f>
        <v>233284</v>
      </c>
      <c r="I95" s="91">
        <f t="shared" si="12"/>
        <v>3496</v>
      </c>
      <c r="J95" s="91">
        <f t="shared" si="12"/>
        <v>7157</v>
      </c>
      <c r="K95" s="91">
        <f t="shared" si="12"/>
        <v>2324</v>
      </c>
      <c r="L95" s="91">
        <f t="shared" si="12"/>
        <v>3273</v>
      </c>
      <c r="M95" s="91">
        <f t="shared" ref="M95:P95" si="13">M12+M19+M41+M72</f>
        <v>105090</v>
      </c>
      <c r="N95" s="91">
        <f t="shared" si="13"/>
        <v>105442</v>
      </c>
      <c r="O95" s="91">
        <f t="shared" si="13"/>
        <v>105632</v>
      </c>
      <c r="P95" s="91">
        <f t="shared" si="13"/>
        <v>105640</v>
      </c>
      <c r="Q95" s="46">
        <v>105931</v>
      </c>
      <c r="R95" s="105">
        <v>23.108035873374117</v>
      </c>
      <c r="S95" s="105">
        <v>23.358651297173324</v>
      </c>
      <c r="T95" s="105">
        <v>24.17403053964534</v>
      </c>
      <c r="U95" s="105">
        <v>23.973176865046103</v>
      </c>
      <c r="V95" s="105">
        <v>24.149112412081337</v>
      </c>
      <c r="W95" s="105">
        <v>23.429945952366811</v>
      </c>
      <c r="X95" s="105">
        <v>23.689869835880021</v>
      </c>
      <c r="Y95" s="105">
        <v>24.205120233411854</v>
      </c>
      <c r="Z95" s="105">
        <v>24.577641878091686</v>
      </c>
      <c r="AA95" s="105">
        <v>24.274689447402089</v>
      </c>
      <c r="AB95" s="105">
        <v>46.537981825740928</v>
      </c>
      <c r="AC95" s="105">
        <v>47.048521133053349</v>
      </c>
      <c r="AD95" s="105">
        <v>48.379150773057191</v>
      </c>
      <c r="AE95" s="105">
        <v>48.550818743137789</v>
      </c>
      <c r="AF95" s="105">
        <v>48.423801859483426</v>
      </c>
      <c r="AG95" s="108">
        <v>5.5822647518096016</v>
      </c>
      <c r="AH95" s="108">
        <v>6.2529430528762173</v>
      </c>
      <c r="AI95" s="108">
        <v>9.3505321349328714</v>
      </c>
      <c r="AJ95" s="108">
        <v>7.9771568671420665</v>
      </c>
      <c r="AK95" s="45">
        <v>7.3557434645387962</v>
      </c>
      <c r="AL95" s="49">
        <v>8244.4166666666661</v>
      </c>
      <c r="AM95" s="49">
        <v>8735.5833333333339</v>
      </c>
      <c r="AN95" s="49">
        <v>10909.75</v>
      </c>
      <c r="AO95" s="49">
        <v>8735.5833333333339</v>
      </c>
      <c r="AP95" s="49">
        <v>14619.416666666668</v>
      </c>
      <c r="AQ95" s="49">
        <v>36977.139520763521</v>
      </c>
      <c r="AR95" s="49">
        <v>37079.803827697484</v>
      </c>
      <c r="AS95" s="49">
        <v>35703.58686435876</v>
      </c>
      <c r="AT95" s="49">
        <v>36375.39419552491</v>
      </c>
      <c r="AU95" s="49">
        <v>37149.390654663483</v>
      </c>
      <c r="AV95" s="55" t="s">
        <v>161</v>
      </c>
      <c r="AW95" s="55" t="s">
        <v>161</v>
      </c>
      <c r="AX95" s="55" t="s">
        <v>161</v>
      </c>
      <c r="AY95" s="55" t="s">
        <v>161</v>
      </c>
      <c r="AZ95" s="55" t="s">
        <v>161</v>
      </c>
      <c r="BA95" s="99">
        <v>13.741942085337154</v>
      </c>
      <c r="BB95" s="99">
        <v>13.577761414470745</v>
      </c>
      <c r="BC95" s="48">
        <v>15.229497774952321</v>
      </c>
      <c r="BD95" s="48">
        <v>16.001971104273899</v>
      </c>
      <c r="BE95" s="48">
        <v>16.326133650069735</v>
      </c>
      <c r="BF95" s="48">
        <v>17.374887873667522</v>
      </c>
      <c r="BG95" s="99">
        <v>14.144339347472812</v>
      </c>
      <c r="BH95" s="48">
        <v>17.134471497664421</v>
      </c>
      <c r="BI95" s="48">
        <v>19.846633214632568</v>
      </c>
      <c r="BJ95" s="48">
        <v>19.721754140808024</v>
      </c>
      <c r="BK95" s="44">
        <v>34095</v>
      </c>
      <c r="BL95" s="44">
        <v>33809</v>
      </c>
      <c r="BM95" s="44">
        <v>33423</v>
      </c>
      <c r="BN95" s="44">
        <v>33398</v>
      </c>
      <c r="BO95" s="45">
        <v>35.929021850711251</v>
      </c>
      <c r="BP95" s="45">
        <v>38.20876098080393</v>
      </c>
      <c r="BQ95" s="45">
        <v>39.284325165305326</v>
      </c>
      <c r="BR95" s="108">
        <v>40.208994550571887</v>
      </c>
      <c r="BS95" s="110">
        <v>0.19064378941193724</v>
      </c>
      <c r="BT95" s="110">
        <v>0.17450974592564111</v>
      </c>
      <c r="BU95" s="105">
        <v>0.11668611435239207</v>
      </c>
      <c r="BV95" s="105">
        <v>0.13473860710222169</v>
      </c>
      <c r="BW95" s="45">
        <v>15.685584396539081</v>
      </c>
      <c r="BX95" s="45">
        <v>16.11996805584312</v>
      </c>
      <c r="BY95" s="45">
        <v>16.300152589534154</v>
      </c>
      <c r="BZ95" s="45">
        <v>16.399185579974848</v>
      </c>
      <c r="CA95" s="44">
        <v>79.181669394435346</v>
      </c>
      <c r="CB95" s="44">
        <v>78.940526486837825</v>
      </c>
      <c r="CC95" s="44">
        <v>77.577577577577571</v>
      </c>
      <c r="CD95" s="44">
        <v>77.218728162124393</v>
      </c>
      <c r="CE95" s="45">
        <v>7.0376432078559734</v>
      </c>
      <c r="CF95" s="45">
        <v>6.7923301917452061</v>
      </c>
      <c r="CG95" s="45">
        <v>6.2062062062062058</v>
      </c>
      <c r="CH95" s="45">
        <v>6.8134171907756818</v>
      </c>
      <c r="CI95" s="48">
        <v>12982</v>
      </c>
      <c r="CJ95" s="44">
        <v>12603</v>
      </c>
      <c r="CK95" s="51">
        <v>13259</v>
      </c>
      <c r="CL95" s="57">
        <v>13378</v>
      </c>
      <c r="CM95" s="108">
        <v>10.688899665796921</v>
      </c>
      <c r="CN95" s="108">
        <v>10.339328169275221</v>
      </c>
      <c r="CO95" s="108">
        <v>10.695769528310029</v>
      </c>
      <c r="CP95" s="108">
        <v>10.74407842904194</v>
      </c>
      <c r="CQ95" s="60">
        <v>522</v>
      </c>
      <c r="CR95" s="60">
        <v>578</v>
      </c>
      <c r="CS95" s="60">
        <v>574</v>
      </c>
      <c r="CT95" s="60">
        <v>570</v>
      </c>
      <c r="CU95" s="108">
        <v>4.1255038330830631</v>
      </c>
      <c r="CV95" s="108">
        <v>4.719137818419334</v>
      </c>
      <c r="CW95" s="108">
        <v>4.4704049844236762</v>
      </c>
      <c r="CX95" s="108">
        <v>4.4110818758706083</v>
      </c>
      <c r="CY95" s="61">
        <v>839</v>
      </c>
      <c r="CZ95" s="57">
        <v>932</v>
      </c>
      <c r="DA95" s="60">
        <v>1127</v>
      </c>
      <c r="DB95" s="60">
        <v>1024</v>
      </c>
      <c r="DC95" s="108">
        <v>7.0634787001178649</v>
      </c>
      <c r="DD95" s="108">
        <v>8.164695575996495</v>
      </c>
      <c r="DE95" s="108">
        <v>9.3102023957042537</v>
      </c>
      <c r="DF95" s="108">
        <v>8.4691092548176332</v>
      </c>
      <c r="DG95" s="108">
        <v>87.771717650778598</v>
      </c>
      <c r="DH95" s="108">
        <v>86.986913760871332</v>
      </c>
      <c r="DI95" s="108">
        <v>88.647746243739562</v>
      </c>
      <c r="DJ95" s="108">
        <v>88.069013325117467</v>
      </c>
      <c r="DK95" s="108">
        <v>22.957294495186375</v>
      </c>
      <c r="DL95" s="108">
        <v>21.991566655854687</v>
      </c>
      <c r="DM95" s="108">
        <v>22.007868058707821</v>
      </c>
      <c r="DN95" s="108">
        <v>20.757020757020758</v>
      </c>
      <c r="DO95" s="108">
        <v>30.086313193588161</v>
      </c>
      <c r="DP95" s="108">
        <v>32.346404191141453</v>
      </c>
      <c r="DQ95" s="108">
        <v>37.067209775967413</v>
      </c>
      <c r="DR95" s="108">
        <v>39.986539036793296</v>
      </c>
      <c r="DS95" s="108">
        <v>31.071757129714811</v>
      </c>
      <c r="DT95" s="108">
        <v>28.15211569362614</v>
      </c>
      <c r="DU95" s="108">
        <v>24.165275459098499</v>
      </c>
      <c r="DV95" s="108">
        <v>21.960631286853971</v>
      </c>
      <c r="DW95" s="62">
        <v>2391</v>
      </c>
      <c r="DX95" s="62">
        <v>50</v>
      </c>
      <c r="DY95" s="57">
        <v>141</v>
      </c>
      <c r="DZ95" s="60">
        <v>30</v>
      </c>
      <c r="EA95" s="60">
        <v>42</v>
      </c>
      <c r="EB95" s="60">
        <v>91</v>
      </c>
      <c r="EC95" s="60">
        <v>85</v>
      </c>
      <c r="ED95" s="57">
        <v>75</v>
      </c>
      <c r="EE95" s="60">
        <v>70</v>
      </c>
      <c r="EF95" s="60">
        <v>13258</v>
      </c>
      <c r="EG95" s="60">
        <v>13377</v>
      </c>
      <c r="EH95" s="60">
        <v>13229</v>
      </c>
      <c r="EI95" s="60">
        <v>12956</v>
      </c>
      <c r="EJ95" s="116">
        <v>2504</v>
      </c>
      <c r="EK95" s="116">
        <v>8</v>
      </c>
      <c r="EL95" s="116">
        <v>54</v>
      </c>
      <c r="EM95" s="116">
        <v>4</v>
      </c>
      <c r="EN95" s="116">
        <v>3</v>
      </c>
      <c r="EO95" s="108">
        <v>1091.6147879304851</v>
      </c>
      <c r="EP95" s="108">
        <v>1097.4307142775103</v>
      </c>
      <c r="EQ95" s="108">
        <v>1067.1569129648797</v>
      </c>
      <c r="ER95" s="108">
        <v>1040.5163711067976</v>
      </c>
      <c r="ES95" s="108">
        <v>896.18569135139319</v>
      </c>
      <c r="ET95" s="108">
        <v>861.20809414585733</v>
      </c>
      <c r="EU95" s="108">
        <v>795.42492929823959</v>
      </c>
      <c r="EV95" s="45">
        <v>758.52071489965408</v>
      </c>
      <c r="EW95" s="45">
        <v>1126.5617339156106</v>
      </c>
      <c r="EX95" s="45">
        <v>1056.0646927802306</v>
      </c>
      <c r="EY95" s="45">
        <v>962.91910663696081</v>
      </c>
      <c r="EZ95" s="108">
        <v>915.44262405874645</v>
      </c>
      <c r="FA95" s="108">
        <v>731.55308070522301</v>
      </c>
      <c r="FB95" s="108">
        <v>717.33888890266087</v>
      </c>
      <c r="FC95" s="108">
        <v>664.3798988674431</v>
      </c>
      <c r="FD95" s="108">
        <v>635.91176060923817</v>
      </c>
      <c r="FE95" s="57">
        <v>3013</v>
      </c>
      <c r="FF95" s="62">
        <v>3057</v>
      </c>
      <c r="FG95" s="62">
        <v>3060</v>
      </c>
      <c r="FH95" s="62">
        <v>3099</v>
      </c>
      <c r="FI95" s="108">
        <v>203.31903385577655</v>
      </c>
      <c r="FJ95" s="108">
        <v>199.84950855803788</v>
      </c>
      <c r="FK95" s="108">
        <v>192.53087582916632</v>
      </c>
      <c r="FL95" s="108">
        <v>188.32372880924586</v>
      </c>
      <c r="FM95" s="62">
        <v>4129</v>
      </c>
      <c r="FN95" s="62">
        <v>3531</v>
      </c>
      <c r="FO95" s="57">
        <v>3201</v>
      </c>
      <c r="FP95" s="62">
        <v>2750</v>
      </c>
      <c r="FQ95" s="108">
        <v>273.7812207799293</v>
      </c>
      <c r="FR95" s="108">
        <v>222.15726886120331</v>
      </c>
      <c r="FS95" s="108">
        <v>184.89041152735845</v>
      </c>
      <c r="FT95" s="108">
        <v>154.2191826659012</v>
      </c>
      <c r="FU95" s="48">
        <v>1043</v>
      </c>
      <c r="FV95" s="48">
        <v>1000</v>
      </c>
      <c r="FW95" s="48">
        <v>816</v>
      </c>
      <c r="FX95" s="48">
        <v>639</v>
      </c>
      <c r="FY95" s="108">
        <v>68.414139835585146</v>
      </c>
      <c r="FZ95" s="45">
        <v>61.61612721919699</v>
      </c>
      <c r="GA95" s="45">
        <v>45.958623935279945</v>
      </c>
      <c r="GB95" s="45">
        <v>35.020518180804892</v>
      </c>
      <c r="GC95" s="75">
        <v>476</v>
      </c>
      <c r="GD95" s="64">
        <v>560</v>
      </c>
      <c r="GE95" s="75">
        <v>600</v>
      </c>
      <c r="GF95" s="75">
        <v>639</v>
      </c>
      <c r="GG95" s="81">
        <v>36.301747093251194</v>
      </c>
      <c r="GH95" s="81">
        <v>40.582422265914154</v>
      </c>
      <c r="GI95" s="112">
        <v>41.749796951393968</v>
      </c>
      <c r="GJ95" s="81">
        <v>42.79503573812449</v>
      </c>
      <c r="GK95" s="75"/>
      <c r="GL95" s="75"/>
      <c r="GM95" s="75"/>
      <c r="GN95" s="64"/>
      <c r="GO95" s="75"/>
      <c r="GP95" s="75"/>
      <c r="GQ95" s="75"/>
      <c r="GR95" s="75"/>
      <c r="GS95" s="64"/>
      <c r="GT95" s="75"/>
      <c r="GU95" s="75"/>
      <c r="GV95" s="75"/>
      <c r="GW95" s="75"/>
      <c r="GX95" s="64"/>
      <c r="GY95" s="64"/>
      <c r="GZ95" s="64"/>
      <c r="HA95" s="64"/>
      <c r="HB95" s="64"/>
      <c r="HC95" s="64"/>
      <c r="HD95" s="65"/>
      <c r="HE95" s="65"/>
      <c r="HF95" s="65"/>
      <c r="HG95" s="65"/>
      <c r="HH95" s="65"/>
      <c r="HI95" s="66"/>
      <c r="HJ95" s="66"/>
      <c r="HK95" s="63"/>
      <c r="HL95" s="64"/>
      <c r="HM95" s="64"/>
      <c r="HN95" s="64"/>
      <c r="HO95" s="64"/>
      <c r="HP95" s="64"/>
      <c r="HQ95" s="64"/>
      <c r="HR95" s="64"/>
      <c r="HS95" s="64"/>
      <c r="HT95" s="64"/>
      <c r="HU95" s="39"/>
    </row>
    <row r="96" spans="1:229" x14ac:dyDescent="0.2">
      <c r="A96" s="92" t="s">
        <v>464</v>
      </c>
      <c r="B96" s="90" t="s">
        <v>505</v>
      </c>
      <c r="C96" s="91">
        <f t="shared" ref="C96:G96" si="14">C20+C35</f>
        <v>22232</v>
      </c>
      <c r="D96" s="91">
        <f t="shared" si="14"/>
        <v>22017</v>
      </c>
      <c r="E96" s="91">
        <f t="shared" si="14"/>
        <v>21902</v>
      </c>
      <c r="F96" s="91">
        <f t="shared" si="14"/>
        <v>21953</v>
      </c>
      <c r="G96" s="91">
        <f t="shared" si="14"/>
        <v>21888</v>
      </c>
      <c r="H96" s="91">
        <f t="shared" ref="H96:L96" si="15">H20+H35</f>
        <v>20910</v>
      </c>
      <c r="I96" s="91">
        <f t="shared" si="15"/>
        <v>151</v>
      </c>
      <c r="J96" s="91">
        <f t="shared" si="15"/>
        <v>71</v>
      </c>
      <c r="K96" s="91">
        <f t="shared" si="15"/>
        <v>498</v>
      </c>
      <c r="L96" s="91">
        <f t="shared" si="15"/>
        <v>1079</v>
      </c>
      <c r="M96" s="91">
        <f t="shared" ref="M96:P96" si="16">M20+M35</f>
        <v>9496</v>
      </c>
      <c r="N96" s="91">
        <f t="shared" si="16"/>
        <v>9380</v>
      </c>
      <c r="O96" s="91">
        <f t="shared" si="16"/>
        <v>9344</v>
      </c>
      <c r="P96" s="91">
        <f t="shared" si="16"/>
        <v>9286</v>
      </c>
      <c r="Q96" s="46">
        <v>9282</v>
      </c>
      <c r="R96" s="105">
        <v>32.782369146005507</v>
      </c>
      <c r="S96" s="105">
        <v>32.821973847614871</v>
      </c>
      <c r="T96" s="105">
        <v>33.24617108703773</v>
      </c>
      <c r="U96" s="105">
        <v>34.132730015082956</v>
      </c>
      <c r="V96" s="105">
        <v>34.07821229050279</v>
      </c>
      <c r="W96" s="105">
        <v>28.389154704944179</v>
      </c>
      <c r="X96" s="105">
        <v>28.015194681861349</v>
      </c>
      <c r="Y96" s="105">
        <v>30.384759058647742</v>
      </c>
      <c r="Z96" s="105">
        <v>31.425339366515836</v>
      </c>
      <c r="AA96" s="105">
        <v>31.164125018873623</v>
      </c>
      <c r="AB96" s="105">
        <v>61.17152385094969</v>
      </c>
      <c r="AC96" s="105">
        <v>60.837168529476223</v>
      </c>
      <c r="AD96" s="105">
        <v>63.630930145685468</v>
      </c>
      <c r="AE96" s="105">
        <v>65.558069381598798</v>
      </c>
      <c r="AF96" s="105">
        <v>65.24233730937641</v>
      </c>
      <c r="AG96" s="108">
        <v>3.9971894761495825</v>
      </c>
      <c r="AH96" s="108">
        <v>4.6752044437586795</v>
      </c>
      <c r="AI96" s="108">
        <v>6.0817325521026477</v>
      </c>
      <c r="AJ96" s="108">
        <v>5.3955288048151333</v>
      </c>
      <c r="AK96" s="45">
        <v>5.0614250614250613</v>
      </c>
      <c r="AL96" s="49">
        <v>419.08333333333337</v>
      </c>
      <c r="AM96" s="49">
        <v>438.75</v>
      </c>
      <c r="AN96" s="49">
        <v>530.33333333333326</v>
      </c>
      <c r="AO96" s="49">
        <v>438.75</v>
      </c>
      <c r="AP96" s="49">
        <v>771.5</v>
      </c>
      <c r="AQ96" s="49">
        <v>37337.123162934113</v>
      </c>
      <c r="AR96" s="49">
        <v>41724.169377876402</v>
      </c>
      <c r="AS96" s="49">
        <v>41492.241771116867</v>
      </c>
      <c r="AT96" s="49">
        <v>43389.730701200206</v>
      </c>
      <c r="AU96" s="49">
        <v>46121.482090643272</v>
      </c>
      <c r="AV96" s="55" t="s">
        <v>161</v>
      </c>
      <c r="AW96" s="55" t="s">
        <v>161</v>
      </c>
      <c r="AX96" s="55" t="s">
        <v>161</v>
      </c>
      <c r="AY96" s="55" t="s">
        <v>161</v>
      </c>
      <c r="AZ96" s="55" t="s">
        <v>161</v>
      </c>
      <c r="BA96" s="99">
        <v>10.21621870822</v>
      </c>
      <c r="BB96" s="99">
        <v>10.371956612820632</v>
      </c>
      <c r="BC96" s="48">
        <v>10.466913314288391</v>
      </c>
      <c r="BD96" s="48">
        <v>10.424853219915862</v>
      </c>
      <c r="BE96" s="48">
        <v>11.462633947209723</v>
      </c>
      <c r="BF96" s="48">
        <v>14.058629232039637</v>
      </c>
      <c r="BG96" s="99">
        <v>14.094672044151984</v>
      </c>
      <c r="BH96" s="48">
        <v>14.821573398215733</v>
      </c>
      <c r="BI96" s="48">
        <v>15.09173406983626</v>
      </c>
      <c r="BJ96" s="48">
        <v>16.93386773547094</v>
      </c>
      <c r="BK96" s="44">
        <v>3907</v>
      </c>
      <c r="BL96" s="44">
        <v>3856</v>
      </c>
      <c r="BM96" s="44">
        <v>3852</v>
      </c>
      <c r="BN96" s="44">
        <v>3848</v>
      </c>
      <c r="BO96" s="45">
        <v>38.597389301254161</v>
      </c>
      <c r="BP96" s="45">
        <v>41.519709543568467</v>
      </c>
      <c r="BQ96" s="45">
        <v>42.834890965732086</v>
      </c>
      <c r="BR96" s="108">
        <v>44.152806652806653</v>
      </c>
      <c r="BS96" s="110">
        <v>7.0898387509598155</v>
      </c>
      <c r="BT96" s="110">
        <v>7.8319502074688794</v>
      </c>
      <c r="BU96" s="105">
        <v>7.5545171339563861</v>
      </c>
      <c r="BV96" s="105">
        <v>7.3544698544698548</v>
      </c>
      <c r="BW96" s="45">
        <v>16.585615561812133</v>
      </c>
      <c r="BX96" s="45">
        <v>16.986514522821576</v>
      </c>
      <c r="BY96" s="45">
        <v>17.86085150571132</v>
      </c>
      <c r="BZ96" s="45">
        <v>17.905405405405407</v>
      </c>
      <c r="CA96" s="44">
        <v>83.540372670807457</v>
      </c>
      <c r="CB96" s="44">
        <v>84.98498498498499</v>
      </c>
      <c r="CC96" s="44">
        <v>87.654320987654316</v>
      </c>
      <c r="CD96" s="44">
        <v>90.510948905109487</v>
      </c>
      <c r="CE96" s="45">
        <v>0.93167701863354035</v>
      </c>
      <c r="CF96" s="45">
        <v>3.3033033033033035</v>
      </c>
      <c r="CG96" s="45">
        <v>3.7037037037037037</v>
      </c>
      <c r="CH96" s="45">
        <v>3.2846715328467155</v>
      </c>
      <c r="CI96" s="48">
        <v>1320</v>
      </c>
      <c r="CJ96" s="44">
        <v>1266</v>
      </c>
      <c r="CK96" s="51">
        <v>1248</v>
      </c>
      <c r="CL96" s="57">
        <v>1230</v>
      </c>
      <c r="CM96" s="108">
        <v>10.932763504447648</v>
      </c>
      <c r="CN96" s="108">
        <v>10.775201715861506</v>
      </c>
      <c r="CO96" s="108">
        <v>10.80210848848381</v>
      </c>
      <c r="CP96" s="108">
        <v>11.18263146410648</v>
      </c>
      <c r="CQ96" s="60">
        <v>45</v>
      </c>
      <c r="CR96" s="60">
        <v>50</v>
      </c>
      <c r="CS96" s="60">
        <v>68</v>
      </c>
      <c r="CT96" s="60">
        <v>62</v>
      </c>
      <c r="CU96" s="108">
        <v>3.5128805620608898</v>
      </c>
      <c r="CV96" s="108">
        <v>4.0584415584415581</v>
      </c>
      <c r="CW96" s="108">
        <v>5.5921052631578947</v>
      </c>
      <c r="CX96" s="108">
        <v>5.1969823973176865</v>
      </c>
      <c r="CY96" s="61">
        <v>100</v>
      </c>
      <c r="CZ96" s="57">
        <v>95</v>
      </c>
      <c r="DA96" s="60">
        <v>119</v>
      </c>
      <c r="DB96" s="60">
        <v>115</v>
      </c>
      <c r="DC96" s="108">
        <v>8.2781456953642376</v>
      </c>
      <c r="DD96" s="108">
        <v>7.9431438127090299</v>
      </c>
      <c r="DE96" s="108">
        <v>10.303030303030303</v>
      </c>
      <c r="DF96" s="108">
        <v>10.407239819004525</v>
      </c>
      <c r="DG96" s="108">
        <v>80.592361652377235</v>
      </c>
      <c r="DH96" s="108">
        <v>86.257073565076794</v>
      </c>
      <c r="DI96" s="108">
        <v>89.024390243902445</v>
      </c>
      <c r="DJ96" s="108">
        <v>86.649659863945573</v>
      </c>
      <c r="DK96" s="108">
        <v>12.276612276612276</v>
      </c>
      <c r="DL96" s="108">
        <v>11.084529505582138</v>
      </c>
      <c r="DM96" s="108">
        <v>13.134568896051571</v>
      </c>
      <c r="DN96" s="108">
        <v>15.459723352318958</v>
      </c>
      <c r="DO96" s="108">
        <v>20.621683093252464</v>
      </c>
      <c r="DP96" s="108">
        <v>24.268774703557312</v>
      </c>
      <c r="DQ96" s="108">
        <v>25.801282051282051</v>
      </c>
      <c r="DR96" s="108">
        <v>36.260162601626014</v>
      </c>
      <c r="DS96" s="108">
        <v>33.131006575619622</v>
      </c>
      <c r="DT96" s="108">
        <v>27.001862197392924</v>
      </c>
      <c r="DU96" s="108">
        <v>21.182266009852217</v>
      </c>
      <c r="DV96" s="108">
        <v>27.434842249657063</v>
      </c>
      <c r="DW96" s="62">
        <v>219</v>
      </c>
      <c r="DX96" s="62">
        <v>1</v>
      </c>
      <c r="DY96" s="57">
        <v>3</v>
      </c>
      <c r="DZ96" s="60">
        <v>13</v>
      </c>
      <c r="EA96" s="60">
        <v>35</v>
      </c>
      <c r="EB96" s="60">
        <v>12</v>
      </c>
      <c r="EC96" s="60">
        <v>5</v>
      </c>
      <c r="ED96" s="57">
        <v>4</v>
      </c>
      <c r="EE96" s="60">
        <v>5</v>
      </c>
      <c r="EF96" s="60">
        <v>1450</v>
      </c>
      <c r="EG96" s="60">
        <v>1434</v>
      </c>
      <c r="EH96" s="60">
        <v>1372</v>
      </c>
      <c r="EI96" s="60">
        <v>1331</v>
      </c>
      <c r="EJ96" s="116">
        <v>253</v>
      </c>
      <c r="EK96" s="116">
        <v>0</v>
      </c>
      <c r="EL96" s="116">
        <v>1</v>
      </c>
      <c r="EM96" s="116">
        <v>1</v>
      </c>
      <c r="EN96" s="116">
        <v>0</v>
      </c>
      <c r="EO96" s="108">
        <v>1200.9475061703854</v>
      </c>
      <c r="EP96" s="108">
        <v>1220.508630374834</v>
      </c>
      <c r="EQ96" s="108">
        <v>1187.5394908813932</v>
      </c>
      <c r="ER96" s="108">
        <v>1210.0880064004655</v>
      </c>
      <c r="ES96" s="108">
        <v>710.16230837688659</v>
      </c>
      <c r="ET96" s="108">
        <v>698.27700468381295</v>
      </c>
      <c r="EU96" s="108">
        <v>638.67493083505394</v>
      </c>
      <c r="EV96" s="45">
        <v>650.51441176670346</v>
      </c>
      <c r="EW96" s="45">
        <v>893.98485604996881</v>
      </c>
      <c r="EX96" s="45">
        <v>855.37195359436998</v>
      </c>
      <c r="EY96" s="45">
        <v>752.5762436886871</v>
      </c>
      <c r="EZ96" s="108">
        <v>792.57319639938851</v>
      </c>
      <c r="FA96" s="108">
        <v>570.56997619594858</v>
      </c>
      <c r="FB96" s="108">
        <v>577.62353764450245</v>
      </c>
      <c r="FC96" s="108">
        <v>543.20290387139323</v>
      </c>
      <c r="FD96" s="108">
        <v>532.57147318750231</v>
      </c>
      <c r="FE96" s="57">
        <v>313</v>
      </c>
      <c r="FF96" s="62">
        <v>303</v>
      </c>
      <c r="FG96" s="62">
        <v>297</v>
      </c>
      <c r="FH96" s="62">
        <v>281</v>
      </c>
      <c r="FI96" s="108">
        <v>169.37041424853882</v>
      </c>
      <c r="FJ96" s="108">
        <v>163.59681178448278</v>
      </c>
      <c r="FK96" s="108">
        <v>165.3469269746349</v>
      </c>
      <c r="FL96" s="108">
        <v>157.5787981174453</v>
      </c>
      <c r="FM96" s="62">
        <v>501</v>
      </c>
      <c r="FN96" s="62">
        <v>430</v>
      </c>
      <c r="FO96" s="57">
        <v>391</v>
      </c>
      <c r="FP96" s="62">
        <v>357</v>
      </c>
      <c r="FQ96" s="108">
        <v>228.12381251151049</v>
      </c>
      <c r="FR96" s="108">
        <v>194.31785963826687</v>
      </c>
      <c r="FS96" s="108">
        <v>164.08254263415418</v>
      </c>
      <c r="FT96" s="108">
        <v>155.26153178076058</v>
      </c>
      <c r="FU96" s="48">
        <v>152</v>
      </c>
      <c r="FV96" s="48">
        <v>121</v>
      </c>
      <c r="FW96" s="48">
        <v>92</v>
      </c>
      <c r="FX96" s="48">
        <v>73</v>
      </c>
      <c r="FY96" s="108">
        <v>65.500676015258392</v>
      </c>
      <c r="FZ96" s="45">
        <v>52.620312397025728</v>
      </c>
      <c r="GA96" s="45">
        <v>40.432068108215844</v>
      </c>
      <c r="GB96" s="45">
        <v>30.882026855108379</v>
      </c>
      <c r="GC96" s="75">
        <v>45</v>
      </c>
      <c r="GD96" s="64">
        <v>68</v>
      </c>
      <c r="GE96" s="75">
        <v>58</v>
      </c>
      <c r="GF96" s="75">
        <v>44</v>
      </c>
      <c r="GG96" s="81">
        <v>33.145235150352903</v>
      </c>
      <c r="GH96" s="81">
        <v>46.025817095751499</v>
      </c>
      <c r="GI96" s="112">
        <v>35.498196151896259</v>
      </c>
      <c r="GJ96" s="81">
        <v>30.222868980717458</v>
      </c>
      <c r="GK96" s="75"/>
      <c r="GL96" s="75"/>
      <c r="GM96" s="75"/>
      <c r="GN96" s="64"/>
      <c r="GO96" s="75"/>
      <c r="GP96" s="75"/>
      <c r="GQ96" s="75"/>
      <c r="GR96" s="75"/>
      <c r="GS96" s="64"/>
      <c r="GT96" s="75"/>
      <c r="GU96" s="75"/>
      <c r="GV96" s="75"/>
      <c r="GW96" s="75"/>
      <c r="GX96" s="64"/>
      <c r="GY96" s="64"/>
      <c r="GZ96" s="64"/>
      <c r="HA96" s="64"/>
      <c r="HB96" s="64"/>
      <c r="HC96" s="64"/>
      <c r="HD96" s="65"/>
      <c r="HE96" s="65"/>
      <c r="HF96" s="65"/>
      <c r="HG96" s="65"/>
      <c r="HH96" s="65"/>
      <c r="HI96" s="66"/>
      <c r="HJ96" s="66"/>
      <c r="HK96" s="63"/>
      <c r="HL96" s="64"/>
      <c r="HM96" s="64"/>
      <c r="HN96" s="64"/>
      <c r="HO96" s="64"/>
      <c r="HP96" s="64"/>
      <c r="HQ96" s="64"/>
      <c r="HR96" s="64"/>
      <c r="HS96" s="64"/>
      <c r="HT96" s="64"/>
      <c r="HU96" s="39"/>
    </row>
    <row r="97" spans="1:229" x14ac:dyDescent="0.2">
      <c r="A97" s="92" t="s">
        <v>465</v>
      </c>
      <c r="B97" s="90" t="s">
        <v>506</v>
      </c>
      <c r="C97" s="91">
        <f t="shared" ref="C97:G97" si="17">C17+C87</f>
        <v>61253</v>
      </c>
      <c r="D97" s="91">
        <f t="shared" si="17"/>
        <v>62053</v>
      </c>
      <c r="E97" s="91">
        <f t="shared" si="17"/>
        <v>63027</v>
      </c>
      <c r="F97" s="91">
        <f t="shared" si="17"/>
        <v>65575</v>
      </c>
      <c r="G97" s="91">
        <f t="shared" si="17"/>
        <v>66395</v>
      </c>
      <c r="H97" s="91">
        <f t="shared" ref="H97:L97" si="18">H17+H87</f>
        <v>62308</v>
      </c>
      <c r="I97" s="91">
        <f t="shared" si="18"/>
        <v>933</v>
      </c>
      <c r="J97" s="91">
        <f t="shared" si="18"/>
        <v>929</v>
      </c>
      <c r="K97" s="91">
        <f t="shared" si="18"/>
        <v>964</v>
      </c>
      <c r="L97" s="91">
        <f t="shared" si="18"/>
        <v>2310</v>
      </c>
      <c r="M97" s="91">
        <f t="shared" ref="M97:P97" si="19">M17+M87</f>
        <v>23950</v>
      </c>
      <c r="N97" s="91">
        <f t="shared" si="19"/>
        <v>24295</v>
      </c>
      <c r="O97" s="91">
        <f t="shared" si="19"/>
        <v>24711</v>
      </c>
      <c r="P97" s="91">
        <f t="shared" si="19"/>
        <v>24969</v>
      </c>
      <c r="Q97" s="46">
        <v>25224</v>
      </c>
      <c r="R97" s="105">
        <v>18.672386008152433</v>
      </c>
      <c r="S97" s="105">
        <v>18.769173126009882</v>
      </c>
      <c r="T97" s="105">
        <v>18.988402962134973</v>
      </c>
      <c r="U97" s="105">
        <v>18.514278017241381</v>
      </c>
      <c r="V97" s="105">
        <v>18.381183745583037</v>
      </c>
      <c r="W97" s="105">
        <v>26.490662622049484</v>
      </c>
      <c r="X97" s="105">
        <v>26.543802543146853</v>
      </c>
      <c r="Y97" s="105">
        <v>27.783987704345396</v>
      </c>
      <c r="Z97" s="105">
        <v>28.699712643678161</v>
      </c>
      <c r="AA97" s="105">
        <v>28.250883392226147</v>
      </c>
      <c r="AB97" s="105">
        <v>45.163048630201914</v>
      </c>
      <c r="AC97" s="105">
        <v>45.312975669156735</v>
      </c>
      <c r="AD97" s="105">
        <v>46.772390666480369</v>
      </c>
      <c r="AE97" s="105">
        <v>47.213990660919542</v>
      </c>
      <c r="AF97" s="105">
        <v>46.632067137809187</v>
      </c>
      <c r="AG97" s="108">
        <v>3.531203309964372</v>
      </c>
      <c r="AH97" s="108">
        <v>3.7265176431239198</v>
      </c>
      <c r="AI97" s="108">
        <v>5.0526431536410366</v>
      </c>
      <c r="AJ97" s="108">
        <v>4.7640861200183231</v>
      </c>
      <c r="AK97" s="45">
        <v>4.9027500064919884</v>
      </c>
      <c r="AL97" s="49">
        <v>1642.4166666666667</v>
      </c>
      <c r="AM97" s="49">
        <v>1758.5</v>
      </c>
      <c r="AN97" s="49">
        <v>2207.9166666666665</v>
      </c>
      <c r="AO97" s="49">
        <v>1758.5</v>
      </c>
      <c r="AP97" s="49">
        <v>3009.5</v>
      </c>
      <c r="AQ97" s="49">
        <v>34988.930935952201</v>
      </c>
      <c r="AR97" s="49">
        <v>36674.433471010489</v>
      </c>
      <c r="AS97" s="49">
        <v>34843.376540081052</v>
      </c>
      <c r="AT97" s="49">
        <v>35858.897667720536</v>
      </c>
      <c r="AU97" s="49">
        <v>36142.104074101968</v>
      </c>
      <c r="AV97" s="55" t="s">
        <v>161</v>
      </c>
      <c r="AW97" s="55" t="s">
        <v>161</v>
      </c>
      <c r="AX97" s="55" t="s">
        <v>161</v>
      </c>
      <c r="AY97" s="55" t="s">
        <v>161</v>
      </c>
      <c r="AZ97" s="55" t="s">
        <v>161</v>
      </c>
      <c r="BA97" s="99">
        <v>12.596248075038499</v>
      </c>
      <c r="BB97" s="99">
        <v>12.440776665575521</v>
      </c>
      <c r="BC97" s="48">
        <v>12.564637268365461</v>
      </c>
      <c r="BD97" s="48">
        <v>12.46404447173653</v>
      </c>
      <c r="BE97" s="48">
        <v>14.253046342789522</v>
      </c>
      <c r="BF97" s="48">
        <v>13.522895125553914</v>
      </c>
      <c r="BG97" s="99">
        <v>12.992818408324784</v>
      </c>
      <c r="BH97" s="48">
        <v>14.033845500247823</v>
      </c>
      <c r="BI97" s="48">
        <v>14.53584407003634</v>
      </c>
      <c r="BJ97" s="48">
        <v>16.245343267695581</v>
      </c>
      <c r="BK97" s="44">
        <v>9970</v>
      </c>
      <c r="BL97" s="44">
        <v>10032</v>
      </c>
      <c r="BM97" s="44">
        <v>10061</v>
      </c>
      <c r="BN97" s="44">
        <v>10199</v>
      </c>
      <c r="BO97" s="45">
        <v>29.207622868605817</v>
      </c>
      <c r="BP97" s="45">
        <v>30.921052631578949</v>
      </c>
      <c r="BQ97" s="45">
        <v>33.157737799423515</v>
      </c>
      <c r="BR97" s="108">
        <v>33.179723502304149</v>
      </c>
      <c r="BS97" s="110">
        <v>4.7743229689067199</v>
      </c>
      <c r="BT97" s="110">
        <v>4.8644338118022326</v>
      </c>
      <c r="BU97" s="105">
        <v>4.7808368949408608</v>
      </c>
      <c r="BV97" s="105">
        <v>4.6279046965388764</v>
      </c>
      <c r="BW97" s="45">
        <v>15.035105315947844</v>
      </c>
      <c r="BX97" s="45">
        <v>15.11164274322169</v>
      </c>
      <c r="BY97" s="45">
        <v>15.783719312195608</v>
      </c>
      <c r="BZ97" s="45">
        <v>15.628983233650358</v>
      </c>
      <c r="CA97" s="44">
        <v>74.334140435835351</v>
      </c>
      <c r="CB97" s="44">
        <v>78.051643192488257</v>
      </c>
      <c r="CC97" s="44">
        <v>76.077097505668931</v>
      </c>
      <c r="CD97" s="44">
        <v>76.383763837638369</v>
      </c>
      <c r="CE97" s="45">
        <v>6.5375302663438255</v>
      </c>
      <c r="CF97" s="45">
        <v>4.929577464788732</v>
      </c>
      <c r="CG97" s="45">
        <v>5.7823129251700678</v>
      </c>
      <c r="CH97" s="45">
        <v>6.6420664206642064</v>
      </c>
      <c r="CI97" s="48">
        <v>3774</v>
      </c>
      <c r="CJ97" s="44">
        <v>3296</v>
      </c>
      <c r="CK97" s="51">
        <v>3776</v>
      </c>
      <c r="CL97" s="57">
        <v>4265</v>
      </c>
      <c r="CM97" s="108">
        <v>12.795345667585464</v>
      </c>
      <c r="CN97" s="108">
        <v>11.205586474421956</v>
      </c>
      <c r="CO97" s="108">
        <v>12.616820868542483</v>
      </c>
      <c r="CP97" s="108">
        <v>13.399182539906944</v>
      </c>
      <c r="CQ97" s="60">
        <v>157</v>
      </c>
      <c r="CR97" s="60">
        <v>137</v>
      </c>
      <c r="CS97" s="60">
        <v>189</v>
      </c>
      <c r="CT97" s="60">
        <v>201</v>
      </c>
      <c r="CU97" s="108">
        <v>4.2605156037991856</v>
      </c>
      <c r="CV97" s="108">
        <v>4.354736172917991</v>
      </c>
      <c r="CW97" s="108">
        <v>5.1611141452758051</v>
      </c>
      <c r="CX97" s="108">
        <v>4.9024390243902438</v>
      </c>
      <c r="CY97" s="61">
        <v>298</v>
      </c>
      <c r="CZ97" s="57">
        <v>257</v>
      </c>
      <c r="DA97" s="60">
        <v>325</v>
      </c>
      <c r="DB97" s="60">
        <v>234</v>
      </c>
      <c r="DC97" s="108">
        <v>8.2939048149178962</v>
      </c>
      <c r="DD97" s="108">
        <v>8.4846483988114887</v>
      </c>
      <c r="DE97" s="108">
        <v>9.5926800472255014</v>
      </c>
      <c r="DF97" s="108">
        <v>8.0912863070539416</v>
      </c>
      <c r="DG97" s="108">
        <v>74.93326214628938</v>
      </c>
      <c r="DH97" s="108">
        <v>84.531059683313032</v>
      </c>
      <c r="DI97" s="108">
        <v>86.706295595784923</v>
      </c>
      <c r="DJ97" s="108">
        <v>83.75847594446239</v>
      </c>
      <c r="DK97" s="108">
        <v>18.206086492258407</v>
      </c>
      <c r="DL97" s="108">
        <v>17.259191735034943</v>
      </c>
      <c r="DM97" s="108">
        <v>13.830634457127688</v>
      </c>
      <c r="DN97" s="108">
        <v>13.765182186234817</v>
      </c>
      <c r="DO97" s="108">
        <v>26.451099920487675</v>
      </c>
      <c r="DP97" s="108">
        <v>27.54854368932039</v>
      </c>
      <c r="DQ97" s="108">
        <v>25.496952027564273</v>
      </c>
      <c r="DR97" s="108">
        <v>28.05536007506451</v>
      </c>
      <c r="DS97" s="108">
        <v>24.888197550068053</v>
      </c>
      <c r="DT97" s="108">
        <v>18.893470367407225</v>
      </c>
      <c r="DU97" s="108">
        <v>14.882620337505449</v>
      </c>
      <c r="DV97" s="108">
        <v>14.480839762235993</v>
      </c>
      <c r="DW97" s="62">
        <v>729</v>
      </c>
      <c r="DX97" s="62">
        <v>16</v>
      </c>
      <c r="DY97" s="57">
        <v>36</v>
      </c>
      <c r="DZ97" s="60">
        <v>9</v>
      </c>
      <c r="EA97" s="60">
        <v>42</v>
      </c>
      <c r="EB97" s="60">
        <v>25</v>
      </c>
      <c r="EC97" s="60">
        <v>24</v>
      </c>
      <c r="ED97" s="57">
        <v>23</v>
      </c>
      <c r="EE97" s="60">
        <v>32</v>
      </c>
      <c r="EF97" s="60">
        <v>2285</v>
      </c>
      <c r="EG97" s="60">
        <v>2296</v>
      </c>
      <c r="EH97" s="60">
        <v>2315</v>
      </c>
      <c r="EI97" s="60">
        <v>2415</v>
      </c>
      <c r="EJ97" s="116">
        <v>516</v>
      </c>
      <c r="EK97" s="116">
        <v>1</v>
      </c>
      <c r="EL97" s="116">
        <v>9</v>
      </c>
      <c r="EM97" s="116">
        <v>1</v>
      </c>
      <c r="EN97" s="116">
        <v>5</v>
      </c>
      <c r="EO97" s="108">
        <v>774.70495099185962</v>
      </c>
      <c r="EP97" s="108">
        <v>780.58332965026739</v>
      </c>
      <c r="EQ97" s="108">
        <v>773.51536839713583</v>
      </c>
      <c r="ER97" s="108">
        <v>758.71103948124903</v>
      </c>
      <c r="ES97" s="108">
        <v>754.0058010416011</v>
      </c>
      <c r="ET97" s="108">
        <v>724.18714298517284</v>
      </c>
      <c r="EU97" s="108">
        <v>675.63533655294088</v>
      </c>
      <c r="EV97" s="45">
        <v>666.74621595127019</v>
      </c>
      <c r="EW97" s="45">
        <v>955.94425851564029</v>
      </c>
      <c r="EX97" s="45">
        <v>910.08617083447234</v>
      </c>
      <c r="EY97" s="45">
        <v>807.48826892693637</v>
      </c>
      <c r="EZ97" s="108">
        <v>763.62438631211057</v>
      </c>
      <c r="FA97" s="108">
        <v>602.3776898768964</v>
      </c>
      <c r="FB97" s="108">
        <v>590.92298420461157</v>
      </c>
      <c r="FC97" s="108">
        <v>567.09129647648308</v>
      </c>
      <c r="FD97" s="108">
        <v>587.05344704548179</v>
      </c>
      <c r="FE97" s="57">
        <v>492</v>
      </c>
      <c r="FF97" s="62">
        <v>551</v>
      </c>
      <c r="FG97" s="62">
        <v>543</v>
      </c>
      <c r="FH97" s="62">
        <v>490</v>
      </c>
      <c r="FI97" s="108">
        <v>169.65349035762344</v>
      </c>
      <c r="FJ97" s="108">
        <v>183.02570220348059</v>
      </c>
      <c r="FK97" s="108">
        <v>171.25508771978303</v>
      </c>
      <c r="FL97" s="108">
        <v>145.92451760692245</v>
      </c>
      <c r="FM97" s="62">
        <v>742</v>
      </c>
      <c r="FN97" s="62">
        <v>629</v>
      </c>
      <c r="FO97" s="57">
        <v>594</v>
      </c>
      <c r="FP97" s="62">
        <v>543</v>
      </c>
      <c r="FQ97" s="108">
        <v>242.25669568735256</v>
      </c>
      <c r="FR97" s="108">
        <v>193.74964315006935</v>
      </c>
      <c r="FS97" s="108">
        <v>164.32812654255358</v>
      </c>
      <c r="FT97" s="108">
        <v>143.82637792018812</v>
      </c>
      <c r="FU97" s="48">
        <v>182</v>
      </c>
      <c r="FV97" s="48">
        <v>194</v>
      </c>
      <c r="FW97" s="48">
        <v>151</v>
      </c>
      <c r="FX97" s="48">
        <v>143</v>
      </c>
      <c r="FY97" s="108">
        <v>57.294147605574636</v>
      </c>
      <c r="FZ97" s="45">
        <v>56.986171619852016</v>
      </c>
      <c r="GA97" s="45">
        <v>40.742417747482378</v>
      </c>
      <c r="GB97" s="45">
        <v>36.582220240704672</v>
      </c>
      <c r="GC97" s="75">
        <v>95</v>
      </c>
      <c r="GD97" s="64">
        <v>99</v>
      </c>
      <c r="GE97" s="75">
        <v>111</v>
      </c>
      <c r="GF97" s="75">
        <v>134</v>
      </c>
      <c r="GG97" s="81">
        <v>30.224670078344584</v>
      </c>
      <c r="GH97" s="81">
        <v>31.558802693751712</v>
      </c>
      <c r="GI97" s="112">
        <v>34.455093188832571</v>
      </c>
      <c r="GJ97" s="81">
        <v>40.551160428878347</v>
      </c>
      <c r="GK97" s="75"/>
      <c r="GL97" s="75"/>
      <c r="GM97" s="75"/>
      <c r="GN97" s="64"/>
      <c r="GO97" s="75"/>
      <c r="GP97" s="75"/>
      <c r="GQ97" s="75"/>
      <c r="GR97" s="75"/>
      <c r="GS97" s="64"/>
      <c r="GT97" s="75"/>
      <c r="GU97" s="75"/>
      <c r="GV97" s="75"/>
      <c r="GW97" s="75"/>
      <c r="GX97" s="64"/>
      <c r="GY97" s="64"/>
      <c r="GZ97" s="64"/>
      <c r="HA97" s="64"/>
      <c r="HB97" s="64"/>
      <c r="HC97" s="64"/>
      <c r="HD97" s="65"/>
      <c r="HE97" s="65"/>
      <c r="HF97" s="65"/>
      <c r="HG97" s="65"/>
      <c r="HH97" s="65"/>
      <c r="HI97" s="66"/>
      <c r="HJ97" s="66"/>
      <c r="HK97" s="63"/>
      <c r="HL97" s="64"/>
      <c r="HM97" s="64"/>
      <c r="HN97" s="64"/>
      <c r="HO97" s="64"/>
      <c r="HP97" s="64"/>
      <c r="HQ97" s="64"/>
      <c r="HR97" s="64"/>
      <c r="HS97" s="64"/>
      <c r="HT97" s="64"/>
      <c r="HU97" s="39"/>
    </row>
    <row r="98" spans="1:229" ht="24" x14ac:dyDescent="0.2">
      <c r="A98" s="92" t="s">
        <v>466</v>
      </c>
      <c r="B98" s="90" t="s">
        <v>507</v>
      </c>
      <c r="C98" s="91">
        <f t="shared" ref="C98:G98" si="20">C24+C29+C64+C78+C81</f>
        <v>66497</v>
      </c>
      <c r="D98" s="91">
        <f t="shared" si="20"/>
        <v>66614</v>
      </c>
      <c r="E98" s="91">
        <f t="shared" si="20"/>
        <v>66296</v>
      </c>
      <c r="F98" s="91">
        <f t="shared" si="20"/>
        <v>66306</v>
      </c>
      <c r="G98" s="91">
        <f t="shared" si="20"/>
        <v>66263</v>
      </c>
      <c r="H98" s="91">
        <f t="shared" ref="H98:L98" si="21">H24+H29+H64+H78+H81</f>
        <v>64258</v>
      </c>
      <c r="I98" s="91">
        <f t="shared" si="21"/>
        <v>410</v>
      </c>
      <c r="J98" s="91">
        <f t="shared" si="21"/>
        <v>434</v>
      </c>
      <c r="K98" s="91">
        <f t="shared" si="21"/>
        <v>429</v>
      </c>
      <c r="L98" s="91">
        <f t="shared" si="21"/>
        <v>1027</v>
      </c>
      <c r="M98" s="91">
        <f t="shared" ref="M98:P98" si="22">M24+M29+M64+M78+M81</f>
        <v>27996</v>
      </c>
      <c r="N98" s="91">
        <f t="shared" si="22"/>
        <v>28254</v>
      </c>
      <c r="O98" s="91">
        <f t="shared" si="22"/>
        <v>28300</v>
      </c>
      <c r="P98" s="91">
        <f t="shared" si="22"/>
        <v>27876</v>
      </c>
      <c r="Q98" s="46">
        <v>28070</v>
      </c>
      <c r="R98" s="105">
        <v>30.987776676577468</v>
      </c>
      <c r="S98" s="105">
        <v>31.776342254087695</v>
      </c>
      <c r="T98" s="105">
        <v>32.080876158382473</v>
      </c>
      <c r="U98" s="105">
        <v>32.20524017467249</v>
      </c>
      <c r="V98" s="105">
        <v>32.365758001258897</v>
      </c>
      <c r="W98" s="105">
        <v>25.926188116475529</v>
      </c>
      <c r="X98" s="105">
        <v>25.848891412886587</v>
      </c>
      <c r="Y98" s="105">
        <v>27.495486821518835</v>
      </c>
      <c r="Z98" s="105">
        <v>28.653566229985444</v>
      </c>
      <c r="AA98" s="105">
        <v>28.054035733307511</v>
      </c>
      <c r="AB98" s="105">
        <v>56.913964793052997</v>
      </c>
      <c r="AC98" s="105">
        <v>57.625233666974282</v>
      </c>
      <c r="AD98" s="105">
        <v>59.576362979901312</v>
      </c>
      <c r="AE98" s="105">
        <v>60.858806404657933</v>
      </c>
      <c r="AF98" s="105">
        <v>60.419793734566404</v>
      </c>
      <c r="AG98" s="108">
        <v>4.5357902197023385</v>
      </c>
      <c r="AH98" s="108">
        <v>5.1271666936659646</v>
      </c>
      <c r="AI98" s="108">
        <v>6.9407240419042564</v>
      </c>
      <c r="AJ98" s="108">
        <v>6.4952816549693768</v>
      </c>
      <c r="AK98" s="45">
        <v>5.8662630125345228</v>
      </c>
      <c r="AL98" s="49">
        <v>1241.1666666666665</v>
      </c>
      <c r="AM98" s="49">
        <v>1315</v>
      </c>
      <c r="AN98" s="49">
        <v>1650.3333333333333</v>
      </c>
      <c r="AO98" s="49">
        <v>1315</v>
      </c>
      <c r="AP98" s="49">
        <v>2532.3333333333335</v>
      </c>
      <c r="AQ98" s="49">
        <v>37175.503453174635</v>
      </c>
      <c r="AR98" s="49">
        <v>40098.780938285265</v>
      </c>
      <c r="AS98" s="49">
        <v>37627.716468239974</v>
      </c>
      <c r="AT98" s="49">
        <v>39676.306693870349</v>
      </c>
      <c r="AU98" s="49">
        <v>40142.055143896294</v>
      </c>
      <c r="AV98" s="55" t="s">
        <v>161</v>
      </c>
      <c r="AW98" s="55" t="s">
        <v>161</v>
      </c>
      <c r="AX98" s="55" t="s">
        <v>161</v>
      </c>
      <c r="AY98" s="55" t="s">
        <v>161</v>
      </c>
      <c r="AZ98" s="55" t="s">
        <v>161</v>
      </c>
      <c r="BA98" s="99">
        <v>10.889278129989304</v>
      </c>
      <c r="BB98" s="99">
        <v>9.8031934645376904</v>
      </c>
      <c r="BC98" s="48">
        <v>11.08431860609832</v>
      </c>
      <c r="BD98" s="48">
        <v>10.327526132404181</v>
      </c>
      <c r="BE98" s="48">
        <v>11.117303732602604</v>
      </c>
      <c r="BF98" s="48">
        <v>13.194859533771668</v>
      </c>
      <c r="BG98" s="99">
        <v>11.552729199788024</v>
      </c>
      <c r="BH98" s="48">
        <v>12.922581589345821</v>
      </c>
      <c r="BI98" s="48">
        <v>13.570263176562388</v>
      </c>
      <c r="BJ98" s="48">
        <v>14.067808862864165</v>
      </c>
      <c r="BK98" s="44">
        <v>9703</v>
      </c>
      <c r="BL98" s="44">
        <v>9708</v>
      </c>
      <c r="BM98" s="44">
        <v>9576</v>
      </c>
      <c r="BN98" s="44">
        <v>9573</v>
      </c>
      <c r="BO98" s="45">
        <v>30.980109244563536</v>
      </c>
      <c r="BP98" s="45">
        <v>34.301606922126084</v>
      </c>
      <c r="BQ98" s="45">
        <v>35.662071846282373</v>
      </c>
      <c r="BR98" s="108">
        <v>35.485218844667294</v>
      </c>
      <c r="BS98" s="110">
        <v>0.3710192723899825</v>
      </c>
      <c r="BT98" s="110">
        <v>0.38112896580140093</v>
      </c>
      <c r="BU98" s="105">
        <v>0.45948203842940682</v>
      </c>
      <c r="BV98" s="105">
        <v>0.49096417006163168</v>
      </c>
      <c r="BW98" s="45">
        <v>18.00474080181387</v>
      </c>
      <c r="BX98" s="45">
        <v>17.562834775442933</v>
      </c>
      <c r="BY98" s="45">
        <v>17.7109440267335</v>
      </c>
      <c r="BZ98" s="45">
        <v>17.538911521988926</v>
      </c>
      <c r="CA98" s="44" t="s">
        <v>479</v>
      </c>
      <c r="CB98" s="44">
        <v>81.242672919109026</v>
      </c>
      <c r="CC98" s="44" t="s">
        <v>479</v>
      </c>
      <c r="CD98" s="44">
        <v>79.054916985951465</v>
      </c>
      <c r="CE98" s="45">
        <v>3.7735849056603774</v>
      </c>
      <c r="CF98" s="45">
        <v>3.3997655334114887</v>
      </c>
      <c r="CG98" s="45">
        <v>3.6900369003690039</v>
      </c>
      <c r="CH98" s="45">
        <v>3.8314176245210727</v>
      </c>
      <c r="CI98" s="48">
        <v>3270</v>
      </c>
      <c r="CJ98" s="44">
        <v>3342</v>
      </c>
      <c r="CK98" s="51">
        <v>3659</v>
      </c>
      <c r="CL98" s="57">
        <v>3789</v>
      </c>
      <c r="CM98" s="108">
        <v>10.602528394997682</v>
      </c>
      <c r="CN98" s="108">
        <v>10.568257281092876</v>
      </c>
      <c r="CO98" s="108">
        <v>11.137931979166984</v>
      </c>
      <c r="CP98" s="108">
        <v>11.413475672940212</v>
      </c>
      <c r="CQ98" s="60">
        <v>111</v>
      </c>
      <c r="CR98" s="60">
        <v>111</v>
      </c>
      <c r="CS98" s="60">
        <v>158</v>
      </c>
      <c r="CT98" s="60">
        <v>152</v>
      </c>
      <c r="CU98" s="108">
        <v>3.4850863422291996</v>
      </c>
      <c r="CV98" s="108">
        <v>3.4557907845579079</v>
      </c>
      <c r="CW98" s="108">
        <v>4.4657998869417748</v>
      </c>
      <c r="CX98" s="108">
        <v>4.1769716955207477</v>
      </c>
      <c r="CY98" s="61">
        <v>185</v>
      </c>
      <c r="CZ98" s="57">
        <v>191</v>
      </c>
      <c r="DA98" s="60">
        <v>281</v>
      </c>
      <c r="DB98" s="60">
        <v>288</v>
      </c>
      <c r="DC98" s="108">
        <v>5.9409120102761719</v>
      </c>
      <c r="DD98" s="108">
        <v>6.013853904282116</v>
      </c>
      <c r="DE98" s="108">
        <v>8.0608146873207112</v>
      </c>
      <c r="DF98" s="108">
        <v>8.0222841225626738</v>
      </c>
      <c r="DG98" s="108">
        <v>82.131758856432569</v>
      </c>
      <c r="DH98" s="108">
        <v>87.650602409638552</v>
      </c>
      <c r="DI98" s="108">
        <v>89.317995069843874</v>
      </c>
      <c r="DJ98" s="108">
        <v>90.775401069518722</v>
      </c>
      <c r="DK98" s="108">
        <v>14.966634890371783</v>
      </c>
      <c r="DL98" s="108">
        <v>15.373044524669073</v>
      </c>
      <c r="DM98" s="108">
        <v>13.886606409202958</v>
      </c>
      <c r="DN98" s="108">
        <v>13.602746962493397</v>
      </c>
      <c r="DO98" s="108">
        <v>19.057815845824411</v>
      </c>
      <c r="DP98" s="108">
        <v>20.616397366846201</v>
      </c>
      <c r="DQ98" s="108">
        <v>25.170811697185023</v>
      </c>
      <c r="DR98" s="108">
        <v>26.893639482713116</v>
      </c>
      <c r="DS98" s="108">
        <v>24.90111470693995</v>
      </c>
      <c r="DT98" s="108">
        <v>20.46875</v>
      </c>
      <c r="DU98" s="108">
        <v>16.969125618666038</v>
      </c>
      <c r="DV98" s="108">
        <v>15.475976246175994</v>
      </c>
      <c r="DW98" s="62">
        <v>699</v>
      </c>
      <c r="DX98" s="62">
        <v>3</v>
      </c>
      <c r="DY98" s="57">
        <v>13</v>
      </c>
      <c r="DZ98" s="60">
        <v>10</v>
      </c>
      <c r="EA98" s="60">
        <v>19</v>
      </c>
      <c r="EB98" s="60">
        <v>19</v>
      </c>
      <c r="EC98" s="60">
        <v>14</v>
      </c>
      <c r="ED98" s="57">
        <v>19</v>
      </c>
      <c r="EE98" s="60">
        <v>20</v>
      </c>
      <c r="EF98" s="60">
        <v>3558</v>
      </c>
      <c r="EG98" s="60">
        <v>3638</v>
      </c>
      <c r="EH98" s="60">
        <v>3484</v>
      </c>
      <c r="EI98" s="60">
        <v>3578</v>
      </c>
      <c r="EJ98" s="116">
        <v>697</v>
      </c>
      <c r="EK98" s="116">
        <v>1</v>
      </c>
      <c r="EL98" s="116">
        <v>4</v>
      </c>
      <c r="EM98" s="116">
        <v>3</v>
      </c>
      <c r="EN98" s="116">
        <v>3</v>
      </c>
      <c r="EO98" s="108">
        <v>1153.6329060979128</v>
      </c>
      <c r="EP98" s="108">
        <v>1150.428485595927</v>
      </c>
      <c r="EQ98" s="108">
        <v>1060.5235041108983</v>
      </c>
      <c r="ER98" s="108">
        <v>1077.7887558136733</v>
      </c>
      <c r="ES98" s="108">
        <v>758.79980804283991</v>
      </c>
      <c r="ET98" s="108">
        <v>726.30125069975702</v>
      </c>
      <c r="EU98" s="108">
        <v>644.95000117481413</v>
      </c>
      <c r="EV98" s="45">
        <v>633.45591986586464</v>
      </c>
      <c r="EW98" s="45">
        <v>961.48826991779379</v>
      </c>
      <c r="EX98" s="45">
        <v>868.55077101387553</v>
      </c>
      <c r="EY98" s="45">
        <v>774.8562522712233</v>
      </c>
      <c r="EZ98" s="108">
        <v>743.22770062967777</v>
      </c>
      <c r="FA98" s="108">
        <v>604.24382807840084</v>
      </c>
      <c r="FB98" s="108">
        <v>608.25424167524852</v>
      </c>
      <c r="FC98" s="108">
        <v>539.44743244645645</v>
      </c>
      <c r="FD98" s="108">
        <v>541.86131943504847</v>
      </c>
      <c r="FE98" s="57">
        <v>814</v>
      </c>
      <c r="FF98" s="62">
        <v>789</v>
      </c>
      <c r="FG98" s="62">
        <v>804</v>
      </c>
      <c r="FH98" s="62">
        <v>843</v>
      </c>
      <c r="FI98" s="108">
        <v>187.73119332657456</v>
      </c>
      <c r="FJ98" s="108">
        <v>171.69467187197051</v>
      </c>
      <c r="FK98" s="108">
        <v>165.48008766446634</v>
      </c>
      <c r="FL98" s="108">
        <v>162.66903719490739</v>
      </c>
      <c r="FM98" s="62">
        <v>1219</v>
      </c>
      <c r="FN98" s="62">
        <v>1114</v>
      </c>
      <c r="FO98" s="57">
        <v>956</v>
      </c>
      <c r="FP98" s="62">
        <v>822</v>
      </c>
      <c r="FQ98" s="108">
        <v>248.49472061746565</v>
      </c>
      <c r="FR98" s="108">
        <v>211.58033686968292</v>
      </c>
      <c r="FS98" s="108">
        <v>164.93846138311318</v>
      </c>
      <c r="FT98" s="108">
        <v>133.04764357304197</v>
      </c>
      <c r="FU98" s="48">
        <v>285</v>
      </c>
      <c r="FV98" s="48">
        <v>303</v>
      </c>
      <c r="FW98" s="48">
        <v>246</v>
      </c>
      <c r="FX98" s="48">
        <v>235</v>
      </c>
      <c r="FY98" s="108">
        <v>55.261213677878601</v>
      </c>
      <c r="FZ98" s="45">
        <v>55.082161544221506</v>
      </c>
      <c r="GA98" s="45">
        <v>41.831449449620536</v>
      </c>
      <c r="GB98" s="45">
        <v>36.945091638146025</v>
      </c>
      <c r="GC98" s="75">
        <v>128</v>
      </c>
      <c r="GD98" s="64">
        <v>145</v>
      </c>
      <c r="GE98" s="75">
        <v>143</v>
      </c>
      <c r="GF98" s="75">
        <v>159</v>
      </c>
      <c r="GG98" s="81">
        <v>35.013383201906151</v>
      </c>
      <c r="GH98" s="81">
        <v>37.61170436751695</v>
      </c>
      <c r="GI98" s="112">
        <v>33.978052894460888</v>
      </c>
      <c r="GJ98" s="81">
        <v>36.882592950942282</v>
      </c>
      <c r="GK98" s="75"/>
      <c r="GL98" s="75"/>
      <c r="GM98" s="75"/>
      <c r="GN98" s="64"/>
      <c r="GO98" s="75"/>
      <c r="GP98" s="75"/>
      <c r="GQ98" s="75"/>
      <c r="GR98" s="75"/>
      <c r="GS98" s="64"/>
      <c r="GT98" s="75"/>
      <c r="GU98" s="75"/>
      <c r="GV98" s="75"/>
      <c r="GW98" s="75"/>
      <c r="GX98" s="64"/>
      <c r="GY98" s="64"/>
      <c r="GZ98" s="64"/>
      <c r="HA98" s="64"/>
      <c r="HB98" s="64"/>
      <c r="HC98" s="64"/>
      <c r="HD98" s="65"/>
      <c r="HE98" s="65"/>
      <c r="HF98" s="65"/>
      <c r="HG98" s="65"/>
      <c r="HH98" s="65"/>
      <c r="HI98" s="66"/>
      <c r="HJ98" s="66"/>
      <c r="HK98" s="63"/>
      <c r="HL98" s="64"/>
      <c r="HM98" s="64"/>
      <c r="HN98" s="64"/>
      <c r="HO98" s="64"/>
      <c r="HP98" s="64"/>
      <c r="HQ98" s="64"/>
      <c r="HR98" s="64"/>
      <c r="HS98" s="64"/>
      <c r="HT98" s="64"/>
      <c r="HU98" s="39"/>
    </row>
    <row r="99" spans="1:229" x14ac:dyDescent="0.2">
      <c r="A99" s="92" t="s">
        <v>467</v>
      </c>
      <c r="B99" s="90" t="s">
        <v>508</v>
      </c>
      <c r="C99" s="91">
        <f t="shared" ref="C99:G99" si="23">C23+C77</f>
        <v>55930</v>
      </c>
      <c r="D99" s="91">
        <f t="shared" si="23"/>
        <v>56297</v>
      </c>
      <c r="E99" s="91">
        <f t="shared" si="23"/>
        <v>56547</v>
      </c>
      <c r="F99" s="91">
        <f t="shared" si="23"/>
        <v>56663</v>
      </c>
      <c r="G99" s="91">
        <f t="shared" si="23"/>
        <v>56777</v>
      </c>
      <c r="H99" s="91">
        <f t="shared" ref="H99:L99" si="24">H23+H77</f>
        <v>54362</v>
      </c>
      <c r="I99" s="91">
        <f t="shared" si="24"/>
        <v>1121</v>
      </c>
      <c r="J99" s="91">
        <f t="shared" si="24"/>
        <v>189</v>
      </c>
      <c r="K99" s="91">
        <f t="shared" si="24"/>
        <v>437</v>
      </c>
      <c r="L99" s="91">
        <f t="shared" si="24"/>
        <v>3337</v>
      </c>
      <c r="M99" s="91">
        <f t="shared" ref="M99:P99" si="25">M23+M77</f>
        <v>21752</v>
      </c>
      <c r="N99" s="91">
        <f t="shared" si="25"/>
        <v>21789</v>
      </c>
      <c r="O99" s="91">
        <f t="shared" si="25"/>
        <v>21822</v>
      </c>
      <c r="P99" s="91">
        <f t="shared" si="25"/>
        <v>21790</v>
      </c>
      <c r="Q99" s="46">
        <v>21871</v>
      </c>
      <c r="R99" s="105">
        <v>19.558574780378677</v>
      </c>
      <c r="S99" s="105">
        <v>20.054252000542519</v>
      </c>
      <c r="T99" s="105">
        <v>20.235216531105738</v>
      </c>
      <c r="U99" s="105">
        <v>21.400293458099167</v>
      </c>
      <c r="V99" s="105">
        <v>21.846952583469111</v>
      </c>
      <c r="W99" s="105">
        <v>33.030501445954059</v>
      </c>
      <c r="X99" s="105">
        <v>32.65699172656992</v>
      </c>
      <c r="Y99" s="105">
        <v>35.147834688942623</v>
      </c>
      <c r="Z99" s="105">
        <v>35.469671382298387</v>
      </c>
      <c r="AA99" s="105">
        <v>34.947943994918674</v>
      </c>
      <c r="AB99" s="105">
        <v>52.589076226332736</v>
      </c>
      <c r="AC99" s="105">
        <v>52.711243727112439</v>
      </c>
      <c r="AD99" s="105">
        <v>55.383051220048365</v>
      </c>
      <c r="AE99" s="105">
        <v>56.86996484039755</v>
      </c>
      <c r="AF99" s="105">
        <v>56.794896578387785</v>
      </c>
      <c r="AG99" s="108">
        <v>4.366201658775303</v>
      </c>
      <c r="AH99" s="108">
        <v>5.07148890905109</v>
      </c>
      <c r="AI99" s="108">
        <v>8.4945699662963428</v>
      </c>
      <c r="AJ99" s="108">
        <v>7.4176755075008467</v>
      </c>
      <c r="AK99" s="45">
        <v>6.3777621134573543</v>
      </c>
      <c r="AL99" s="49">
        <v>992.08333333333337</v>
      </c>
      <c r="AM99" s="49">
        <v>1054.6666666666667</v>
      </c>
      <c r="AN99" s="49">
        <v>1460.5</v>
      </c>
      <c r="AO99" s="49">
        <v>1054.6666666666667</v>
      </c>
      <c r="AP99" s="49">
        <v>2172.9166666666665</v>
      </c>
      <c r="AQ99" s="49">
        <v>38187.792149994966</v>
      </c>
      <c r="AR99" s="49">
        <v>39676.254655421078</v>
      </c>
      <c r="AS99" s="49">
        <v>38520.355421945977</v>
      </c>
      <c r="AT99" s="49">
        <v>38945.461350659687</v>
      </c>
      <c r="AU99" s="49">
        <v>39024.094263522202</v>
      </c>
      <c r="AV99" s="55" t="s">
        <v>161</v>
      </c>
      <c r="AW99" s="55" t="s">
        <v>161</v>
      </c>
      <c r="AX99" s="55" t="s">
        <v>161</v>
      </c>
      <c r="AY99" s="55" t="s">
        <v>161</v>
      </c>
      <c r="AZ99" s="55" t="s">
        <v>161</v>
      </c>
      <c r="BA99" s="99">
        <v>6.9055516285139467</v>
      </c>
      <c r="BB99" s="99">
        <v>7.3397136072533637</v>
      </c>
      <c r="BC99" s="48">
        <v>7.5100372813306571</v>
      </c>
      <c r="BD99" s="48">
        <v>9.1084337349397586</v>
      </c>
      <c r="BE99" s="48">
        <v>8.8375242813608264</v>
      </c>
      <c r="BF99" s="48">
        <v>8.6025208347682351</v>
      </c>
      <c r="BG99" s="99">
        <v>9.175142817333148</v>
      </c>
      <c r="BH99" s="48">
        <v>10.202060221870047</v>
      </c>
      <c r="BI99" s="48">
        <v>11.885864217776319</v>
      </c>
      <c r="BJ99" s="48">
        <v>12.287910922587487</v>
      </c>
      <c r="BK99" s="44">
        <v>10493</v>
      </c>
      <c r="BL99" s="44">
        <v>10465</v>
      </c>
      <c r="BM99" s="44">
        <v>10575</v>
      </c>
      <c r="BN99" s="44">
        <v>10565</v>
      </c>
      <c r="BO99" s="45">
        <v>26.97989135614219</v>
      </c>
      <c r="BP99" s="45">
        <v>30.492116579073102</v>
      </c>
      <c r="BQ99" s="45">
        <v>29.900709219858157</v>
      </c>
      <c r="BR99" s="108">
        <v>32.901088499763368</v>
      </c>
      <c r="BS99" s="110">
        <v>5.1939388163537599</v>
      </c>
      <c r="BT99" s="110">
        <v>5.2078356426182513</v>
      </c>
      <c r="BU99" s="105">
        <v>5.7399527186761228</v>
      </c>
      <c r="BV99" s="105">
        <v>5.3857075248461905</v>
      </c>
      <c r="BW99" s="45">
        <v>10.978747736586296</v>
      </c>
      <c r="BX99" s="45">
        <v>11.543239369326326</v>
      </c>
      <c r="BY99" s="45">
        <v>11.74468085106383</v>
      </c>
      <c r="BZ99" s="45">
        <v>12.08707998106957</v>
      </c>
      <c r="CA99" s="44">
        <v>84.49704142011835</v>
      </c>
      <c r="CB99" s="44">
        <v>85.269461077844312</v>
      </c>
      <c r="CC99" s="44">
        <v>87.410926365795731</v>
      </c>
      <c r="CD99" s="44">
        <v>87.826086956521735</v>
      </c>
      <c r="CE99" s="45">
        <v>4.1420118343195265</v>
      </c>
      <c r="CF99" s="45">
        <v>3.7125748502994012</v>
      </c>
      <c r="CG99" s="45">
        <v>2.6128266033254155</v>
      </c>
      <c r="CH99" s="45">
        <v>3.7267080745341614</v>
      </c>
      <c r="CI99" s="48">
        <v>3233</v>
      </c>
      <c r="CJ99" s="44">
        <v>3450</v>
      </c>
      <c r="CK99" s="51">
        <v>4023</v>
      </c>
      <c r="CL99" s="57">
        <v>3960</v>
      </c>
      <c r="CM99" s="108">
        <v>13.492139670563098</v>
      </c>
      <c r="CN99" s="108">
        <v>13.758778699017743</v>
      </c>
      <c r="CO99" s="108">
        <v>14.763952908017968</v>
      </c>
      <c r="CP99" s="108">
        <v>14.031904866519733</v>
      </c>
      <c r="CQ99" s="60">
        <v>144</v>
      </c>
      <c r="CR99" s="60">
        <v>159</v>
      </c>
      <c r="CS99" s="60">
        <v>158</v>
      </c>
      <c r="CT99" s="60">
        <v>164</v>
      </c>
      <c r="CU99" s="108">
        <v>4.5962336418767951</v>
      </c>
      <c r="CV99" s="108">
        <v>4.7949336550060311</v>
      </c>
      <c r="CW99" s="108">
        <v>4.0763673890608878</v>
      </c>
      <c r="CX99" s="108">
        <v>4.2887029288702925</v>
      </c>
      <c r="CY99" s="61">
        <v>219</v>
      </c>
      <c r="CZ99" s="57">
        <v>247</v>
      </c>
      <c r="DA99" s="60">
        <v>283</v>
      </c>
      <c r="DB99" s="60">
        <v>282</v>
      </c>
      <c r="DC99" s="108">
        <v>7.8410311493018261</v>
      </c>
      <c r="DD99" s="108">
        <v>8.0351333767078721</v>
      </c>
      <c r="DE99" s="108">
        <v>7.8349944629014399</v>
      </c>
      <c r="DF99" s="108">
        <v>7.6839237057220711</v>
      </c>
      <c r="DG99" s="108">
        <v>86.848072562358283</v>
      </c>
      <c r="DH99" s="108">
        <v>86.120350771091623</v>
      </c>
      <c r="DI99" s="108">
        <v>87.272267206477736</v>
      </c>
      <c r="DJ99" s="108">
        <v>88.579458354624421</v>
      </c>
      <c r="DK99" s="108">
        <v>15.456821026282853</v>
      </c>
      <c r="DL99" s="108">
        <v>15.807962529274004</v>
      </c>
      <c r="DM99" s="108">
        <v>13.291770573566085</v>
      </c>
      <c r="DN99" s="108">
        <v>13.028079939286618</v>
      </c>
      <c r="DO99" s="108">
        <v>19.152227722772277</v>
      </c>
      <c r="DP99" s="108">
        <v>23.520881670533644</v>
      </c>
      <c r="DQ99" s="108">
        <v>27.864777529207061</v>
      </c>
      <c r="DR99" s="108">
        <v>33.005050505050505</v>
      </c>
      <c r="DS99" s="108">
        <v>29.039643330521749</v>
      </c>
      <c r="DT99" s="108">
        <v>31.695558518822445</v>
      </c>
      <c r="DU99" s="108">
        <v>31.060754053526079</v>
      </c>
      <c r="DV99" s="108">
        <v>28.987012987012989</v>
      </c>
      <c r="DW99" s="62">
        <v>643</v>
      </c>
      <c r="DX99" s="62">
        <v>34</v>
      </c>
      <c r="DY99" s="57">
        <v>1</v>
      </c>
      <c r="DZ99" s="60">
        <v>20</v>
      </c>
      <c r="EA99" s="60">
        <v>66</v>
      </c>
      <c r="EB99" s="60">
        <v>23</v>
      </c>
      <c r="EC99" s="60">
        <v>15</v>
      </c>
      <c r="ED99" s="57">
        <v>25</v>
      </c>
      <c r="EE99" s="60">
        <v>13</v>
      </c>
      <c r="EF99" s="60">
        <v>1923</v>
      </c>
      <c r="EG99" s="60">
        <v>1979</v>
      </c>
      <c r="EH99" s="60">
        <v>1935</v>
      </c>
      <c r="EI99" s="60">
        <v>2031</v>
      </c>
      <c r="EJ99" s="116">
        <v>396</v>
      </c>
      <c r="EK99" s="116">
        <v>3</v>
      </c>
      <c r="EL99" s="116">
        <v>0</v>
      </c>
      <c r="EM99" s="116">
        <v>1</v>
      </c>
      <c r="EN99" s="116">
        <v>6</v>
      </c>
      <c r="EO99" s="108">
        <v>802.51730858313749</v>
      </c>
      <c r="EP99" s="108">
        <v>789.23545059003231</v>
      </c>
      <c r="EQ99" s="108">
        <v>710.12301459146829</v>
      </c>
      <c r="ER99" s="108">
        <v>719.66663595711054</v>
      </c>
      <c r="ES99" s="108">
        <v>733.84383994583914</v>
      </c>
      <c r="ET99" s="108">
        <v>717.40739623690024</v>
      </c>
      <c r="EU99" s="108">
        <v>646.82077131370045</v>
      </c>
      <c r="EV99" s="45">
        <v>618.17512736866684</v>
      </c>
      <c r="EW99" s="45">
        <v>927.43169724695463</v>
      </c>
      <c r="EX99" s="45">
        <v>875.60360556833859</v>
      </c>
      <c r="EY99" s="45">
        <v>762.78662456412997</v>
      </c>
      <c r="EZ99" s="108">
        <v>745.11906265587891</v>
      </c>
      <c r="FA99" s="108">
        <v>593.62366030262535</v>
      </c>
      <c r="FB99" s="108">
        <v>600.0907709109822</v>
      </c>
      <c r="FC99" s="108">
        <v>553.34770941581598</v>
      </c>
      <c r="FD99" s="108">
        <v>515.726401275645</v>
      </c>
      <c r="FE99" s="57">
        <v>464</v>
      </c>
      <c r="FF99" s="62">
        <v>429</v>
      </c>
      <c r="FG99" s="62">
        <v>461</v>
      </c>
      <c r="FH99" s="62">
        <v>504</v>
      </c>
      <c r="FI99" s="108">
        <v>184.61734897155867</v>
      </c>
      <c r="FJ99" s="108">
        <v>163.53757344882303</v>
      </c>
      <c r="FK99" s="108">
        <v>163.52136921287149</v>
      </c>
      <c r="FL99" s="108">
        <v>161.22391674096008</v>
      </c>
      <c r="FM99" s="62">
        <v>555</v>
      </c>
      <c r="FN99" s="62">
        <v>561</v>
      </c>
      <c r="FO99" s="57">
        <v>504</v>
      </c>
      <c r="FP99" s="62">
        <v>466</v>
      </c>
      <c r="FQ99" s="108">
        <v>209.79919005753146</v>
      </c>
      <c r="FR99" s="108">
        <v>200.08437678418719</v>
      </c>
      <c r="FS99" s="108">
        <v>164.3194260240507</v>
      </c>
      <c r="FT99" s="108">
        <v>136.95518558599292</v>
      </c>
      <c r="FU99" s="48">
        <v>148</v>
      </c>
      <c r="FV99" s="48">
        <v>134</v>
      </c>
      <c r="FW99" s="48">
        <v>133</v>
      </c>
      <c r="FX99" s="48">
        <v>117</v>
      </c>
      <c r="FY99" s="108">
        <v>53.679247632411673</v>
      </c>
      <c r="FZ99" s="45">
        <v>47.272911252110895</v>
      </c>
      <c r="GA99" s="45">
        <v>41.834401630000102</v>
      </c>
      <c r="GB99" s="45">
        <v>33.226275117232746</v>
      </c>
      <c r="GC99" s="75">
        <v>97</v>
      </c>
      <c r="GD99" s="64">
        <v>112</v>
      </c>
      <c r="GE99" s="75">
        <v>127</v>
      </c>
      <c r="GF99" s="75">
        <v>98</v>
      </c>
      <c r="GG99" s="81">
        <v>39.485481312504973</v>
      </c>
      <c r="GH99" s="81">
        <v>42.293101195295606</v>
      </c>
      <c r="GI99" s="112">
        <v>43.752917159343639</v>
      </c>
      <c r="GJ99" s="81">
        <v>31.554960080383914</v>
      </c>
      <c r="GK99" s="75"/>
      <c r="GL99" s="75"/>
      <c r="GM99" s="75"/>
      <c r="GN99" s="64"/>
      <c r="GO99" s="75"/>
      <c r="GP99" s="75"/>
      <c r="GQ99" s="75"/>
      <c r="GR99" s="75"/>
      <c r="GS99" s="64"/>
      <c r="GT99" s="75"/>
      <c r="GU99" s="75"/>
      <c r="GV99" s="75"/>
      <c r="GW99" s="75"/>
      <c r="GX99" s="64"/>
      <c r="GY99" s="64"/>
      <c r="GZ99" s="64"/>
      <c r="HA99" s="64"/>
      <c r="HB99" s="64"/>
      <c r="HC99" s="64"/>
      <c r="HD99" s="65"/>
      <c r="HE99" s="65"/>
      <c r="HF99" s="65"/>
      <c r="HG99" s="65"/>
      <c r="HH99" s="65"/>
      <c r="HI99" s="66"/>
      <c r="HJ99" s="66"/>
      <c r="HK99" s="63"/>
      <c r="HL99" s="64"/>
      <c r="HM99" s="64"/>
      <c r="HN99" s="64"/>
      <c r="HO99" s="64"/>
      <c r="HP99" s="64"/>
      <c r="HQ99" s="64"/>
      <c r="HR99" s="64"/>
      <c r="HS99" s="64"/>
      <c r="HT99" s="64"/>
      <c r="HU99" s="39"/>
    </row>
    <row r="100" spans="1:229" x14ac:dyDescent="0.2">
      <c r="A100" s="92" t="s">
        <v>468</v>
      </c>
      <c r="B100" s="90" t="s">
        <v>509</v>
      </c>
      <c r="C100" s="91">
        <f t="shared" ref="C100:G100" si="26">C26+C31</f>
        <v>40552</v>
      </c>
      <c r="D100" s="91">
        <f t="shared" si="26"/>
        <v>40095</v>
      </c>
      <c r="E100" s="91">
        <f t="shared" si="26"/>
        <v>40082</v>
      </c>
      <c r="F100" s="91">
        <f t="shared" si="26"/>
        <v>39893</v>
      </c>
      <c r="G100" s="91">
        <f t="shared" si="26"/>
        <v>39792</v>
      </c>
      <c r="H100" s="91">
        <f t="shared" ref="H100:L100" si="27">H26+H31</f>
        <v>38999</v>
      </c>
      <c r="I100" s="91">
        <f t="shared" si="27"/>
        <v>171</v>
      </c>
      <c r="J100" s="91">
        <f t="shared" si="27"/>
        <v>69</v>
      </c>
      <c r="K100" s="91">
        <f t="shared" si="27"/>
        <v>176</v>
      </c>
      <c r="L100" s="91">
        <f t="shared" si="27"/>
        <v>363</v>
      </c>
      <c r="M100" s="91">
        <f t="shared" ref="M100:P100" si="28">M26+M31</f>
        <v>16487</v>
      </c>
      <c r="N100" s="91">
        <f t="shared" si="28"/>
        <v>16436</v>
      </c>
      <c r="O100" s="91">
        <f t="shared" si="28"/>
        <v>16412</v>
      </c>
      <c r="P100" s="91">
        <f t="shared" si="28"/>
        <v>16394</v>
      </c>
      <c r="Q100" s="46">
        <v>16440</v>
      </c>
      <c r="R100" s="105">
        <v>27.04691812327507</v>
      </c>
      <c r="S100" s="105">
        <v>27.412110887409014</v>
      </c>
      <c r="T100" s="105">
        <v>28.530259365994237</v>
      </c>
      <c r="U100" s="105">
        <v>29.361890219400465</v>
      </c>
      <c r="V100" s="105">
        <v>30.055546610851714</v>
      </c>
      <c r="W100" s="105">
        <v>28.396197485433916</v>
      </c>
      <c r="X100" s="105">
        <v>27.826389964379743</v>
      </c>
      <c r="Y100" s="105">
        <v>29.70273577829537</v>
      </c>
      <c r="Z100" s="105">
        <v>30.941091376677651</v>
      </c>
      <c r="AA100" s="105">
        <v>30.111898245049108</v>
      </c>
      <c r="AB100" s="105">
        <v>55.443115608708986</v>
      </c>
      <c r="AC100" s="105">
        <v>55.238500851788757</v>
      </c>
      <c r="AD100" s="105">
        <v>58.232995144289603</v>
      </c>
      <c r="AE100" s="105">
        <v>60.302981596078119</v>
      </c>
      <c r="AF100" s="105">
        <v>60.167444855900818</v>
      </c>
      <c r="AG100" s="108">
        <v>5.1380368098159508</v>
      </c>
      <c r="AH100" s="108">
        <v>5.8644083230888313</v>
      </c>
      <c r="AI100" s="108">
        <v>8.3411643621067704</v>
      </c>
      <c r="AJ100" s="108">
        <v>7.5600017550787593</v>
      </c>
      <c r="AK100" s="45">
        <v>6.8060986862340176</v>
      </c>
      <c r="AL100" s="49">
        <v>656.41666666666674</v>
      </c>
      <c r="AM100" s="49">
        <v>693.58333333333337</v>
      </c>
      <c r="AN100" s="49">
        <v>924.66666666666674</v>
      </c>
      <c r="AO100" s="49">
        <v>693.58333333333337</v>
      </c>
      <c r="AP100" s="49">
        <v>1255.75</v>
      </c>
      <c r="AQ100" s="49">
        <v>36742.596463334019</v>
      </c>
      <c r="AR100" s="49">
        <v>37430.168858554804</v>
      </c>
      <c r="AS100" s="49">
        <v>36613.878838764882</v>
      </c>
      <c r="AT100" s="49">
        <v>38360.760053560596</v>
      </c>
      <c r="AU100" s="49">
        <v>39311.168073984722</v>
      </c>
      <c r="AV100" s="55" t="s">
        <v>161</v>
      </c>
      <c r="AW100" s="55" t="s">
        <v>161</v>
      </c>
      <c r="AX100" s="55" t="s">
        <v>161</v>
      </c>
      <c r="AY100" s="55" t="s">
        <v>161</v>
      </c>
      <c r="AZ100" s="55" t="s">
        <v>161</v>
      </c>
      <c r="BA100" s="99">
        <v>9.6183898775016381</v>
      </c>
      <c r="BB100" s="99">
        <v>9.8776446596992091</v>
      </c>
      <c r="BC100" s="48">
        <v>10.736885078587466</v>
      </c>
      <c r="BD100" s="48">
        <v>10.93021478254223</v>
      </c>
      <c r="BE100" s="48">
        <v>10.94970640796528</v>
      </c>
      <c r="BF100" s="48">
        <v>12.666018788467769</v>
      </c>
      <c r="BG100" s="99">
        <v>12.409329315924563</v>
      </c>
      <c r="BH100" s="48">
        <v>14.540926808142054</v>
      </c>
      <c r="BI100" s="48">
        <v>15.800149460873278</v>
      </c>
      <c r="BJ100" s="48">
        <v>15.439482058597608</v>
      </c>
      <c r="BK100" s="44">
        <v>6603</v>
      </c>
      <c r="BL100" s="44">
        <v>6848</v>
      </c>
      <c r="BM100" s="44">
        <v>6780</v>
      </c>
      <c r="BN100" s="44">
        <v>7005</v>
      </c>
      <c r="BO100" s="45">
        <v>24.761472058155384</v>
      </c>
      <c r="BP100" s="45">
        <v>30.432242990654206</v>
      </c>
      <c r="BQ100" s="45">
        <v>29.749262536873157</v>
      </c>
      <c r="BR100" s="108">
        <v>29.236259814418272</v>
      </c>
      <c r="BS100" s="110">
        <v>1.5144631228229592E-2</v>
      </c>
      <c r="BT100" s="110">
        <v>2.9205607476635514E-2</v>
      </c>
      <c r="BU100" s="105">
        <v>1.4749262536873156E-2</v>
      </c>
      <c r="BV100" s="105">
        <v>4.2826552462526764E-2</v>
      </c>
      <c r="BW100" s="45">
        <v>10.904134484325306</v>
      </c>
      <c r="BX100" s="45">
        <v>10.893691588785046</v>
      </c>
      <c r="BY100" s="45">
        <v>11.976401179941004</v>
      </c>
      <c r="BZ100" s="45">
        <v>11.934332619557459</v>
      </c>
      <c r="CA100" s="44">
        <v>83.193277310924373</v>
      </c>
      <c r="CB100" s="44">
        <v>82.163742690058484</v>
      </c>
      <c r="CC100" s="44">
        <v>77.611940298507463</v>
      </c>
      <c r="CD100" s="44">
        <v>75.851851851851848</v>
      </c>
      <c r="CE100" s="45">
        <v>6.1624649859943981</v>
      </c>
      <c r="CF100" s="45">
        <v>5.8479532163742691</v>
      </c>
      <c r="CG100" s="45">
        <v>8.8059701492537314</v>
      </c>
      <c r="CH100" s="45">
        <v>10.814814814814815</v>
      </c>
      <c r="CI100" s="48">
        <v>2462</v>
      </c>
      <c r="CJ100" s="44">
        <v>2242</v>
      </c>
      <c r="CK100" s="51">
        <v>2477</v>
      </c>
      <c r="CL100" s="57">
        <v>2330</v>
      </c>
      <c r="CM100" s="108">
        <v>12.373351559987134</v>
      </c>
      <c r="CN100" s="108">
        <v>11.088415523781734</v>
      </c>
      <c r="CO100" s="108">
        <v>12.020712313344108</v>
      </c>
      <c r="CP100" s="108">
        <v>11.625934315965951</v>
      </c>
      <c r="CQ100" s="60">
        <v>87</v>
      </c>
      <c r="CR100" s="60">
        <v>111</v>
      </c>
      <c r="CS100" s="60">
        <v>111</v>
      </c>
      <c r="CT100" s="60">
        <v>96</v>
      </c>
      <c r="CU100" s="108">
        <v>3.6386449184441658</v>
      </c>
      <c r="CV100" s="108">
        <v>5.1508120649651969</v>
      </c>
      <c r="CW100" s="108">
        <v>4.6697517879680266</v>
      </c>
      <c r="CX100" s="108">
        <v>4.2723631508678235</v>
      </c>
      <c r="CY100" s="61">
        <v>154</v>
      </c>
      <c r="CZ100" s="57">
        <v>147</v>
      </c>
      <c r="DA100" s="60">
        <v>162</v>
      </c>
      <c r="DB100" s="60">
        <v>148</v>
      </c>
      <c r="DC100" s="108">
        <v>7.0351758793969852</v>
      </c>
      <c r="DD100" s="108">
        <v>7.8358208955223878</v>
      </c>
      <c r="DE100" s="108">
        <v>7.3038773669972947</v>
      </c>
      <c r="DF100" s="108">
        <v>6.9745523091423189</v>
      </c>
      <c r="DG100" s="108">
        <v>84.791038345540713</v>
      </c>
      <c r="DH100" s="108">
        <v>85.839416058394164</v>
      </c>
      <c r="DI100" s="108">
        <v>84.21052631578948</v>
      </c>
      <c r="DJ100" s="108">
        <v>83.287545787545781</v>
      </c>
      <c r="DK100" s="108">
        <v>12.984248616432524</v>
      </c>
      <c r="DL100" s="108">
        <v>11.987090825265099</v>
      </c>
      <c r="DM100" s="108">
        <v>11.704730831973899</v>
      </c>
      <c r="DN100" s="108">
        <v>12.924281984334204</v>
      </c>
      <c r="DO100" s="108">
        <v>17.343623070674248</v>
      </c>
      <c r="DP100" s="108">
        <v>18.839285714285715</v>
      </c>
      <c r="DQ100" s="108">
        <v>23.101777059773827</v>
      </c>
      <c r="DR100" s="108">
        <v>24.924795874516544</v>
      </c>
      <c r="DS100" s="108">
        <v>26.084319077949651</v>
      </c>
      <c r="DT100" s="108">
        <v>16.949152542372882</v>
      </c>
      <c r="DU100" s="108">
        <v>18.04915514592934</v>
      </c>
      <c r="DV100" s="108">
        <v>15.59792027729636</v>
      </c>
      <c r="DW100" s="62">
        <v>432</v>
      </c>
      <c r="DX100" s="62">
        <v>2</v>
      </c>
      <c r="DY100" s="57">
        <v>1</v>
      </c>
      <c r="DZ100" s="60">
        <v>2</v>
      </c>
      <c r="EA100" s="60">
        <v>3</v>
      </c>
      <c r="EB100" s="60">
        <v>13</v>
      </c>
      <c r="EC100" s="60">
        <v>11</v>
      </c>
      <c r="ED100" s="57">
        <v>20</v>
      </c>
      <c r="EE100" s="60">
        <v>9</v>
      </c>
      <c r="EF100" s="60">
        <v>2291</v>
      </c>
      <c r="EG100" s="60">
        <v>2177</v>
      </c>
      <c r="EH100" s="60">
        <v>2161</v>
      </c>
      <c r="EI100" s="60">
        <v>1969</v>
      </c>
      <c r="EJ100" s="116">
        <v>407</v>
      </c>
      <c r="EK100" s="116">
        <v>0</v>
      </c>
      <c r="EL100" s="116">
        <v>0</v>
      </c>
      <c r="EM100" s="116">
        <v>0</v>
      </c>
      <c r="EN100" s="116">
        <v>1</v>
      </c>
      <c r="EO100" s="108">
        <v>1151.3951431328401</v>
      </c>
      <c r="EP100" s="108">
        <v>1076.694049744551</v>
      </c>
      <c r="EQ100" s="108">
        <v>1048.71858333212</v>
      </c>
      <c r="ER100" s="108">
        <v>982.4662947698265</v>
      </c>
      <c r="ES100" s="108">
        <v>788.91880885538853</v>
      </c>
      <c r="ET100" s="108">
        <v>720.702839797053</v>
      </c>
      <c r="EU100" s="108">
        <v>682.59811063396728</v>
      </c>
      <c r="EV100" s="45">
        <v>610.92446473536233</v>
      </c>
      <c r="EW100" s="45">
        <v>968.20165132428951</v>
      </c>
      <c r="EX100" s="45">
        <v>897.69787790502005</v>
      </c>
      <c r="EY100" s="45">
        <v>855.14173845903099</v>
      </c>
      <c r="EZ100" s="108">
        <v>750.10932815280376</v>
      </c>
      <c r="FA100" s="108">
        <v>655.46363275983754</v>
      </c>
      <c r="FB100" s="108">
        <v>581.11190440949952</v>
      </c>
      <c r="FC100" s="108">
        <v>548.37229171171771</v>
      </c>
      <c r="FD100" s="108">
        <v>499.49033654113441</v>
      </c>
      <c r="FE100" s="57">
        <v>486</v>
      </c>
      <c r="FF100" s="62">
        <v>470</v>
      </c>
      <c r="FG100" s="62">
        <v>458</v>
      </c>
      <c r="FH100" s="62">
        <v>465</v>
      </c>
      <c r="FI100" s="108">
        <v>179.26952195478378</v>
      </c>
      <c r="FJ100" s="108">
        <v>170.25784016161788</v>
      </c>
      <c r="FK100" s="108">
        <v>160.28416757941505</v>
      </c>
      <c r="FL100" s="108">
        <v>159.35563843289731</v>
      </c>
      <c r="FM100" s="62">
        <v>685</v>
      </c>
      <c r="FN100" s="62">
        <v>583</v>
      </c>
      <c r="FO100" s="57">
        <v>479</v>
      </c>
      <c r="FP100" s="62">
        <v>429</v>
      </c>
      <c r="FQ100" s="108">
        <v>224.94442320487664</v>
      </c>
      <c r="FR100" s="108">
        <v>184.17834840368693</v>
      </c>
      <c r="FS100" s="108">
        <v>142.24648234751308</v>
      </c>
      <c r="FT100" s="108">
        <v>122.51423055218503</v>
      </c>
      <c r="FU100" s="48">
        <v>197</v>
      </c>
      <c r="FV100" s="48">
        <v>161</v>
      </c>
      <c r="FW100" s="48">
        <v>150</v>
      </c>
      <c r="FX100" s="48">
        <v>117</v>
      </c>
      <c r="FY100" s="108">
        <v>62.352667036053617</v>
      </c>
      <c r="FZ100" s="45">
        <v>48.532314159559334</v>
      </c>
      <c r="GA100" s="45">
        <v>43.350333209815822</v>
      </c>
      <c r="GB100" s="45">
        <v>31.818563069960444</v>
      </c>
      <c r="GC100" s="75">
        <v>82</v>
      </c>
      <c r="GD100" s="64">
        <v>110</v>
      </c>
      <c r="GE100" s="75">
        <v>121</v>
      </c>
      <c r="GF100" s="75">
        <v>123</v>
      </c>
      <c r="GG100" s="81">
        <v>36.742570877294391</v>
      </c>
      <c r="GH100" s="81">
        <v>46.183050863779954</v>
      </c>
      <c r="GI100" s="112">
        <v>43.95560273399358</v>
      </c>
      <c r="GJ100" s="81">
        <v>45.225647117808116</v>
      </c>
      <c r="GK100" s="75"/>
      <c r="GL100" s="75"/>
      <c r="GM100" s="75"/>
      <c r="GN100" s="64"/>
      <c r="GO100" s="75"/>
      <c r="GP100" s="75"/>
      <c r="GQ100" s="75"/>
      <c r="GR100" s="75"/>
      <c r="GS100" s="64"/>
      <c r="GT100" s="75"/>
      <c r="GU100" s="75"/>
      <c r="GV100" s="75"/>
      <c r="GW100" s="75"/>
      <c r="GX100" s="64"/>
      <c r="GY100" s="64"/>
      <c r="GZ100" s="64"/>
      <c r="HA100" s="64"/>
      <c r="HB100" s="64"/>
      <c r="HC100" s="64"/>
      <c r="HD100" s="65"/>
      <c r="HE100" s="65"/>
      <c r="HF100" s="65"/>
      <c r="HG100" s="65"/>
      <c r="HH100" s="65"/>
      <c r="HI100" s="66"/>
      <c r="HJ100" s="66"/>
      <c r="HK100" s="63"/>
      <c r="HL100" s="64"/>
      <c r="HM100" s="64"/>
      <c r="HN100" s="64"/>
      <c r="HO100" s="64"/>
      <c r="HP100" s="64"/>
      <c r="HQ100" s="64"/>
      <c r="HR100" s="64"/>
      <c r="HS100" s="64"/>
      <c r="HT100" s="64"/>
      <c r="HU100" s="39"/>
    </row>
    <row r="101" spans="1:229" x14ac:dyDescent="0.2">
      <c r="A101" s="92" t="s">
        <v>469</v>
      </c>
      <c r="B101" s="90" t="s">
        <v>510</v>
      </c>
      <c r="C101" s="91">
        <f t="shared" ref="C101:G101" si="29">C25+C49</f>
        <v>35331</v>
      </c>
      <c r="D101" s="91">
        <f t="shared" si="29"/>
        <v>35059</v>
      </c>
      <c r="E101" s="91">
        <f t="shared" si="29"/>
        <v>34751</v>
      </c>
      <c r="F101" s="91">
        <f t="shared" si="29"/>
        <v>35393</v>
      </c>
      <c r="G101" s="91">
        <f t="shared" si="29"/>
        <v>35197</v>
      </c>
      <c r="H101" s="91">
        <f t="shared" ref="H101:L101" si="30">H25+H49</f>
        <v>34452</v>
      </c>
      <c r="I101" s="91">
        <f t="shared" si="30"/>
        <v>146</v>
      </c>
      <c r="J101" s="91">
        <f t="shared" si="30"/>
        <v>151</v>
      </c>
      <c r="K101" s="91">
        <f t="shared" si="30"/>
        <v>191</v>
      </c>
      <c r="L101" s="91">
        <f t="shared" si="30"/>
        <v>1583</v>
      </c>
      <c r="M101" s="91">
        <f t="shared" ref="M101:P101" si="31">M25+M49</f>
        <v>15455</v>
      </c>
      <c r="N101" s="91">
        <f t="shared" si="31"/>
        <v>15386</v>
      </c>
      <c r="O101" s="91">
        <f t="shared" si="31"/>
        <v>15300</v>
      </c>
      <c r="P101" s="91">
        <f t="shared" si="31"/>
        <v>15271</v>
      </c>
      <c r="Q101" s="46">
        <v>15263</v>
      </c>
      <c r="R101" s="105">
        <v>34.324942791762012</v>
      </c>
      <c r="S101" s="105">
        <v>34.765156408600163</v>
      </c>
      <c r="T101" s="105">
        <v>35.440330782757471</v>
      </c>
      <c r="U101" s="105">
        <v>34.739086106219297</v>
      </c>
      <c r="V101" s="105">
        <v>34.899360201746603</v>
      </c>
      <c r="W101" s="105">
        <v>27.372997711670479</v>
      </c>
      <c r="X101" s="105">
        <v>26.990864630432778</v>
      </c>
      <c r="Y101" s="105">
        <v>29.718169288531914</v>
      </c>
      <c r="Z101" s="105">
        <v>29.284456390768376</v>
      </c>
      <c r="AA101" s="105">
        <v>29.472750198477559</v>
      </c>
      <c r="AB101" s="105">
        <v>61.697940503432491</v>
      </c>
      <c r="AC101" s="105">
        <v>61.756021039032944</v>
      </c>
      <c r="AD101" s="105">
        <v>65.158500071289382</v>
      </c>
      <c r="AE101" s="105">
        <v>64.023542496987673</v>
      </c>
      <c r="AF101" s="105">
        <v>64.372110400224159</v>
      </c>
      <c r="AG101" s="108">
        <v>4.8058761804826862</v>
      </c>
      <c r="AH101" s="108">
        <v>5.3838587772428435</v>
      </c>
      <c r="AI101" s="108">
        <v>8.4724862559728713</v>
      </c>
      <c r="AJ101" s="108">
        <v>7.4368783473603672</v>
      </c>
      <c r="AK101" s="45">
        <v>6.6761725314457401</v>
      </c>
      <c r="AL101" s="49">
        <v>837.33333333333326</v>
      </c>
      <c r="AM101" s="49">
        <v>839.5</v>
      </c>
      <c r="AN101" s="49">
        <v>1073.5</v>
      </c>
      <c r="AO101" s="49">
        <v>839.5</v>
      </c>
      <c r="AP101" s="49">
        <v>1568</v>
      </c>
      <c r="AQ101" s="49">
        <v>40828.648874434715</v>
      </c>
      <c r="AR101" s="49">
        <v>45992.125902698848</v>
      </c>
      <c r="AS101" s="49">
        <v>43760.71087420691</v>
      </c>
      <c r="AT101" s="49">
        <v>43922.68753149658</v>
      </c>
      <c r="AU101" s="49">
        <v>46101.542745120321</v>
      </c>
      <c r="AV101" s="55" t="s">
        <v>161</v>
      </c>
      <c r="AW101" s="55" t="s">
        <v>161</v>
      </c>
      <c r="AX101" s="55" t="s">
        <v>161</v>
      </c>
      <c r="AY101" s="55" t="s">
        <v>161</v>
      </c>
      <c r="AZ101" s="55" t="s">
        <v>161</v>
      </c>
      <c r="BA101" s="99">
        <v>10.60315801695112</v>
      </c>
      <c r="BB101" s="99">
        <v>11.041886041886041</v>
      </c>
      <c r="BC101" s="48">
        <v>12.041111668980182</v>
      </c>
      <c r="BD101" s="48">
        <v>11.252990516818954</v>
      </c>
      <c r="BE101" s="48">
        <v>12.942743780590229</v>
      </c>
      <c r="BF101" s="48">
        <v>14.721627408993577</v>
      </c>
      <c r="BG101" s="99">
        <v>14.79683816391624</v>
      </c>
      <c r="BH101" s="48">
        <v>17.171052631578949</v>
      </c>
      <c r="BI101" s="48">
        <v>18.235525797558093</v>
      </c>
      <c r="BJ101" s="48">
        <v>19.597655209166</v>
      </c>
      <c r="BK101" s="44">
        <v>5242</v>
      </c>
      <c r="BL101" s="44">
        <v>5086</v>
      </c>
      <c r="BM101" s="44">
        <v>4996</v>
      </c>
      <c r="BN101" s="44">
        <v>4982</v>
      </c>
      <c r="BO101" s="45">
        <v>39.259824494467757</v>
      </c>
      <c r="BP101" s="45">
        <v>42.292567833267796</v>
      </c>
      <c r="BQ101" s="45">
        <v>42.874299439551642</v>
      </c>
      <c r="BR101" s="108">
        <v>44.058610999598557</v>
      </c>
      <c r="BS101" s="110">
        <v>2.880579931323922</v>
      </c>
      <c r="BT101" s="110">
        <v>3.1065670467951239</v>
      </c>
      <c r="BU101" s="105">
        <v>2.7021617293835067</v>
      </c>
      <c r="BV101" s="105">
        <v>2.5291047771979125</v>
      </c>
      <c r="BW101" s="45">
        <v>16.825639069057612</v>
      </c>
      <c r="BX101" s="45">
        <v>16.397955171057806</v>
      </c>
      <c r="BY101" s="45">
        <v>16.012810248198559</v>
      </c>
      <c r="BZ101" s="45">
        <v>15.53592934564432</v>
      </c>
      <c r="CA101" s="44">
        <v>78.207739307535647</v>
      </c>
      <c r="CB101" s="44">
        <v>80.638722554890222</v>
      </c>
      <c r="CC101" s="44">
        <v>82.574257425742573</v>
      </c>
      <c r="CD101" s="44">
        <v>78.241758241758248</v>
      </c>
      <c r="CE101" s="45">
        <v>4.6843177189409371</v>
      </c>
      <c r="CF101" s="45">
        <v>5.5888223552894214</v>
      </c>
      <c r="CG101" s="45">
        <v>2.9702970297029703</v>
      </c>
      <c r="CH101" s="45">
        <v>5.9340659340659343</v>
      </c>
      <c r="CI101" s="48">
        <v>2082</v>
      </c>
      <c r="CJ101" s="44">
        <v>1952</v>
      </c>
      <c r="CK101" s="51">
        <v>1966</v>
      </c>
      <c r="CL101" s="57">
        <v>1928</v>
      </c>
      <c r="CM101" s="108">
        <v>10.63840658947605</v>
      </c>
      <c r="CN101" s="108">
        <v>10.25570972978937</v>
      </c>
      <c r="CO101" s="108">
        <v>10.72178441905489</v>
      </c>
      <c r="CP101" s="108">
        <v>10.971314110771576</v>
      </c>
      <c r="CQ101" s="60">
        <v>86</v>
      </c>
      <c r="CR101" s="60">
        <v>86</v>
      </c>
      <c r="CS101" s="60">
        <v>94</v>
      </c>
      <c r="CT101" s="60">
        <v>83</v>
      </c>
      <c r="CU101" s="108">
        <v>4.2094958394517867</v>
      </c>
      <c r="CV101" s="108">
        <v>4.5574986751457338</v>
      </c>
      <c r="CW101" s="108">
        <v>5.0402144772117961</v>
      </c>
      <c r="CX101" s="108">
        <v>4.4456347080878418</v>
      </c>
      <c r="CY101" s="61">
        <v>146</v>
      </c>
      <c r="CZ101" s="57">
        <v>153</v>
      </c>
      <c r="DA101" s="60">
        <v>138</v>
      </c>
      <c r="DB101" s="60">
        <v>137</v>
      </c>
      <c r="DC101" s="108">
        <v>7.7700904736562002</v>
      </c>
      <c r="DD101" s="108">
        <v>8.5906793935991015</v>
      </c>
      <c r="DE101" s="108">
        <v>8.7176247631080219</v>
      </c>
      <c r="DF101" s="108">
        <v>8.399754751686082</v>
      </c>
      <c r="DG101" s="108">
        <v>84.509126788357179</v>
      </c>
      <c r="DH101" s="108">
        <v>84.57082675092154</v>
      </c>
      <c r="DI101" s="108">
        <v>89.473684210526315</v>
      </c>
      <c r="DJ101" s="108">
        <v>89.169295478443743</v>
      </c>
      <c r="DK101" s="108">
        <v>14.348894348894349</v>
      </c>
      <c r="DL101" s="108">
        <v>16.451779267663746</v>
      </c>
      <c r="DM101" s="108">
        <v>17.755102040816325</v>
      </c>
      <c r="DN101" s="108">
        <v>18.158168574401664</v>
      </c>
      <c r="DO101" s="108">
        <v>21.902017291066283</v>
      </c>
      <c r="DP101" s="108">
        <v>27.524346488980012</v>
      </c>
      <c r="DQ101" s="108">
        <v>35.165394402035624</v>
      </c>
      <c r="DR101" s="108">
        <v>41.268191268191266</v>
      </c>
      <c r="DS101" s="108">
        <v>34.056252117926128</v>
      </c>
      <c r="DT101" s="108">
        <v>32.560957140693624</v>
      </c>
      <c r="DU101" s="108">
        <v>30.560806553245115</v>
      </c>
      <c r="DV101" s="108">
        <v>33.215809983299316</v>
      </c>
      <c r="DW101" s="62">
        <v>331</v>
      </c>
      <c r="DX101" s="62">
        <v>2</v>
      </c>
      <c r="DY101" s="57">
        <v>1</v>
      </c>
      <c r="DZ101" s="60">
        <v>4</v>
      </c>
      <c r="EA101" s="60">
        <v>26</v>
      </c>
      <c r="EB101" s="60">
        <v>12</v>
      </c>
      <c r="EC101" s="60">
        <v>14</v>
      </c>
      <c r="ED101" s="57">
        <v>4</v>
      </c>
      <c r="EE101" s="60">
        <v>9</v>
      </c>
      <c r="EF101" s="60">
        <v>2324</v>
      </c>
      <c r="EG101" s="60">
        <v>2363</v>
      </c>
      <c r="EH101" s="60">
        <v>2250</v>
      </c>
      <c r="EI101" s="60">
        <v>2135</v>
      </c>
      <c r="EJ101" s="116">
        <v>441</v>
      </c>
      <c r="EK101" s="116">
        <v>1</v>
      </c>
      <c r="EL101" s="116">
        <v>1</v>
      </c>
      <c r="EM101" s="116">
        <v>1</v>
      </c>
      <c r="EN101" s="116">
        <v>1</v>
      </c>
      <c r="EO101" s="108">
        <v>1187.4955290077974</v>
      </c>
      <c r="EP101" s="108">
        <v>1241.5083038674322</v>
      </c>
      <c r="EQ101" s="108">
        <v>1227.0607804106564</v>
      </c>
      <c r="ER101" s="108">
        <v>1214.9250843618941</v>
      </c>
      <c r="ES101" s="108">
        <v>748.66850390256207</v>
      </c>
      <c r="ET101" s="108">
        <v>729.6921731020293</v>
      </c>
      <c r="EU101" s="108">
        <v>680.89255553235012</v>
      </c>
      <c r="EV101" s="45">
        <v>645.33954788155449</v>
      </c>
      <c r="EW101" s="45">
        <v>976.69909130736141</v>
      </c>
      <c r="EX101" s="45">
        <v>914.0886939861133</v>
      </c>
      <c r="EY101" s="45">
        <v>849.81119805396952</v>
      </c>
      <c r="EZ101" s="108">
        <v>817.83701317645387</v>
      </c>
      <c r="FA101" s="108">
        <v>591.05688002798126</v>
      </c>
      <c r="FB101" s="108">
        <v>599.92402300986998</v>
      </c>
      <c r="FC101" s="108">
        <v>555.72495815140201</v>
      </c>
      <c r="FD101" s="108">
        <v>503.37595955232098</v>
      </c>
      <c r="FE101" s="57">
        <v>507</v>
      </c>
      <c r="FF101" s="62">
        <v>530</v>
      </c>
      <c r="FG101" s="62">
        <v>513</v>
      </c>
      <c r="FH101" s="62">
        <v>481</v>
      </c>
      <c r="FI101" s="108">
        <v>173.04572314997969</v>
      </c>
      <c r="FJ101" s="108">
        <v>176.55118716385425</v>
      </c>
      <c r="FK101" s="108">
        <v>170.84198860950829</v>
      </c>
      <c r="FL101" s="108">
        <v>159.91291081046396</v>
      </c>
      <c r="FM101" s="62">
        <v>778</v>
      </c>
      <c r="FN101" s="62">
        <v>732</v>
      </c>
      <c r="FO101" s="57">
        <v>681</v>
      </c>
      <c r="FP101" s="62">
        <v>567</v>
      </c>
      <c r="FQ101" s="108">
        <v>238.2566675450982</v>
      </c>
      <c r="FR101" s="108">
        <v>215.66502178959536</v>
      </c>
      <c r="FS101" s="108">
        <v>191.24354946016012</v>
      </c>
      <c r="FT101" s="108">
        <v>151.98682770246535</v>
      </c>
      <c r="FU101" s="48">
        <v>164</v>
      </c>
      <c r="FV101" s="48">
        <v>162</v>
      </c>
      <c r="FW101" s="48">
        <v>134</v>
      </c>
      <c r="FX101" s="48">
        <v>117</v>
      </c>
      <c r="FY101" s="108">
        <v>49.130498046492676</v>
      </c>
      <c r="FZ101" s="45">
        <v>44.620229677602367</v>
      </c>
      <c r="GA101" s="45">
        <v>34.878556487115958</v>
      </c>
      <c r="GB101" s="45">
        <v>30.244364650167803</v>
      </c>
      <c r="GC101" s="75">
        <v>82</v>
      </c>
      <c r="GD101" s="64">
        <v>85</v>
      </c>
      <c r="GE101" s="75">
        <v>81</v>
      </c>
      <c r="GF101" s="75">
        <v>95</v>
      </c>
      <c r="GG101" s="81">
        <v>35.514670222058513</v>
      </c>
      <c r="GH101" s="81">
        <v>35.006235469357016</v>
      </c>
      <c r="GI101" s="112">
        <v>34.074713585635251</v>
      </c>
      <c r="GJ101" s="81">
        <v>35.77671356504338</v>
      </c>
      <c r="GK101" s="75"/>
      <c r="GL101" s="75"/>
      <c r="GM101" s="75"/>
      <c r="GN101" s="64"/>
      <c r="GO101" s="75"/>
      <c r="GP101" s="75"/>
      <c r="GQ101" s="75"/>
      <c r="GR101" s="75"/>
      <c r="GS101" s="64"/>
      <c r="GT101" s="75"/>
      <c r="GU101" s="75"/>
      <c r="GV101" s="75"/>
      <c r="GW101" s="75"/>
      <c r="GX101" s="64"/>
      <c r="GY101" s="64"/>
      <c r="GZ101" s="64"/>
      <c r="HA101" s="64"/>
      <c r="HB101" s="64"/>
      <c r="HC101" s="64"/>
      <c r="HD101" s="65"/>
      <c r="HE101" s="65"/>
      <c r="HF101" s="65"/>
      <c r="HG101" s="65"/>
      <c r="HH101" s="65"/>
      <c r="HI101" s="66"/>
      <c r="HJ101" s="66"/>
      <c r="HK101" s="63"/>
      <c r="HL101" s="64"/>
      <c r="HM101" s="64"/>
      <c r="HN101" s="64"/>
      <c r="HO101" s="64"/>
      <c r="HP101" s="64"/>
      <c r="HQ101" s="64"/>
      <c r="HR101" s="64"/>
      <c r="HS101" s="64"/>
      <c r="HT101" s="64"/>
      <c r="HU101" s="39"/>
    </row>
    <row r="102" spans="1:229" x14ac:dyDescent="0.2">
      <c r="A102" s="92" t="s">
        <v>470</v>
      </c>
      <c r="B102" s="90" t="s">
        <v>511</v>
      </c>
      <c r="C102" s="91">
        <f t="shared" ref="C102:G102" si="32">C33+C51</f>
        <v>65275</v>
      </c>
      <c r="D102" s="91">
        <f t="shared" si="32"/>
        <v>65482</v>
      </c>
      <c r="E102" s="91">
        <f t="shared" si="32"/>
        <v>65825</v>
      </c>
      <c r="F102" s="91">
        <f t="shared" si="32"/>
        <v>63913</v>
      </c>
      <c r="G102" s="91">
        <f t="shared" si="32"/>
        <v>64262</v>
      </c>
      <c r="H102" s="91">
        <f t="shared" ref="H102:L102" si="33">H33+H51</f>
        <v>60565</v>
      </c>
      <c r="I102" s="91">
        <f t="shared" si="33"/>
        <v>420</v>
      </c>
      <c r="J102" s="91">
        <f t="shared" si="33"/>
        <v>1742</v>
      </c>
      <c r="K102" s="91">
        <f t="shared" si="33"/>
        <v>466</v>
      </c>
      <c r="L102" s="91">
        <f t="shared" si="33"/>
        <v>1049</v>
      </c>
      <c r="M102" s="91">
        <f t="shared" ref="M102:P102" si="34">M33+M51</f>
        <v>24821</v>
      </c>
      <c r="N102" s="91">
        <f t="shared" si="34"/>
        <v>25163</v>
      </c>
      <c r="O102" s="91">
        <f t="shared" si="34"/>
        <v>25246</v>
      </c>
      <c r="P102" s="91">
        <f t="shared" si="34"/>
        <v>24138</v>
      </c>
      <c r="Q102" s="46">
        <v>24283</v>
      </c>
      <c r="R102" s="105">
        <v>18.44325153374233</v>
      </c>
      <c r="S102" s="105">
        <v>19.152542372881356</v>
      </c>
      <c r="T102" s="105">
        <v>20.183402109124255</v>
      </c>
      <c r="U102" s="105">
        <v>21.448225923244028</v>
      </c>
      <c r="V102" s="105">
        <v>22.121999326502142</v>
      </c>
      <c r="W102" s="105">
        <v>28.784734752796822</v>
      </c>
      <c r="X102" s="105">
        <v>28.829378531073445</v>
      </c>
      <c r="Y102" s="105">
        <v>30.722145804676753</v>
      </c>
      <c r="Z102" s="105">
        <v>32.819213130581701</v>
      </c>
      <c r="AA102" s="105">
        <v>32.450570067830853</v>
      </c>
      <c r="AB102" s="105">
        <v>47.227986286539156</v>
      </c>
      <c r="AC102" s="105">
        <v>47.981920903954801</v>
      </c>
      <c r="AD102" s="105">
        <v>50.905547913801009</v>
      </c>
      <c r="AE102" s="105">
        <v>54.267439053825733</v>
      </c>
      <c r="AF102" s="105">
        <v>54.572569394332994</v>
      </c>
      <c r="AG102" s="108">
        <v>6.65961323693646</v>
      </c>
      <c r="AH102" s="108">
        <v>7.6125073056691992</v>
      </c>
      <c r="AI102" s="108">
        <v>11.374793040346241</v>
      </c>
      <c r="AJ102" s="108">
        <v>10.234397890418986</v>
      </c>
      <c r="AK102" s="45">
        <v>9.0455966495605491</v>
      </c>
      <c r="AL102" s="49">
        <v>1181.3333333333335</v>
      </c>
      <c r="AM102" s="49">
        <v>1338.5</v>
      </c>
      <c r="AN102" s="49">
        <v>1739.5</v>
      </c>
      <c r="AO102" s="49">
        <v>1338.5</v>
      </c>
      <c r="AP102" s="49">
        <v>2631.9166666666665</v>
      </c>
      <c r="AQ102" s="49">
        <v>33499.651207470575</v>
      </c>
      <c r="AR102" s="49">
        <v>33144.772111342972</v>
      </c>
      <c r="AS102" s="49">
        <v>32615.032380261975</v>
      </c>
      <c r="AT102" s="49">
        <v>32999.803806463839</v>
      </c>
      <c r="AU102" s="49">
        <v>33470.698079736081</v>
      </c>
      <c r="AV102" s="55" t="s">
        <v>161</v>
      </c>
      <c r="AW102" s="55" t="s">
        <v>161</v>
      </c>
      <c r="AX102" s="55" t="s">
        <v>161</v>
      </c>
      <c r="AY102" s="55" t="s">
        <v>161</v>
      </c>
      <c r="AZ102" s="55" t="s">
        <v>161</v>
      </c>
      <c r="BA102" s="99">
        <v>8.3924368307016035</v>
      </c>
      <c r="BB102" s="99">
        <v>9.3799509179584355</v>
      </c>
      <c r="BC102" s="48">
        <v>10.758074740634228</v>
      </c>
      <c r="BD102" s="48">
        <v>10.603046266970127</v>
      </c>
      <c r="BE102" s="48">
        <v>10.56541019955654</v>
      </c>
      <c r="BF102" s="48">
        <v>11.504885993485342</v>
      </c>
      <c r="BG102" s="99">
        <v>11.492134535641414</v>
      </c>
      <c r="BH102" s="48">
        <v>14.537141425529249</v>
      </c>
      <c r="BI102" s="48">
        <v>14.488119867092973</v>
      </c>
      <c r="BJ102" s="48">
        <v>15.000631871603691</v>
      </c>
      <c r="BK102" s="44">
        <v>13008</v>
      </c>
      <c r="BL102" s="44">
        <v>12803</v>
      </c>
      <c r="BM102" s="44">
        <v>12828</v>
      </c>
      <c r="BN102" s="44">
        <v>12706</v>
      </c>
      <c r="BO102" s="45">
        <v>33.556273062730625</v>
      </c>
      <c r="BP102" s="45">
        <v>37.647426384441147</v>
      </c>
      <c r="BQ102" s="45">
        <v>38.790146554412225</v>
      </c>
      <c r="BR102" s="108">
        <v>39.453801353691169</v>
      </c>
      <c r="BS102" s="110">
        <v>0.82257072570725709</v>
      </c>
      <c r="BT102" s="110">
        <v>0.85136296180582671</v>
      </c>
      <c r="BU102" s="105">
        <v>0.60804490177736203</v>
      </c>
      <c r="BV102" s="105">
        <v>0.77915945222729421</v>
      </c>
      <c r="BW102" s="45">
        <v>13.284132841328413</v>
      </c>
      <c r="BX102" s="45">
        <v>13.574943372647036</v>
      </c>
      <c r="BY102" s="45">
        <v>13.813532896788276</v>
      </c>
      <c r="BZ102" s="45">
        <v>14.166535495041712</v>
      </c>
      <c r="CA102" s="44">
        <v>73.305084745762713</v>
      </c>
      <c r="CB102" s="44">
        <v>75.197195442594222</v>
      </c>
      <c r="CC102" s="44">
        <v>77.884615384615387</v>
      </c>
      <c r="CD102" s="44">
        <v>80.8325266214908</v>
      </c>
      <c r="CE102" s="45">
        <v>5.2542372881355934</v>
      </c>
      <c r="CF102" s="45">
        <v>4.4697633654688866</v>
      </c>
      <c r="CG102" s="45">
        <v>5.0961538461538458</v>
      </c>
      <c r="CH102" s="45">
        <v>4.8402710551790902</v>
      </c>
      <c r="CI102" s="48">
        <v>3051</v>
      </c>
      <c r="CJ102" s="44">
        <v>3193</v>
      </c>
      <c r="CK102" s="51">
        <v>4127</v>
      </c>
      <c r="CL102" s="57">
        <v>4232</v>
      </c>
      <c r="CM102" s="108">
        <v>12.819273868597191</v>
      </c>
      <c r="CN102" s="108">
        <v>12.151172304612727</v>
      </c>
      <c r="CO102" s="108">
        <v>13.450444871753088</v>
      </c>
      <c r="CP102" s="108">
        <v>13.031281850737628</v>
      </c>
      <c r="CQ102" s="60">
        <v>136</v>
      </c>
      <c r="CR102" s="60">
        <v>127</v>
      </c>
      <c r="CS102" s="60">
        <v>188</v>
      </c>
      <c r="CT102" s="60">
        <v>183</v>
      </c>
      <c r="CU102" s="108">
        <v>4.5791245791245787</v>
      </c>
      <c r="CV102" s="108">
        <v>4.0666026256804351</v>
      </c>
      <c r="CW102" s="108">
        <v>4.6696472925981123</v>
      </c>
      <c r="CX102" s="108">
        <v>4.4941060903732808</v>
      </c>
      <c r="CY102" s="61">
        <v>216</v>
      </c>
      <c r="CZ102" s="57">
        <v>223</v>
      </c>
      <c r="DA102" s="60">
        <v>353</v>
      </c>
      <c r="DB102" s="60">
        <v>322</v>
      </c>
      <c r="DC102" s="108">
        <v>7.9149871747893004</v>
      </c>
      <c r="DD102" s="108">
        <v>7.5850340136054424</v>
      </c>
      <c r="DE102" s="108">
        <v>9.5148247978436657</v>
      </c>
      <c r="DF102" s="108">
        <v>8.6675639300134595</v>
      </c>
      <c r="DG102" s="108">
        <v>79.87166497804796</v>
      </c>
      <c r="DH102" s="108">
        <v>81.455473986594313</v>
      </c>
      <c r="DI102" s="108">
        <v>86.009852216748769</v>
      </c>
      <c r="DJ102" s="108">
        <v>85.073915116833575</v>
      </c>
      <c r="DK102" s="108">
        <v>24.060913705583758</v>
      </c>
      <c r="DL102" s="108">
        <v>21.524663677130047</v>
      </c>
      <c r="DM102" s="108">
        <v>18.395642485763801</v>
      </c>
      <c r="DN102" s="108">
        <v>20.422702445974828</v>
      </c>
      <c r="DO102" s="108">
        <v>31.399541134054409</v>
      </c>
      <c r="DP102" s="108">
        <v>30.629502035703101</v>
      </c>
      <c r="DQ102" s="108">
        <v>32.105645747516355</v>
      </c>
      <c r="DR102" s="108">
        <v>37.35224586288416</v>
      </c>
      <c r="DS102" s="108">
        <v>39.83204720835225</v>
      </c>
      <c r="DT102" s="108">
        <v>32.017870439314969</v>
      </c>
      <c r="DU102" s="108">
        <v>31.506486629600211</v>
      </c>
      <c r="DV102" s="108">
        <v>31.637125976748617</v>
      </c>
      <c r="DW102" s="62">
        <v>730</v>
      </c>
      <c r="DX102" s="62">
        <v>2</v>
      </c>
      <c r="DY102" s="57">
        <v>46</v>
      </c>
      <c r="DZ102" s="60">
        <v>6</v>
      </c>
      <c r="EA102" s="60">
        <v>13</v>
      </c>
      <c r="EB102" s="60">
        <v>15</v>
      </c>
      <c r="EC102" s="60">
        <v>18</v>
      </c>
      <c r="ED102" s="57">
        <v>19</v>
      </c>
      <c r="EE102" s="60">
        <v>27</v>
      </c>
      <c r="EF102" s="60">
        <v>2095</v>
      </c>
      <c r="EG102" s="60">
        <v>2368</v>
      </c>
      <c r="EH102" s="60">
        <v>2501</v>
      </c>
      <c r="EI102" s="60">
        <v>2635</v>
      </c>
      <c r="EJ102" s="116">
        <v>530</v>
      </c>
      <c r="EK102" s="116">
        <v>0</v>
      </c>
      <c r="EL102" s="116">
        <v>15</v>
      </c>
      <c r="EM102" s="116">
        <v>1</v>
      </c>
      <c r="EN102" s="116">
        <v>0</v>
      </c>
      <c r="EO102" s="108">
        <v>880.24840231763733</v>
      </c>
      <c r="EP102" s="108">
        <v>901.15803374014831</v>
      </c>
      <c r="EQ102" s="108">
        <v>815.10934393638172</v>
      </c>
      <c r="ER102" s="108">
        <v>811.37589028104094</v>
      </c>
      <c r="ES102" s="108">
        <v>804.85794363158107</v>
      </c>
      <c r="ET102" s="108">
        <v>817.02877756342605</v>
      </c>
      <c r="EU102" s="108">
        <v>761.35044777900578</v>
      </c>
      <c r="EV102" s="45">
        <v>726.22742860945482</v>
      </c>
      <c r="EW102" s="45">
        <v>997.250447824562</v>
      </c>
      <c r="EX102" s="45">
        <v>955.96372064505181</v>
      </c>
      <c r="EY102" s="45">
        <v>902.15210163091456</v>
      </c>
      <c r="EZ102" s="108">
        <v>869.19185067880824</v>
      </c>
      <c r="FA102" s="108">
        <v>653.84593561901102</v>
      </c>
      <c r="FB102" s="108">
        <v>693.98746927865739</v>
      </c>
      <c r="FC102" s="108">
        <v>642.14361924531886</v>
      </c>
      <c r="FD102" s="108">
        <v>608.28521635879326</v>
      </c>
      <c r="FE102" s="57">
        <v>437</v>
      </c>
      <c r="FF102" s="62">
        <v>555</v>
      </c>
      <c r="FG102" s="62">
        <v>540</v>
      </c>
      <c r="FH102" s="62">
        <v>639</v>
      </c>
      <c r="FI102" s="108">
        <v>175.10438202058162</v>
      </c>
      <c r="FJ102" s="108">
        <v>201.66738117458809</v>
      </c>
      <c r="FK102" s="108">
        <v>172.94084498262583</v>
      </c>
      <c r="FL102" s="108">
        <v>180.72938620889505</v>
      </c>
      <c r="FM102" s="62">
        <v>633</v>
      </c>
      <c r="FN102" s="62">
        <v>582</v>
      </c>
      <c r="FO102" s="57">
        <v>564</v>
      </c>
      <c r="FP102" s="62">
        <v>447</v>
      </c>
      <c r="FQ102" s="108">
        <v>241.60395017906501</v>
      </c>
      <c r="FR102" s="108">
        <v>196.98949025369024</v>
      </c>
      <c r="FS102" s="108">
        <v>166.93214214548408</v>
      </c>
      <c r="FT102" s="108">
        <v>120.17440374770649</v>
      </c>
      <c r="FU102" s="48">
        <v>220</v>
      </c>
      <c r="FV102" s="48">
        <v>194</v>
      </c>
      <c r="FW102" s="48">
        <v>175</v>
      </c>
      <c r="FX102" s="48">
        <v>139</v>
      </c>
      <c r="FY102" s="108">
        <v>80.6383199788052</v>
      </c>
      <c r="FZ102" s="45">
        <v>63.835088752395777</v>
      </c>
      <c r="GA102" s="45">
        <v>51.445232961333922</v>
      </c>
      <c r="GB102" s="45">
        <v>37.176080207167047</v>
      </c>
      <c r="GC102" s="75">
        <v>104</v>
      </c>
      <c r="GD102" s="64">
        <v>129</v>
      </c>
      <c r="GE102" s="75">
        <v>147</v>
      </c>
      <c r="GF102" s="75">
        <v>174</v>
      </c>
      <c r="GG102" s="81">
        <v>42.556044811153399</v>
      </c>
      <c r="GH102" s="81">
        <v>46.582438129376875</v>
      </c>
      <c r="GI102" s="112">
        <v>45.414629125734692</v>
      </c>
      <c r="GJ102" s="81">
        <v>50.546150480336308</v>
      </c>
      <c r="GK102" s="75"/>
      <c r="GL102" s="75"/>
      <c r="GM102" s="75"/>
      <c r="GN102" s="64"/>
      <c r="GO102" s="75"/>
      <c r="GP102" s="75"/>
      <c r="GQ102" s="75"/>
      <c r="GR102" s="75"/>
      <c r="GS102" s="64"/>
      <c r="GT102" s="75"/>
      <c r="GU102" s="75"/>
      <c r="GV102" s="75"/>
      <c r="GW102" s="75"/>
      <c r="GX102" s="64"/>
      <c r="GY102" s="64"/>
      <c r="GZ102" s="64"/>
      <c r="HA102" s="64"/>
      <c r="HB102" s="64"/>
      <c r="HC102" s="64"/>
      <c r="HD102" s="65"/>
      <c r="HE102" s="65"/>
      <c r="HF102" s="65"/>
      <c r="HG102" s="65"/>
      <c r="HH102" s="65"/>
      <c r="HI102" s="66"/>
      <c r="HJ102" s="66"/>
      <c r="HK102" s="63"/>
      <c r="HL102" s="64"/>
      <c r="HM102" s="64"/>
      <c r="HN102" s="64"/>
      <c r="HO102" s="64"/>
      <c r="HP102" s="64"/>
      <c r="HQ102" s="64"/>
      <c r="HR102" s="64"/>
      <c r="HS102" s="64"/>
      <c r="HT102" s="64"/>
      <c r="HU102" s="39"/>
    </row>
    <row r="103" spans="1:229" ht="24" x14ac:dyDescent="0.2">
      <c r="A103" s="92" t="s">
        <v>471</v>
      </c>
      <c r="B103" s="90" t="s">
        <v>520</v>
      </c>
      <c r="C103" s="91">
        <f t="shared" ref="C103:G103" si="35">C38+C48+C60+C66+C71</f>
        <v>47943</v>
      </c>
      <c r="D103" s="91">
        <f t="shared" si="35"/>
        <v>47645</v>
      </c>
      <c r="E103" s="91">
        <f t="shared" si="35"/>
        <v>47499</v>
      </c>
      <c r="F103" s="91">
        <f t="shared" si="35"/>
        <v>47639</v>
      </c>
      <c r="G103" s="91">
        <f t="shared" si="35"/>
        <v>47713</v>
      </c>
      <c r="H103" s="91">
        <f t="shared" ref="H103:L103" si="36">H38+H48+H60+H66+H71</f>
        <v>45590</v>
      </c>
      <c r="I103" s="91">
        <f t="shared" si="36"/>
        <v>330</v>
      </c>
      <c r="J103" s="91">
        <f t="shared" si="36"/>
        <v>590</v>
      </c>
      <c r="K103" s="91">
        <f t="shared" si="36"/>
        <v>562</v>
      </c>
      <c r="L103" s="91">
        <f t="shared" si="36"/>
        <v>1068</v>
      </c>
      <c r="M103" s="91">
        <f t="shared" ref="M103:P103" si="37">M38+M48+M60+M66+M71</f>
        <v>20097</v>
      </c>
      <c r="N103" s="91">
        <f t="shared" si="37"/>
        <v>20066</v>
      </c>
      <c r="O103" s="91">
        <f t="shared" si="37"/>
        <v>20024</v>
      </c>
      <c r="P103" s="91">
        <f t="shared" si="37"/>
        <v>19840</v>
      </c>
      <c r="Q103" s="46">
        <v>19911</v>
      </c>
      <c r="R103" s="105">
        <v>24.907683909706837</v>
      </c>
      <c r="S103" s="105">
        <v>25.217447537750186</v>
      </c>
      <c r="T103" s="105">
        <v>25.76780012508641</v>
      </c>
      <c r="U103" s="105">
        <v>26.603767316700441</v>
      </c>
      <c r="V103" s="105">
        <v>26.829591363666466</v>
      </c>
      <c r="W103" s="105">
        <v>29.037022765950613</v>
      </c>
      <c r="X103" s="105">
        <v>28.838878649723544</v>
      </c>
      <c r="Y103" s="105">
        <v>30.586918595082128</v>
      </c>
      <c r="Z103" s="105">
        <v>31.660077738281121</v>
      </c>
      <c r="AA103" s="105">
        <v>31.170938472746538</v>
      </c>
      <c r="AB103" s="105">
        <v>53.94470667565745</v>
      </c>
      <c r="AC103" s="105">
        <v>54.056326187473729</v>
      </c>
      <c r="AD103" s="105">
        <v>56.354718720168535</v>
      </c>
      <c r="AE103" s="105">
        <v>58.263845054981559</v>
      </c>
      <c r="AF103" s="105">
        <v>58.000529836413008</v>
      </c>
      <c r="AG103" s="108">
        <v>6.9836447772793102</v>
      </c>
      <c r="AH103" s="108">
        <v>6.3893487372758972</v>
      </c>
      <c r="AI103" s="108">
        <v>8.90633646928611</v>
      </c>
      <c r="AJ103" s="108">
        <v>7.7278958190541465</v>
      </c>
      <c r="AK103" s="45">
        <v>6.7612373953170399</v>
      </c>
      <c r="AL103" s="49">
        <v>846.75</v>
      </c>
      <c r="AM103" s="49">
        <v>950.5</v>
      </c>
      <c r="AN103" s="49">
        <v>1217.25</v>
      </c>
      <c r="AO103" s="49">
        <v>950.5</v>
      </c>
      <c r="AP103" s="49">
        <v>1618.25</v>
      </c>
      <c r="AQ103" s="49">
        <v>37759.729455748144</v>
      </c>
      <c r="AR103" s="49">
        <v>41834.870010646024</v>
      </c>
      <c r="AS103" s="49">
        <v>37281.51258198914</v>
      </c>
      <c r="AT103" s="49">
        <v>39306.073417708285</v>
      </c>
      <c r="AU103" s="49">
        <v>41418.732840106473</v>
      </c>
      <c r="AV103" s="55" t="s">
        <v>161</v>
      </c>
      <c r="AW103" s="55" t="s">
        <v>161</v>
      </c>
      <c r="AX103" s="55" t="s">
        <v>161</v>
      </c>
      <c r="AY103" s="55" t="s">
        <v>161</v>
      </c>
      <c r="AZ103" s="55" t="s">
        <v>161</v>
      </c>
      <c r="BA103" s="99">
        <v>9.9221997229031231</v>
      </c>
      <c r="BB103" s="99">
        <v>9.9011387274559848</v>
      </c>
      <c r="BC103" s="48">
        <v>10.358634347957119</v>
      </c>
      <c r="BD103" s="48">
        <v>9.9580712788259955</v>
      </c>
      <c r="BE103" s="48">
        <v>11.675548923470476</v>
      </c>
      <c r="BF103" s="48">
        <v>12.109623964308478</v>
      </c>
      <c r="BG103" s="99">
        <v>11.790556334735857</v>
      </c>
      <c r="BH103" s="48">
        <v>12.936622254231185</v>
      </c>
      <c r="BI103" s="48">
        <v>13.793103448275861</v>
      </c>
      <c r="BJ103" s="48">
        <v>15.314356655138779</v>
      </c>
      <c r="BK103" s="44">
        <v>8205</v>
      </c>
      <c r="BL103" s="44">
        <v>8088</v>
      </c>
      <c r="BM103" s="44">
        <v>8122</v>
      </c>
      <c r="BN103" s="44">
        <v>7997</v>
      </c>
      <c r="BO103" s="45">
        <v>36.819012797074954</v>
      </c>
      <c r="BP103" s="45">
        <v>40.393175074183979</v>
      </c>
      <c r="BQ103" s="45">
        <v>39.731593203644422</v>
      </c>
      <c r="BR103" s="108">
        <v>39.13967737901713</v>
      </c>
      <c r="BS103" s="110">
        <v>1.170018281535649</v>
      </c>
      <c r="BT103" s="110">
        <v>1.0385756676557865</v>
      </c>
      <c r="BU103" s="105">
        <v>0.9972913075597144</v>
      </c>
      <c r="BV103" s="105">
        <v>0.83781418031761912</v>
      </c>
      <c r="BW103" s="45">
        <v>15.636806825106643</v>
      </c>
      <c r="BX103" s="45">
        <v>15.677546983184966</v>
      </c>
      <c r="BY103" s="45">
        <v>15.882787490765821</v>
      </c>
      <c r="BZ103" s="45">
        <v>16.081030386394897</v>
      </c>
      <c r="CA103" s="44">
        <v>89.699570815450642</v>
      </c>
      <c r="CB103" s="44">
        <v>89.985052316890886</v>
      </c>
      <c r="CC103" s="44">
        <v>88.005997001499253</v>
      </c>
      <c r="CD103" s="44">
        <v>88.712011577424022</v>
      </c>
      <c r="CE103" s="45">
        <v>5.0071530758226039</v>
      </c>
      <c r="CF103" s="45">
        <v>3.5874439461883409</v>
      </c>
      <c r="CG103" s="45">
        <v>4.9475262368815596</v>
      </c>
      <c r="CH103" s="45">
        <v>3.6179450072358899</v>
      </c>
      <c r="CI103" s="48">
        <v>3262</v>
      </c>
      <c r="CJ103" s="44">
        <v>2997</v>
      </c>
      <c r="CK103" s="51">
        <v>2951</v>
      </c>
      <c r="CL103" s="57">
        <v>2941</v>
      </c>
      <c r="CM103" s="108">
        <v>13.107402749259645</v>
      </c>
      <c r="CN103" s="108">
        <v>12.110412044950358</v>
      </c>
      <c r="CO103" s="108">
        <v>12.03821552118008</v>
      </c>
      <c r="CP103" s="108">
        <v>12.334391605400123</v>
      </c>
      <c r="CQ103" s="60">
        <v>114</v>
      </c>
      <c r="CR103" s="60">
        <v>133</v>
      </c>
      <c r="CS103" s="60">
        <v>136</v>
      </c>
      <c r="CT103" s="60">
        <v>125</v>
      </c>
      <c r="CU103" s="108">
        <v>3.5781544256120528</v>
      </c>
      <c r="CV103" s="108">
        <v>4.533060668029993</v>
      </c>
      <c r="CW103" s="108">
        <v>4.7320807237299931</v>
      </c>
      <c r="CX103" s="108">
        <v>4.4091710758377429</v>
      </c>
      <c r="CY103" s="61">
        <v>203</v>
      </c>
      <c r="CZ103" s="57">
        <v>214</v>
      </c>
      <c r="DA103" s="60">
        <v>221</v>
      </c>
      <c r="DB103" s="60">
        <v>204</v>
      </c>
      <c r="DC103" s="108">
        <v>6.6404972194962379</v>
      </c>
      <c r="DD103" s="108">
        <v>7.5166842290129958</v>
      </c>
      <c r="DE103" s="108">
        <v>8.1399631675874762</v>
      </c>
      <c r="DF103" s="108">
        <v>8.0888183980967483</v>
      </c>
      <c r="DG103" s="108">
        <v>79.136914001862777</v>
      </c>
      <c r="DH103" s="108">
        <v>81.673979075261556</v>
      </c>
      <c r="DI103" s="108">
        <v>83.935328517371858</v>
      </c>
      <c r="DJ103" s="108">
        <v>85.09861212563915</v>
      </c>
      <c r="DK103" s="108">
        <v>14.058106841611997</v>
      </c>
      <c r="DL103" s="108">
        <v>16.951997314535078</v>
      </c>
      <c r="DM103" s="108">
        <v>15.771583956492183</v>
      </c>
      <c r="DN103" s="108">
        <v>19.993164730006836</v>
      </c>
      <c r="DO103" s="108">
        <v>21.925789635081262</v>
      </c>
      <c r="DP103" s="108">
        <v>25.859192525859193</v>
      </c>
      <c r="DQ103" s="108">
        <v>29.142663503896983</v>
      </c>
      <c r="DR103" s="108">
        <v>34.138048282896975</v>
      </c>
      <c r="DS103" s="108">
        <v>40.451552210724365</v>
      </c>
      <c r="DT103" s="108">
        <v>28.371021775544389</v>
      </c>
      <c r="DU103" s="108">
        <v>24.755198591704257</v>
      </c>
      <c r="DV103" s="108">
        <v>27.230046948356808</v>
      </c>
      <c r="DW103" s="62">
        <v>532</v>
      </c>
      <c r="DX103" s="62">
        <v>4</v>
      </c>
      <c r="DY103" s="57">
        <v>9</v>
      </c>
      <c r="DZ103" s="60">
        <v>11</v>
      </c>
      <c r="EA103" s="60">
        <v>27</v>
      </c>
      <c r="EB103" s="60">
        <v>21</v>
      </c>
      <c r="EC103" s="60">
        <v>22</v>
      </c>
      <c r="ED103" s="57">
        <v>21</v>
      </c>
      <c r="EE103" s="60">
        <v>14</v>
      </c>
      <c r="EF103" s="60">
        <v>2762</v>
      </c>
      <c r="EG103" s="60">
        <v>2559</v>
      </c>
      <c r="EH103" s="60">
        <v>2428</v>
      </c>
      <c r="EI103" s="60">
        <v>2296</v>
      </c>
      <c r="EJ103" s="116">
        <v>493</v>
      </c>
      <c r="EK103" s="116">
        <v>0</v>
      </c>
      <c r="EL103" s="116">
        <v>2</v>
      </c>
      <c r="EM103" s="116">
        <v>3</v>
      </c>
      <c r="EN103" s="116">
        <v>1</v>
      </c>
      <c r="EO103" s="108">
        <v>1109.8297484198388</v>
      </c>
      <c r="EP103" s="108">
        <v>1034.0521996338994</v>
      </c>
      <c r="EQ103" s="108">
        <v>990.47059591410482</v>
      </c>
      <c r="ER103" s="108">
        <v>962.92972206727927</v>
      </c>
      <c r="ES103" s="108">
        <v>851.09692346107443</v>
      </c>
      <c r="ET103" s="108">
        <v>780.70371429367856</v>
      </c>
      <c r="EU103" s="108">
        <v>708.39773976706624</v>
      </c>
      <c r="EV103" s="45">
        <v>671.50745506757369</v>
      </c>
      <c r="EW103" s="45">
        <v>1053.1681020863737</v>
      </c>
      <c r="EX103" s="45">
        <v>935.62091789475789</v>
      </c>
      <c r="EY103" s="45">
        <v>917.25209814197751</v>
      </c>
      <c r="EZ103" s="108">
        <v>839.35302658750811</v>
      </c>
      <c r="FA103" s="108">
        <v>678.73215096236333</v>
      </c>
      <c r="FB103" s="108">
        <v>642.47485135934562</v>
      </c>
      <c r="FC103" s="108">
        <v>535.21693130657934</v>
      </c>
      <c r="FD103" s="108">
        <v>534.69961798854354</v>
      </c>
      <c r="FE103" s="57">
        <v>584</v>
      </c>
      <c r="FF103" s="62">
        <v>555</v>
      </c>
      <c r="FG103" s="62">
        <v>518</v>
      </c>
      <c r="FH103" s="62">
        <v>537</v>
      </c>
      <c r="FI103" s="108">
        <v>186.43460965076392</v>
      </c>
      <c r="FJ103" s="108">
        <v>178.82436811316319</v>
      </c>
      <c r="FK103" s="108">
        <v>162.17559025640134</v>
      </c>
      <c r="FL103" s="108">
        <v>164.26055577437302</v>
      </c>
      <c r="FM103" s="62">
        <v>828</v>
      </c>
      <c r="FN103" s="62">
        <v>792</v>
      </c>
      <c r="FO103" s="57">
        <v>679</v>
      </c>
      <c r="FP103" s="62">
        <v>510</v>
      </c>
      <c r="FQ103" s="108">
        <v>248.83773842764398</v>
      </c>
      <c r="FR103" s="108">
        <v>237.36006813966264</v>
      </c>
      <c r="FS103" s="108">
        <v>189.83979624388792</v>
      </c>
      <c r="FT103" s="108">
        <v>142.42155224512101</v>
      </c>
      <c r="FU103" s="48">
        <v>256</v>
      </c>
      <c r="FV103" s="48">
        <v>229</v>
      </c>
      <c r="FW103" s="48">
        <v>181</v>
      </c>
      <c r="FX103" s="48">
        <v>126</v>
      </c>
      <c r="FY103" s="108">
        <v>73.778686903005195</v>
      </c>
      <c r="FZ103" s="45">
        <v>64.840945494542922</v>
      </c>
      <c r="GA103" s="45">
        <v>48.442416312212352</v>
      </c>
      <c r="GB103" s="45">
        <v>33.797190671333091</v>
      </c>
      <c r="GC103" s="75">
        <v>149</v>
      </c>
      <c r="GD103" s="64">
        <v>126</v>
      </c>
      <c r="GE103" s="75">
        <v>109</v>
      </c>
      <c r="GF103" s="75">
        <v>117</v>
      </c>
      <c r="GG103" s="81">
        <v>56.085052028578254</v>
      </c>
      <c r="GH103" s="81">
        <v>45.072079980600137</v>
      </c>
      <c r="GI103" s="112">
        <v>38.00234887848783</v>
      </c>
      <c r="GJ103" s="81">
        <v>42.202521012754694</v>
      </c>
      <c r="GK103" s="75"/>
      <c r="GL103" s="75"/>
      <c r="GM103" s="75"/>
      <c r="GN103" s="64"/>
      <c r="GO103" s="75"/>
      <c r="GP103" s="75"/>
      <c r="GQ103" s="75"/>
      <c r="GR103" s="75"/>
      <c r="GS103" s="64"/>
      <c r="GT103" s="75"/>
      <c r="GU103" s="75"/>
      <c r="GV103" s="75"/>
      <c r="GW103" s="75"/>
      <c r="GX103" s="64"/>
      <c r="GY103" s="64"/>
      <c r="GZ103" s="64"/>
      <c r="HA103" s="64"/>
      <c r="HB103" s="64"/>
      <c r="HC103" s="64"/>
      <c r="HD103" s="65"/>
      <c r="HE103" s="65"/>
      <c r="HF103" s="65"/>
      <c r="HG103" s="65"/>
      <c r="HH103" s="65"/>
      <c r="HI103" s="66"/>
      <c r="HJ103" s="66"/>
      <c r="HK103" s="63"/>
      <c r="HL103" s="64"/>
      <c r="HM103" s="64"/>
      <c r="HN103" s="64"/>
      <c r="HO103" s="64"/>
      <c r="HP103" s="64"/>
      <c r="HQ103" s="64"/>
      <c r="HR103" s="64"/>
      <c r="HS103" s="64"/>
      <c r="HT103" s="64"/>
      <c r="HU103" s="39"/>
    </row>
    <row r="104" spans="1:229" x14ac:dyDescent="0.2">
      <c r="A104" s="92" t="s">
        <v>472</v>
      </c>
      <c r="B104" s="90" t="s">
        <v>512</v>
      </c>
      <c r="C104" s="91">
        <f t="shared" ref="C104:G104" si="38">C36+C61</f>
        <v>44254</v>
      </c>
      <c r="D104" s="91">
        <f t="shared" si="38"/>
        <v>44388</v>
      </c>
      <c r="E104" s="91">
        <f t="shared" si="38"/>
        <v>44267</v>
      </c>
      <c r="F104" s="91">
        <f t="shared" si="38"/>
        <v>45989</v>
      </c>
      <c r="G104" s="91">
        <f t="shared" si="38"/>
        <v>45773</v>
      </c>
      <c r="H104" s="91">
        <f t="shared" ref="H104:L104" si="39">H36+H61</f>
        <v>43012</v>
      </c>
      <c r="I104" s="91">
        <f t="shared" si="39"/>
        <v>715</v>
      </c>
      <c r="J104" s="91">
        <f t="shared" si="39"/>
        <v>1031</v>
      </c>
      <c r="K104" s="91">
        <f t="shared" si="39"/>
        <v>218</v>
      </c>
      <c r="L104" s="91">
        <f t="shared" si="39"/>
        <v>973</v>
      </c>
      <c r="M104" s="91">
        <f t="shared" ref="M104:P104" si="40">M36+M61</f>
        <v>17564</v>
      </c>
      <c r="N104" s="91">
        <f t="shared" si="40"/>
        <v>17506</v>
      </c>
      <c r="O104" s="91">
        <f t="shared" si="40"/>
        <v>17441</v>
      </c>
      <c r="P104" s="91">
        <f t="shared" si="40"/>
        <v>17786</v>
      </c>
      <c r="Q104" s="46">
        <v>17788</v>
      </c>
      <c r="R104" s="105">
        <v>22.850579372318503</v>
      </c>
      <c r="S104" s="105">
        <v>23.163841807909606</v>
      </c>
      <c r="T104" s="105">
        <v>24.62251201098147</v>
      </c>
      <c r="U104" s="105">
        <v>25.127056306005084</v>
      </c>
      <c r="V104" s="105">
        <v>25.639648109596401</v>
      </c>
      <c r="W104" s="105">
        <v>26.651126651126653</v>
      </c>
      <c r="X104" s="105">
        <v>26.109765940274414</v>
      </c>
      <c r="Y104" s="105">
        <v>27.288949897048731</v>
      </c>
      <c r="Z104" s="105">
        <v>28.641166243145648</v>
      </c>
      <c r="AA104" s="105">
        <v>28.053858035054731</v>
      </c>
      <c r="AB104" s="105">
        <v>49.501706023445152</v>
      </c>
      <c r="AC104" s="105">
        <v>49.27360774818402</v>
      </c>
      <c r="AD104" s="105">
        <v>51.911461908030198</v>
      </c>
      <c r="AE104" s="105">
        <v>53.768222549150728</v>
      </c>
      <c r="AF104" s="105">
        <v>53.693506144651131</v>
      </c>
      <c r="AG104" s="108">
        <v>7.9791407079237624</v>
      </c>
      <c r="AH104" s="108">
        <v>9.0909090909090917</v>
      </c>
      <c r="AI104" s="108">
        <v>12.299042431696389</v>
      </c>
      <c r="AJ104" s="108">
        <v>10.951965065502183</v>
      </c>
      <c r="AK104" s="45">
        <v>9.9312385760292461</v>
      </c>
      <c r="AL104" s="49">
        <v>1305.6666666666667</v>
      </c>
      <c r="AM104" s="49">
        <v>1451.3333333333335</v>
      </c>
      <c r="AN104" s="49">
        <v>1850.25</v>
      </c>
      <c r="AO104" s="49">
        <v>1451.3333333333335</v>
      </c>
      <c r="AP104" s="49">
        <v>2654.083333333333</v>
      </c>
      <c r="AQ104" s="49">
        <v>28747.081984953304</v>
      </c>
      <c r="AR104" s="49">
        <v>28653.409173367931</v>
      </c>
      <c r="AS104" s="49">
        <v>28660.817897262521</v>
      </c>
      <c r="AT104" s="49">
        <v>29113.882389755683</v>
      </c>
      <c r="AU104" s="49">
        <v>29487.536320538307</v>
      </c>
      <c r="AV104" s="55" t="s">
        <v>161</v>
      </c>
      <c r="AW104" s="55" t="s">
        <v>161</v>
      </c>
      <c r="AX104" s="55" t="s">
        <v>161</v>
      </c>
      <c r="AY104" s="55" t="s">
        <v>161</v>
      </c>
      <c r="AZ104" s="55" t="s">
        <v>161</v>
      </c>
      <c r="BA104" s="99">
        <v>11.903643876784372</v>
      </c>
      <c r="BB104" s="99">
        <v>12.805999716994481</v>
      </c>
      <c r="BC104" s="48">
        <v>15.976387473032883</v>
      </c>
      <c r="BD104" s="48">
        <v>14.578676034490625</v>
      </c>
      <c r="BE104" s="48">
        <v>15.319626339408371</v>
      </c>
      <c r="BF104" s="48">
        <v>17.979166666666668</v>
      </c>
      <c r="BG104" s="99">
        <v>17.484531683379561</v>
      </c>
      <c r="BH104" s="48">
        <v>22.588063133688721</v>
      </c>
      <c r="BI104" s="48">
        <v>21.218074656188605</v>
      </c>
      <c r="BJ104" s="48">
        <v>23.259349346305868</v>
      </c>
      <c r="BK104" s="44">
        <v>6395</v>
      </c>
      <c r="BL104" s="44">
        <v>6337</v>
      </c>
      <c r="BM104" s="44">
        <v>6313</v>
      </c>
      <c r="BN104" s="44">
        <v>6220</v>
      </c>
      <c r="BO104" s="45">
        <v>44.268960125097735</v>
      </c>
      <c r="BP104" s="45">
        <v>44.579454000315607</v>
      </c>
      <c r="BQ104" s="45">
        <v>48.946618089656262</v>
      </c>
      <c r="BR104" s="108">
        <v>47.90996784565916</v>
      </c>
      <c r="BS104" s="110">
        <v>0.39093041438623927</v>
      </c>
      <c r="BT104" s="110">
        <v>0.41028878017989584</v>
      </c>
      <c r="BU104" s="105">
        <v>0.42768889592903531</v>
      </c>
      <c r="BV104" s="105">
        <v>0.43408360128617363</v>
      </c>
      <c r="BW104" s="45">
        <v>11.61845191555903</v>
      </c>
      <c r="BX104" s="45">
        <v>12.356004418494555</v>
      </c>
      <c r="BY104" s="45">
        <v>13.020750831617297</v>
      </c>
      <c r="BZ104" s="45">
        <v>13.778135048231512</v>
      </c>
      <c r="CA104" s="44">
        <v>80.560420315236428</v>
      </c>
      <c r="CB104" s="44">
        <v>80.265654648956357</v>
      </c>
      <c r="CC104" s="44">
        <v>83.55140186915888</v>
      </c>
      <c r="CD104" s="44">
        <v>82.897384305835004</v>
      </c>
      <c r="CE104" s="45">
        <v>7.7057793345008756</v>
      </c>
      <c r="CF104" s="45">
        <v>6.2618595825426944</v>
      </c>
      <c r="CG104" s="45">
        <v>5.981308411214953</v>
      </c>
      <c r="CH104" s="45">
        <v>7.2434607645875255</v>
      </c>
      <c r="CI104" s="48">
        <v>2092</v>
      </c>
      <c r="CJ104" s="44">
        <v>2290</v>
      </c>
      <c r="CK104" s="51">
        <v>2540</v>
      </c>
      <c r="CL104" s="57">
        <v>2458</v>
      </c>
      <c r="CM104" s="108">
        <v>11.619059256091397</v>
      </c>
      <c r="CN104" s="108">
        <v>11.530192488759321</v>
      </c>
      <c r="CO104" s="108">
        <v>11.546766678031595</v>
      </c>
      <c r="CP104" s="108">
        <v>10.940441801567626</v>
      </c>
      <c r="CQ104" s="60">
        <v>102</v>
      </c>
      <c r="CR104" s="60">
        <v>97</v>
      </c>
      <c r="CS104" s="60">
        <v>115</v>
      </c>
      <c r="CT104" s="60">
        <v>105</v>
      </c>
      <c r="CU104" s="108">
        <v>4.9877750611246947</v>
      </c>
      <c r="CV104" s="108">
        <v>4.363472784525416</v>
      </c>
      <c r="CW104" s="108">
        <v>4.6691027202598461</v>
      </c>
      <c r="CX104" s="108">
        <v>4.4025157232704402</v>
      </c>
      <c r="CY104" s="61">
        <v>138</v>
      </c>
      <c r="CZ104" s="57">
        <v>130</v>
      </c>
      <c r="DA104" s="60">
        <v>159</v>
      </c>
      <c r="DB104" s="60">
        <v>153</v>
      </c>
      <c r="DC104" s="108">
        <v>7.5204359673024523</v>
      </c>
      <c r="DD104" s="108">
        <v>6.4229249011857705</v>
      </c>
      <c r="DE104" s="108">
        <v>9.3529411764705888</v>
      </c>
      <c r="DF104" s="108">
        <v>8.5666293393057114</v>
      </c>
      <c r="DG104" s="108">
        <v>77.860326894502222</v>
      </c>
      <c r="DH104" s="108">
        <v>79.49298325033952</v>
      </c>
      <c r="DI104" s="108">
        <v>81.949458483754512</v>
      </c>
      <c r="DJ104" s="108">
        <v>81.599668462494819</v>
      </c>
      <c r="DK104" s="108">
        <v>24.662512980269991</v>
      </c>
      <c r="DL104" s="108">
        <v>26.607142857142858</v>
      </c>
      <c r="DM104" s="108">
        <v>25.079491255961845</v>
      </c>
      <c r="DN104" s="108">
        <v>27.157464212678935</v>
      </c>
      <c r="DO104" s="108">
        <v>32.600382409177818</v>
      </c>
      <c r="DP104" s="108">
        <v>36.637554585152841</v>
      </c>
      <c r="DQ104" s="108">
        <v>38.582677165354333</v>
      </c>
      <c r="DR104" s="108">
        <v>42.857142857142854</v>
      </c>
      <c r="DS104" s="108">
        <v>43.877712656423256</v>
      </c>
      <c r="DT104" s="108">
        <v>38.959358011907845</v>
      </c>
      <c r="DU104" s="108">
        <v>35.910543130990412</v>
      </c>
      <c r="DV104" s="108">
        <v>36.755015375604039</v>
      </c>
      <c r="DW104" s="62">
        <v>427</v>
      </c>
      <c r="DX104" s="62">
        <v>1</v>
      </c>
      <c r="DY104" s="57">
        <v>20</v>
      </c>
      <c r="DZ104" s="60">
        <v>1</v>
      </c>
      <c r="EA104" s="60">
        <v>11</v>
      </c>
      <c r="EB104" s="60">
        <v>22</v>
      </c>
      <c r="EC104" s="60">
        <v>12</v>
      </c>
      <c r="ED104" s="57">
        <v>17</v>
      </c>
      <c r="EE104" s="60">
        <v>14</v>
      </c>
      <c r="EF104" s="60">
        <v>1770</v>
      </c>
      <c r="EG104" s="60">
        <v>1835</v>
      </c>
      <c r="EH104" s="60">
        <v>1855</v>
      </c>
      <c r="EI104" s="60">
        <v>1934</v>
      </c>
      <c r="EJ104" s="116">
        <v>375</v>
      </c>
      <c r="EK104" s="116">
        <v>0</v>
      </c>
      <c r="EL104" s="116">
        <v>7</v>
      </c>
      <c r="EM104" s="116">
        <v>1</v>
      </c>
      <c r="EN104" s="116">
        <v>1</v>
      </c>
      <c r="EO104" s="108">
        <v>983.06572099817276</v>
      </c>
      <c r="EP104" s="108">
        <v>923.92590466695867</v>
      </c>
      <c r="EQ104" s="108">
        <v>843.27764518695301</v>
      </c>
      <c r="ER104" s="108">
        <v>860.81425729177329</v>
      </c>
      <c r="ES104" s="108">
        <v>853.0961652363892</v>
      </c>
      <c r="ET104" s="108">
        <v>812.61841896739156</v>
      </c>
      <c r="EU104" s="108">
        <v>726.15128736560052</v>
      </c>
      <c r="EV104" s="45">
        <v>702.13538347719896</v>
      </c>
      <c r="EW104" s="45">
        <v>1068.465739148075</v>
      </c>
      <c r="EX104" s="45">
        <v>986.20641974037903</v>
      </c>
      <c r="EY104" s="45">
        <v>886.07752262468227</v>
      </c>
      <c r="EZ104" s="108">
        <v>841.55205724581072</v>
      </c>
      <c r="FA104" s="108">
        <v>671.42849217292553</v>
      </c>
      <c r="FB104" s="108">
        <v>660.25537528474229</v>
      </c>
      <c r="FC104" s="108">
        <v>594.62788725437383</v>
      </c>
      <c r="FD104" s="108">
        <v>580.50976952815313</v>
      </c>
      <c r="FE104" s="57">
        <v>402</v>
      </c>
      <c r="FF104" s="62">
        <v>474</v>
      </c>
      <c r="FG104" s="62">
        <v>516</v>
      </c>
      <c r="FH104" s="62">
        <v>494</v>
      </c>
      <c r="FI104" s="108">
        <v>193.84121859446557</v>
      </c>
      <c r="FJ104" s="108">
        <v>208.49818108359614</v>
      </c>
      <c r="FK104" s="108">
        <v>201.62570440826332</v>
      </c>
      <c r="FL104" s="108">
        <v>174.34853025150008</v>
      </c>
      <c r="FM104" s="62">
        <v>522</v>
      </c>
      <c r="FN104" s="62">
        <v>477</v>
      </c>
      <c r="FO104" s="57">
        <v>451</v>
      </c>
      <c r="FP104" s="62">
        <v>395</v>
      </c>
      <c r="FQ104" s="108">
        <v>246.76004857061002</v>
      </c>
      <c r="FR104" s="108">
        <v>208.03097889720979</v>
      </c>
      <c r="FS104" s="108">
        <v>173.74761337905193</v>
      </c>
      <c r="FT104" s="108">
        <v>140.90659125668444</v>
      </c>
      <c r="FU104" s="48">
        <v>150</v>
      </c>
      <c r="FV104" s="48">
        <v>124</v>
      </c>
      <c r="FW104" s="48">
        <v>99</v>
      </c>
      <c r="FX104" s="48">
        <v>118</v>
      </c>
      <c r="FY104" s="108">
        <v>70.233907724933033</v>
      </c>
      <c r="FZ104" s="45">
        <v>54.200878193734795</v>
      </c>
      <c r="GA104" s="45">
        <v>37.801748482316029</v>
      </c>
      <c r="GB104" s="45">
        <v>42.293737238893364</v>
      </c>
      <c r="GC104" s="75">
        <v>96</v>
      </c>
      <c r="GD104" s="64">
        <v>118</v>
      </c>
      <c r="GE104" s="75">
        <v>122</v>
      </c>
      <c r="GF104" s="75">
        <v>112</v>
      </c>
      <c r="GG104" s="81">
        <v>52.356420184841845</v>
      </c>
      <c r="GH104" s="81">
        <v>56.95320377318145</v>
      </c>
      <c r="GI104" s="112">
        <v>51.936877521656847</v>
      </c>
      <c r="GJ104" s="81">
        <v>45.531562072601687</v>
      </c>
      <c r="GK104" s="75"/>
      <c r="GL104" s="75"/>
      <c r="GM104" s="75"/>
      <c r="GN104" s="64"/>
      <c r="GO104" s="75"/>
      <c r="GP104" s="75"/>
      <c r="GQ104" s="75"/>
      <c r="GR104" s="75"/>
      <c r="GS104" s="64"/>
      <c r="GT104" s="75"/>
      <c r="GU104" s="75"/>
      <c r="GV104" s="75"/>
      <c r="GW104" s="75"/>
      <c r="GX104" s="64"/>
      <c r="GY104" s="64"/>
      <c r="GZ104" s="64"/>
      <c r="HA104" s="64"/>
      <c r="HB104" s="64"/>
      <c r="HC104" s="64"/>
      <c r="HD104" s="65"/>
      <c r="HE104" s="65"/>
      <c r="HF104" s="65"/>
      <c r="HG104" s="65"/>
      <c r="HH104" s="65"/>
      <c r="HI104" s="66"/>
      <c r="HJ104" s="66"/>
      <c r="HK104" s="63"/>
      <c r="HL104" s="64"/>
      <c r="HM104" s="64"/>
      <c r="HN104" s="64"/>
      <c r="HO104" s="64"/>
      <c r="HP104" s="64"/>
      <c r="HQ104" s="64"/>
      <c r="HR104" s="64"/>
      <c r="HS104" s="64"/>
      <c r="HT104" s="64"/>
      <c r="HU104" s="39"/>
    </row>
    <row r="105" spans="1:229" x14ac:dyDescent="0.2">
      <c r="A105" s="92" t="s">
        <v>473</v>
      </c>
      <c r="B105" s="90" t="s">
        <v>513</v>
      </c>
      <c r="C105" s="91">
        <f>C37+C68</f>
        <v>56916</v>
      </c>
      <c r="D105" s="91">
        <f t="shared" ref="D105:G105" si="41">D37+D68</f>
        <v>56540</v>
      </c>
      <c r="E105" s="91">
        <f t="shared" si="41"/>
        <v>56841</v>
      </c>
      <c r="F105" s="91">
        <f t="shared" si="41"/>
        <v>57969</v>
      </c>
      <c r="G105" s="91">
        <f t="shared" si="41"/>
        <v>57673</v>
      </c>
      <c r="H105" s="91">
        <f t="shared" ref="H105:L105" si="42">H37+H68</f>
        <v>55284</v>
      </c>
      <c r="I105" s="91">
        <f t="shared" si="42"/>
        <v>1149</v>
      </c>
      <c r="J105" s="91">
        <f t="shared" si="42"/>
        <v>308</v>
      </c>
      <c r="K105" s="91">
        <f t="shared" si="42"/>
        <v>327</v>
      </c>
      <c r="L105" s="91">
        <f t="shared" si="42"/>
        <v>5776</v>
      </c>
      <c r="M105" s="91">
        <f t="shared" ref="M105:P105" si="43">M37+M68</f>
        <v>23653</v>
      </c>
      <c r="N105" s="91">
        <f t="shared" si="43"/>
        <v>23636</v>
      </c>
      <c r="O105" s="91">
        <f t="shared" si="43"/>
        <v>23579</v>
      </c>
      <c r="P105" s="91">
        <f t="shared" si="43"/>
        <v>23296</v>
      </c>
      <c r="Q105" s="46">
        <v>23285</v>
      </c>
      <c r="R105" s="105">
        <v>25.185992642049325</v>
      </c>
      <c r="S105" s="105">
        <v>25.505605627610464</v>
      </c>
      <c r="T105" s="105">
        <v>26.415616779731412</v>
      </c>
      <c r="U105" s="105">
        <v>26.830195854725233</v>
      </c>
      <c r="V105" s="105">
        <v>27.350310457069394</v>
      </c>
      <c r="W105" s="105">
        <v>29.919607575964029</v>
      </c>
      <c r="X105" s="105">
        <v>29.858210595735326</v>
      </c>
      <c r="Y105" s="105">
        <v>30.973279800636856</v>
      </c>
      <c r="Z105" s="105">
        <v>30.638633091570913</v>
      </c>
      <c r="AA105" s="105">
        <v>30.40291036406904</v>
      </c>
      <c r="AB105" s="105">
        <v>55.10560021801335</v>
      </c>
      <c r="AC105" s="105">
        <v>55.363816223345793</v>
      </c>
      <c r="AD105" s="105">
        <v>57.388896580368268</v>
      </c>
      <c r="AE105" s="105">
        <v>57.468828946296142</v>
      </c>
      <c r="AF105" s="105">
        <v>57.753220821138434</v>
      </c>
      <c r="AG105" s="108">
        <v>4.6059013110547893</v>
      </c>
      <c r="AH105" s="108">
        <v>5.1287593404557521</v>
      </c>
      <c r="AI105" s="108">
        <v>7.2744996496786181</v>
      </c>
      <c r="AJ105" s="108">
        <v>6.7040438983657404</v>
      </c>
      <c r="AK105" s="45">
        <v>6.1351715869923575</v>
      </c>
      <c r="AL105" s="49">
        <v>1557.5833333333333</v>
      </c>
      <c r="AM105" s="49">
        <v>1631</v>
      </c>
      <c r="AN105" s="49">
        <v>2111.9166666666665</v>
      </c>
      <c r="AO105" s="49">
        <v>1631</v>
      </c>
      <c r="AP105" s="49">
        <v>2873.75</v>
      </c>
      <c r="AQ105" s="49">
        <v>38673.160274285896</v>
      </c>
      <c r="AR105" s="49">
        <v>43108.381375838508</v>
      </c>
      <c r="AS105" s="49">
        <v>39949.048044299307</v>
      </c>
      <c r="AT105" s="49">
        <v>42366.841473512795</v>
      </c>
      <c r="AU105" s="49">
        <v>42786.26046850346</v>
      </c>
      <c r="AV105" s="55" t="s">
        <v>161</v>
      </c>
      <c r="AW105" s="55" t="s">
        <v>161</v>
      </c>
      <c r="AX105" s="55" t="s">
        <v>161</v>
      </c>
      <c r="AY105" s="55" t="s">
        <v>161</v>
      </c>
      <c r="AZ105" s="55" t="s">
        <v>161</v>
      </c>
      <c r="BA105" s="99">
        <v>10.58893089423611</v>
      </c>
      <c r="BB105" s="99">
        <v>10.751428416935527</v>
      </c>
      <c r="BC105" s="48">
        <v>11.106129622323445</v>
      </c>
      <c r="BD105" s="48">
        <v>13.708599957808874</v>
      </c>
      <c r="BE105" s="48">
        <v>12.249946985226551</v>
      </c>
      <c r="BF105" s="48">
        <v>13.865295783042766</v>
      </c>
      <c r="BG105" s="99">
        <v>14.121386408354775</v>
      </c>
      <c r="BH105" s="48">
        <v>16.623299382945508</v>
      </c>
      <c r="BI105" s="48">
        <v>20.91730883224659</v>
      </c>
      <c r="BJ105" s="48">
        <v>18.229994700582935</v>
      </c>
      <c r="BK105" s="44">
        <v>7707</v>
      </c>
      <c r="BL105" s="44">
        <v>7617</v>
      </c>
      <c r="BM105" s="44">
        <v>7383</v>
      </c>
      <c r="BN105" s="44">
        <v>7319</v>
      </c>
      <c r="BO105" s="45">
        <v>40.884909822239521</v>
      </c>
      <c r="BP105" s="45">
        <v>44.597610607850861</v>
      </c>
      <c r="BQ105" s="45">
        <v>44.588920493024517</v>
      </c>
      <c r="BR105" s="108">
        <v>46.235824566197564</v>
      </c>
      <c r="BS105" s="110">
        <v>10.860256909303232</v>
      </c>
      <c r="BT105" s="110">
        <v>11.526847840357096</v>
      </c>
      <c r="BU105" s="105">
        <v>10.75443586617906</v>
      </c>
      <c r="BV105" s="105">
        <v>10.862139636562372</v>
      </c>
      <c r="BW105" s="45">
        <v>12.897366030881017</v>
      </c>
      <c r="BX105" s="45">
        <v>13.233556518314296</v>
      </c>
      <c r="BY105" s="45">
        <v>13.625897331707979</v>
      </c>
      <c r="BZ105" s="45">
        <v>14.113949993168466</v>
      </c>
      <c r="CA105" s="44">
        <v>74.57180500658761</v>
      </c>
      <c r="CB105" s="44">
        <v>76.858345021037863</v>
      </c>
      <c r="CC105" s="44">
        <v>73.646723646723643</v>
      </c>
      <c r="CD105" s="44">
        <v>77.184466019417471</v>
      </c>
      <c r="CE105" s="45">
        <v>5.2700922266139658</v>
      </c>
      <c r="CF105" s="45">
        <v>3.9270687237026647</v>
      </c>
      <c r="CG105" s="45">
        <v>7.6923076923076925</v>
      </c>
      <c r="CH105" s="45">
        <v>9.2233009708737868</v>
      </c>
      <c r="CI105" s="48">
        <v>3739</v>
      </c>
      <c r="CJ105" s="44">
        <v>3624</v>
      </c>
      <c r="CK105" s="51">
        <v>3930</v>
      </c>
      <c r="CL105" s="57">
        <v>3814</v>
      </c>
      <c r="CM105" s="108">
        <v>12.94353861598643</v>
      </c>
      <c r="CN105" s="108">
        <v>12.481530847359556</v>
      </c>
      <c r="CO105" s="108">
        <v>13.581838351932042</v>
      </c>
      <c r="CP105" s="108">
        <v>13.338509262465072</v>
      </c>
      <c r="CQ105" s="60">
        <v>141</v>
      </c>
      <c r="CR105" s="60">
        <v>127</v>
      </c>
      <c r="CS105" s="60">
        <v>162</v>
      </c>
      <c r="CT105" s="60">
        <v>165</v>
      </c>
      <c r="CU105" s="108">
        <v>3.8514067194755532</v>
      </c>
      <c r="CV105" s="108">
        <v>3.5916289592760182</v>
      </c>
      <c r="CW105" s="108">
        <v>4.2209484106305366</v>
      </c>
      <c r="CX105" s="108">
        <v>4.4776119402985071</v>
      </c>
      <c r="CY105" s="61">
        <v>221</v>
      </c>
      <c r="CZ105" s="57">
        <v>214</v>
      </c>
      <c r="DA105" s="60">
        <v>267</v>
      </c>
      <c r="DB105" s="60">
        <v>246</v>
      </c>
      <c r="DC105" s="108">
        <v>6.2411748093758828</v>
      </c>
      <c r="DD105" s="108">
        <v>6.4129457596643693</v>
      </c>
      <c r="DE105" s="108">
        <v>7.3090610457158496</v>
      </c>
      <c r="DF105" s="108">
        <v>7.0145423438836616</v>
      </c>
      <c r="DG105" s="108">
        <v>80.200977729494838</v>
      </c>
      <c r="DH105" s="108">
        <v>82.700892857142861</v>
      </c>
      <c r="DI105" s="108">
        <v>84.86707566462168</v>
      </c>
      <c r="DJ105" s="108">
        <v>85.214417258616152</v>
      </c>
      <c r="DK105" s="108">
        <v>11.670293797606094</v>
      </c>
      <c r="DL105" s="108">
        <v>12.072322670375522</v>
      </c>
      <c r="DM105" s="108">
        <v>10.562659846547314</v>
      </c>
      <c r="DN105" s="108">
        <v>12.811761617222368</v>
      </c>
      <c r="DO105" s="108">
        <v>27.066060443968976</v>
      </c>
      <c r="DP105" s="108">
        <v>27.814569536423843</v>
      </c>
      <c r="DQ105" s="108">
        <v>34.308984474420974</v>
      </c>
      <c r="DR105" s="108">
        <v>38.814581694204037</v>
      </c>
      <c r="DS105" s="108">
        <v>42.681719152307387</v>
      </c>
      <c r="DT105" s="108">
        <v>37.561146051712086</v>
      </c>
      <c r="DU105" s="108">
        <v>41.558921315108975</v>
      </c>
      <c r="DV105" s="108">
        <v>39.337897210585467</v>
      </c>
      <c r="DW105" s="62">
        <v>666</v>
      </c>
      <c r="DX105" s="62">
        <v>53</v>
      </c>
      <c r="DY105" s="57">
        <v>6</v>
      </c>
      <c r="DZ105" s="60">
        <v>9</v>
      </c>
      <c r="EA105" s="60">
        <v>132</v>
      </c>
      <c r="EB105" s="60">
        <v>29</v>
      </c>
      <c r="EC105" s="60">
        <v>29</v>
      </c>
      <c r="ED105" s="57">
        <v>10</v>
      </c>
      <c r="EE105" s="60">
        <v>17</v>
      </c>
      <c r="EF105" s="60">
        <v>2919</v>
      </c>
      <c r="EG105" s="60">
        <v>2918</v>
      </c>
      <c r="EH105" s="60">
        <v>2844</v>
      </c>
      <c r="EI105" s="60">
        <v>2801</v>
      </c>
      <c r="EJ105" s="116">
        <v>565</v>
      </c>
      <c r="EK105" s="116">
        <v>0</v>
      </c>
      <c r="EL105" s="116">
        <v>1</v>
      </c>
      <c r="EM105" s="116">
        <v>2</v>
      </c>
      <c r="EN105" s="116">
        <v>7</v>
      </c>
      <c r="EO105" s="108">
        <v>1010.4891473673279</v>
      </c>
      <c r="EP105" s="108">
        <v>1004.9974341223838</v>
      </c>
      <c r="EQ105" s="108">
        <v>982.86891279630356</v>
      </c>
      <c r="ER105" s="108">
        <v>979.57956067552868</v>
      </c>
      <c r="ES105" s="108">
        <v>785.00338416374552</v>
      </c>
      <c r="ET105" s="108">
        <v>751.31894526254166</v>
      </c>
      <c r="EU105" s="108">
        <v>696.35989065273407</v>
      </c>
      <c r="EV105" s="45">
        <v>668.97789789064586</v>
      </c>
      <c r="EW105" s="45">
        <v>982.49304163784711</v>
      </c>
      <c r="EX105" s="45">
        <v>917.94318026212159</v>
      </c>
      <c r="EY105" s="45">
        <v>822.18396806387182</v>
      </c>
      <c r="EZ105" s="108">
        <v>795.80981215575821</v>
      </c>
      <c r="FA105" s="108">
        <v>635.68104936719465</v>
      </c>
      <c r="FB105" s="108">
        <v>617.65497394636145</v>
      </c>
      <c r="FC105" s="108">
        <v>592.37780084371366</v>
      </c>
      <c r="FD105" s="108">
        <v>563.25872396907243</v>
      </c>
      <c r="FE105" s="57">
        <v>647</v>
      </c>
      <c r="FF105" s="62">
        <v>649</v>
      </c>
      <c r="FG105" s="62">
        <v>644</v>
      </c>
      <c r="FH105" s="62">
        <v>633</v>
      </c>
      <c r="FI105" s="108">
        <v>183.86595318967349</v>
      </c>
      <c r="FJ105" s="108">
        <v>178.72647282035393</v>
      </c>
      <c r="FK105" s="108">
        <v>167.82775536456091</v>
      </c>
      <c r="FL105" s="108">
        <v>162.30070542766248</v>
      </c>
      <c r="FM105" s="62">
        <v>890</v>
      </c>
      <c r="FN105" s="62">
        <v>793</v>
      </c>
      <c r="FO105" s="57">
        <v>622</v>
      </c>
      <c r="FP105" s="62">
        <v>590</v>
      </c>
      <c r="FQ105" s="108">
        <v>228.30283365920081</v>
      </c>
      <c r="FR105" s="108">
        <v>197.84183122026189</v>
      </c>
      <c r="FS105" s="108">
        <v>147.64065007382098</v>
      </c>
      <c r="FT105" s="108">
        <v>131.32983082438327</v>
      </c>
      <c r="FU105" s="48">
        <v>272</v>
      </c>
      <c r="FV105" s="48">
        <v>256</v>
      </c>
      <c r="FW105" s="48">
        <v>239</v>
      </c>
      <c r="FX105" s="48">
        <v>178</v>
      </c>
      <c r="FY105" s="108">
        <v>68.130546244196054</v>
      </c>
      <c r="FZ105" s="45">
        <v>61.046774120843821</v>
      </c>
      <c r="GA105" s="45">
        <v>54.090855169346412</v>
      </c>
      <c r="GB105" s="45">
        <v>38.29966297081431</v>
      </c>
      <c r="GC105" s="75">
        <v>146</v>
      </c>
      <c r="GD105" s="64">
        <v>123</v>
      </c>
      <c r="GE105" s="75">
        <v>165</v>
      </c>
      <c r="GF105" s="75">
        <v>139</v>
      </c>
      <c r="GG105" s="81">
        <v>47.556281318797311</v>
      </c>
      <c r="GH105" s="81">
        <v>37.218335088911019</v>
      </c>
      <c r="GI105" s="112">
        <v>48.360192393508029</v>
      </c>
      <c r="GJ105" s="81">
        <v>40.204868859529036</v>
      </c>
      <c r="GK105" s="75"/>
      <c r="GL105" s="75"/>
      <c r="GM105" s="75"/>
      <c r="GN105" s="64"/>
      <c r="GO105" s="75"/>
      <c r="GP105" s="75"/>
      <c r="GQ105" s="75"/>
      <c r="GR105" s="75"/>
      <c r="GS105" s="64"/>
      <c r="GT105" s="75"/>
      <c r="GU105" s="75"/>
      <c r="GV105" s="75"/>
      <c r="GW105" s="75"/>
      <c r="GX105" s="64"/>
      <c r="GY105" s="64"/>
      <c r="GZ105" s="64"/>
      <c r="HA105" s="64"/>
      <c r="HB105" s="64"/>
      <c r="HC105" s="64"/>
      <c r="HD105" s="65"/>
      <c r="HE105" s="65"/>
      <c r="HF105" s="65"/>
      <c r="HG105" s="65"/>
      <c r="HH105" s="65"/>
      <c r="HI105" s="66"/>
      <c r="HJ105" s="66"/>
      <c r="HK105" s="63"/>
      <c r="HL105" s="64"/>
      <c r="HM105" s="64"/>
      <c r="HN105" s="64"/>
      <c r="HO105" s="64"/>
      <c r="HP105" s="64"/>
      <c r="HQ105" s="64"/>
      <c r="HR105" s="64"/>
      <c r="HS105" s="64"/>
      <c r="HT105" s="64"/>
      <c r="HU105" s="39"/>
    </row>
    <row r="106" spans="1:229" ht="24" x14ac:dyDescent="0.2">
      <c r="A106" s="92" t="s">
        <v>474</v>
      </c>
      <c r="B106" s="90" t="s">
        <v>521</v>
      </c>
      <c r="C106" s="91">
        <f>C44+C45+C54+C62+C67+C70</f>
        <v>73405</v>
      </c>
      <c r="D106" s="91">
        <f t="shared" ref="D106:G106" si="44">D44+D45+D54+D62+D67+D70</f>
        <v>73434</v>
      </c>
      <c r="E106" s="91">
        <f t="shared" si="44"/>
        <v>73513</v>
      </c>
      <c r="F106" s="91">
        <f t="shared" si="44"/>
        <v>75820</v>
      </c>
      <c r="G106" s="91">
        <f t="shared" si="44"/>
        <v>75428</v>
      </c>
      <c r="H106" s="91">
        <f t="shared" ref="H106:L106" si="45">H44+H45+H54+H62+H67+H70</f>
        <v>70721</v>
      </c>
      <c r="I106" s="91">
        <f t="shared" si="45"/>
        <v>946</v>
      </c>
      <c r="J106" s="91">
        <f t="shared" si="45"/>
        <v>1165</v>
      </c>
      <c r="K106" s="91">
        <f t="shared" si="45"/>
        <v>1497</v>
      </c>
      <c r="L106" s="91">
        <f t="shared" si="45"/>
        <v>2834</v>
      </c>
      <c r="M106" s="91">
        <f t="shared" ref="M106:P106" si="46">M44+M45+M54+M62+M67+M70</f>
        <v>30734</v>
      </c>
      <c r="N106" s="91">
        <f t="shared" si="46"/>
        <v>30709</v>
      </c>
      <c r="O106" s="91">
        <f t="shared" si="46"/>
        <v>30793</v>
      </c>
      <c r="P106" s="91">
        <f t="shared" si="46"/>
        <v>31070</v>
      </c>
      <c r="Q106" s="46">
        <v>31050</v>
      </c>
      <c r="R106" s="105">
        <v>29.931145333304372</v>
      </c>
      <c r="S106" s="105">
        <v>30.135376311321988</v>
      </c>
      <c r="T106" s="105">
        <v>30.410158842529093</v>
      </c>
      <c r="U106" s="105">
        <v>29.542975683825574</v>
      </c>
      <c r="V106" s="105">
        <v>29.641651798189987</v>
      </c>
      <c r="W106" s="105">
        <v>29.509763461413151</v>
      </c>
      <c r="X106" s="105">
        <v>29.691376833674312</v>
      </c>
      <c r="Y106" s="105">
        <v>32.222025574089642</v>
      </c>
      <c r="Z106" s="105">
        <v>32.607626339314358</v>
      </c>
      <c r="AA106" s="105">
        <v>32.502848298544677</v>
      </c>
      <c r="AB106" s="105">
        <v>59.440908794717522</v>
      </c>
      <c r="AC106" s="105">
        <v>59.826753144996303</v>
      </c>
      <c r="AD106" s="105">
        <v>62.632184416618735</v>
      </c>
      <c r="AE106" s="105">
        <v>62.150602023139932</v>
      </c>
      <c r="AF106" s="105">
        <v>62.144500096734667</v>
      </c>
      <c r="AG106" s="108">
        <v>4.0828103585082598</v>
      </c>
      <c r="AH106" s="108">
        <v>4.6409890632429862</v>
      </c>
      <c r="AI106" s="108">
        <v>6.2196623081032119</v>
      </c>
      <c r="AJ106" s="108">
        <v>5.7268022516796808</v>
      </c>
      <c r="AK106" s="45">
        <v>5.4001906750805828</v>
      </c>
      <c r="AL106" s="49">
        <v>1326.0833333333333</v>
      </c>
      <c r="AM106" s="49">
        <v>1403.5833333333333</v>
      </c>
      <c r="AN106" s="49">
        <v>1801.9166666666665</v>
      </c>
      <c r="AO106" s="49">
        <v>1403.5833333333333</v>
      </c>
      <c r="AP106" s="49">
        <v>2561.75</v>
      </c>
      <c r="AQ106" s="49">
        <v>37881.495434919656</v>
      </c>
      <c r="AR106" s="49">
        <v>41288.836873678389</v>
      </c>
      <c r="AS106" s="49">
        <v>39455.817924822361</v>
      </c>
      <c r="AT106" s="49">
        <v>41711.657271072574</v>
      </c>
      <c r="AU106" s="49">
        <v>43104.417457708012</v>
      </c>
      <c r="AV106" s="55" t="s">
        <v>161</v>
      </c>
      <c r="AW106" s="55" t="s">
        <v>161</v>
      </c>
      <c r="AX106" s="55" t="s">
        <v>161</v>
      </c>
      <c r="AY106" s="55" t="s">
        <v>161</v>
      </c>
      <c r="AZ106" s="55" t="s">
        <v>161</v>
      </c>
      <c r="BA106" s="99">
        <v>10.288135354644369</v>
      </c>
      <c r="BB106" s="99">
        <v>9.9638012873783399</v>
      </c>
      <c r="BC106" s="48">
        <v>10.501640221324285</v>
      </c>
      <c r="BD106" s="48">
        <v>10.421580588315033</v>
      </c>
      <c r="BE106" s="48">
        <v>11.163183564480532</v>
      </c>
      <c r="BF106" s="48">
        <v>12.163216321632163</v>
      </c>
      <c r="BG106" s="99">
        <v>11.989888046226074</v>
      </c>
      <c r="BH106" s="48">
        <v>13.140273564928748</v>
      </c>
      <c r="BI106" s="48">
        <v>14.159585034764374</v>
      </c>
      <c r="BJ106" s="48">
        <v>15.330583119634296</v>
      </c>
      <c r="BK106" s="44">
        <v>11704</v>
      </c>
      <c r="BL106" s="44">
        <v>11651</v>
      </c>
      <c r="BM106" s="44">
        <v>11650</v>
      </c>
      <c r="BN106" s="44">
        <v>11591</v>
      </c>
      <c r="BO106" s="45">
        <v>34.774436090225564</v>
      </c>
      <c r="BP106" s="45">
        <v>37.241438503132777</v>
      </c>
      <c r="BQ106" s="45">
        <v>38.660944206008587</v>
      </c>
      <c r="BR106" s="108">
        <v>38.831852299197656</v>
      </c>
      <c r="BS106" s="110">
        <v>4.4258373205741623</v>
      </c>
      <c r="BT106" s="110">
        <v>4.5146339370011157</v>
      </c>
      <c r="BU106" s="105">
        <v>5.1158798283261806</v>
      </c>
      <c r="BV106" s="105">
        <v>4.6156500733327581</v>
      </c>
      <c r="BW106" s="45">
        <v>15.447710184552291</v>
      </c>
      <c r="BX106" s="45">
        <v>15.792635825251052</v>
      </c>
      <c r="BY106" s="45">
        <v>16.583690987124463</v>
      </c>
      <c r="BZ106" s="45">
        <v>16.055560348546287</v>
      </c>
      <c r="CA106" s="44">
        <v>85.584768812330012</v>
      </c>
      <c r="CB106" s="44">
        <v>86.380597014925371</v>
      </c>
      <c r="CC106" s="44">
        <v>86.276391554702499</v>
      </c>
      <c r="CD106" s="44">
        <v>85.358565737051791</v>
      </c>
      <c r="CE106" s="45">
        <v>3.9891205802357206</v>
      </c>
      <c r="CF106" s="45">
        <v>2.3320895522388061</v>
      </c>
      <c r="CG106" s="45">
        <v>2.8790786948176583</v>
      </c>
      <c r="CH106" s="45">
        <v>5.2788844621513942</v>
      </c>
      <c r="CI106" s="48">
        <v>4867</v>
      </c>
      <c r="CJ106" s="44">
        <v>4554</v>
      </c>
      <c r="CK106" s="51">
        <v>4784</v>
      </c>
      <c r="CL106" s="57">
        <v>4872</v>
      </c>
      <c r="CM106" s="108">
        <v>12.386808443492026</v>
      </c>
      <c r="CN106" s="108">
        <v>11.843059951265055</v>
      </c>
      <c r="CO106" s="108">
        <v>12.744588744588745</v>
      </c>
      <c r="CP106" s="108">
        <v>13.11087190527449</v>
      </c>
      <c r="CQ106" s="60">
        <v>162</v>
      </c>
      <c r="CR106" s="60">
        <v>181</v>
      </c>
      <c r="CS106" s="60">
        <v>200</v>
      </c>
      <c r="CT106" s="60">
        <v>214</v>
      </c>
      <c r="CU106" s="108">
        <v>3.4220532319391634</v>
      </c>
      <c r="CV106" s="108">
        <v>4.0968764146672703</v>
      </c>
      <c r="CW106" s="108">
        <v>4.2983021706425966</v>
      </c>
      <c r="CX106" s="108">
        <v>4.5329379368777802</v>
      </c>
      <c r="CY106" s="61">
        <v>309</v>
      </c>
      <c r="CZ106" s="57">
        <v>356</v>
      </c>
      <c r="DA106" s="60">
        <v>367</v>
      </c>
      <c r="DB106" s="60">
        <v>409</v>
      </c>
      <c r="DC106" s="108">
        <v>7.1445086705202314</v>
      </c>
      <c r="DD106" s="108">
        <v>8.880019955101023</v>
      </c>
      <c r="DE106" s="108">
        <v>8.8369853118227795</v>
      </c>
      <c r="DF106" s="108">
        <v>9.4566473988439306</v>
      </c>
      <c r="DG106" s="108">
        <v>84.71128608923884</v>
      </c>
      <c r="DH106" s="108">
        <v>82.867132867132867</v>
      </c>
      <c r="DI106" s="108">
        <v>84.276065850569864</v>
      </c>
      <c r="DJ106" s="108">
        <v>83.833116036505871</v>
      </c>
      <c r="DK106" s="108">
        <v>11.365619546247819</v>
      </c>
      <c r="DL106" s="108">
        <v>13.186568823660219</v>
      </c>
      <c r="DM106" s="108">
        <v>13.418731625367492</v>
      </c>
      <c r="DN106" s="108">
        <v>14.720394736842104</v>
      </c>
      <c r="DO106" s="108">
        <v>18.491884117526197</v>
      </c>
      <c r="DP106" s="108">
        <v>22.676334871456824</v>
      </c>
      <c r="DQ106" s="108">
        <v>24.874581939799331</v>
      </c>
      <c r="DR106" s="108">
        <v>32.724286594128515</v>
      </c>
      <c r="DS106" s="108">
        <v>28.930014890448842</v>
      </c>
      <c r="DT106" s="108">
        <v>27.462491846053489</v>
      </c>
      <c r="DU106" s="108">
        <v>23.491838183108587</v>
      </c>
      <c r="DV106" s="108">
        <v>25.722723033882499</v>
      </c>
      <c r="DW106" s="62">
        <v>815</v>
      </c>
      <c r="DX106" s="62">
        <v>26</v>
      </c>
      <c r="DY106" s="57">
        <v>13</v>
      </c>
      <c r="DZ106" s="60">
        <v>46</v>
      </c>
      <c r="EA106" s="60">
        <v>64</v>
      </c>
      <c r="EB106" s="60">
        <v>21</v>
      </c>
      <c r="EC106" s="60">
        <v>25</v>
      </c>
      <c r="ED106" s="57">
        <v>24</v>
      </c>
      <c r="EE106" s="60">
        <v>20</v>
      </c>
      <c r="EF106" s="60">
        <v>4464</v>
      </c>
      <c r="EG106" s="60">
        <v>4467</v>
      </c>
      <c r="EH106" s="60">
        <v>4417</v>
      </c>
      <c r="EI106" s="60">
        <v>4182</v>
      </c>
      <c r="EJ106" s="116">
        <v>780</v>
      </c>
      <c r="EK106" s="116">
        <v>6</v>
      </c>
      <c r="EL106" s="116">
        <v>6</v>
      </c>
      <c r="EM106" s="116">
        <v>2</v>
      </c>
      <c r="EN106" s="116">
        <v>8</v>
      </c>
      <c r="EO106" s="108">
        <v>1136.114914562326</v>
      </c>
      <c r="EP106" s="108">
        <v>1161.6809135331796</v>
      </c>
      <c r="EQ106" s="108">
        <v>1176.6899766899767</v>
      </c>
      <c r="ER106" s="108">
        <v>1125.4036598493003</v>
      </c>
      <c r="ES106" s="108">
        <v>760.47790523847971</v>
      </c>
      <c r="ET106" s="108">
        <v>743.09348781261974</v>
      </c>
      <c r="EU106" s="108">
        <v>714.45633134358752</v>
      </c>
      <c r="EV106" s="45">
        <v>681.19476112037535</v>
      </c>
      <c r="EW106" s="45">
        <v>971.89603927350834</v>
      </c>
      <c r="EX106" s="45">
        <v>943.0904159967921</v>
      </c>
      <c r="EY106" s="45">
        <v>932.1757560178595</v>
      </c>
      <c r="EZ106" s="108">
        <v>856.52959751796232</v>
      </c>
      <c r="FA106" s="108">
        <v>601.23197794473901</v>
      </c>
      <c r="FB106" s="108">
        <v>591.01441312810766</v>
      </c>
      <c r="FC106" s="108">
        <v>550.79166181716914</v>
      </c>
      <c r="FD106" s="108">
        <v>549.21429937238804</v>
      </c>
      <c r="FE106" s="57">
        <v>1074</v>
      </c>
      <c r="FF106" s="62">
        <v>980</v>
      </c>
      <c r="FG106" s="62">
        <v>1023</v>
      </c>
      <c r="FH106" s="62">
        <v>963</v>
      </c>
      <c r="FI106" s="108">
        <v>196.08798928892119</v>
      </c>
      <c r="FJ106" s="108">
        <v>173.93241808444023</v>
      </c>
      <c r="FK106" s="108">
        <v>182.61047859378721</v>
      </c>
      <c r="FL106" s="108">
        <v>171.17338599793368</v>
      </c>
      <c r="FM106" s="62">
        <v>1461</v>
      </c>
      <c r="FN106" s="62">
        <v>1321</v>
      </c>
      <c r="FO106" s="57">
        <v>1074</v>
      </c>
      <c r="FP106" s="62">
        <v>940</v>
      </c>
      <c r="FQ106" s="108">
        <v>234.93927739082261</v>
      </c>
      <c r="FR106" s="108">
        <v>210.82420449521027</v>
      </c>
      <c r="FS106" s="108">
        <v>159.65632020410922</v>
      </c>
      <c r="FT106" s="108">
        <v>139.6623724938587</v>
      </c>
      <c r="FU106" s="48">
        <v>447</v>
      </c>
      <c r="FV106" s="48">
        <v>457</v>
      </c>
      <c r="FW106" s="48">
        <v>359</v>
      </c>
      <c r="FX106" s="48">
        <v>281</v>
      </c>
      <c r="FY106" s="108">
        <v>66.732029575074506</v>
      </c>
      <c r="FZ106" s="45">
        <v>68.107193051655116</v>
      </c>
      <c r="GA106" s="45">
        <v>50.913787866824578</v>
      </c>
      <c r="GB106" s="45">
        <v>41.090683059921616</v>
      </c>
      <c r="GC106" s="75">
        <v>198</v>
      </c>
      <c r="GD106" s="64">
        <v>187</v>
      </c>
      <c r="GE106" s="75">
        <v>210</v>
      </c>
      <c r="GF106" s="75">
        <v>200</v>
      </c>
      <c r="GG106" s="81">
        <v>45.746628696948228</v>
      </c>
      <c r="GH106" s="81">
        <v>42.198458494698528</v>
      </c>
      <c r="GI106" s="112">
        <v>44.22416426249962</v>
      </c>
      <c r="GJ106" s="81">
        <v>42.490013869604667</v>
      </c>
      <c r="GK106" s="75"/>
      <c r="GL106" s="75"/>
      <c r="GM106" s="75"/>
      <c r="GN106" s="64"/>
      <c r="GO106" s="75"/>
      <c r="GP106" s="75"/>
      <c r="GQ106" s="75"/>
      <c r="GR106" s="75"/>
      <c r="GS106" s="64"/>
      <c r="GT106" s="75"/>
      <c r="GU106" s="75"/>
      <c r="GV106" s="75"/>
      <c r="GW106" s="75"/>
      <c r="GX106" s="64"/>
      <c r="GY106" s="64"/>
      <c r="GZ106" s="64"/>
      <c r="HA106" s="64"/>
      <c r="HB106" s="64"/>
      <c r="HC106" s="64"/>
      <c r="HD106" s="65"/>
      <c r="HE106" s="65"/>
      <c r="HF106" s="65"/>
      <c r="HG106" s="65"/>
      <c r="HH106" s="65"/>
      <c r="HI106" s="66"/>
      <c r="HJ106" s="66"/>
      <c r="HK106" s="63"/>
      <c r="HL106" s="64"/>
      <c r="HM106" s="64"/>
      <c r="HN106" s="64"/>
      <c r="HO106" s="64"/>
      <c r="HP106" s="64"/>
      <c r="HQ106" s="64"/>
      <c r="HR106" s="64"/>
      <c r="HS106" s="64"/>
      <c r="HT106" s="64"/>
      <c r="HU106" s="39"/>
    </row>
    <row r="107" spans="1:229" x14ac:dyDescent="0.2">
      <c r="A107" s="92" t="s">
        <v>475</v>
      </c>
      <c r="B107" s="90" t="s">
        <v>514</v>
      </c>
      <c r="C107" s="91">
        <f t="shared" ref="C107:G107" si="47">C43+C84</f>
        <v>47562</v>
      </c>
      <c r="D107" s="91">
        <f t="shared" si="47"/>
        <v>47485</v>
      </c>
      <c r="E107" s="91">
        <f t="shared" si="47"/>
        <v>46830</v>
      </c>
      <c r="F107" s="91">
        <f t="shared" si="47"/>
        <v>46839</v>
      </c>
      <c r="G107" s="91">
        <f t="shared" si="47"/>
        <v>46929</v>
      </c>
      <c r="H107" s="91">
        <f t="shared" ref="H107:L107" si="48">H43+H84</f>
        <v>45259</v>
      </c>
      <c r="I107" s="91">
        <f t="shared" si="48"/>
        <v>569</v>
      </c>
      <c r="J107" s="91">
        <f t="shared" si="48"/>
        <v>268</v>
      </c>
      <c r="K107" s="91">
        <f t="shared" si="48"/>
        <v>340</v>
      </c>
      <c r="L107" s="91">
        <f t="shared" si="48"/>
        <v>2528</v>
      </c>
      <c r="M107" s="91">
        <f t="shared" ref="M107:P107" si="49">M43+M84</f>
        <v>18272</v>
      </c>
      <c r="N107" s="91">
        <f t="shared" si="49"/>
        <v>18336</v>
      </c>
      <c r="O107" s="91">
        <f t="shared" si="49"/>
        <v>18379</v>
      </c>
      <c r="P107" s="91">
        <f t="shared" si="49"/>
        <v>18039</v>
      </c>
      <c r="Q107" s="46">
        <v>18098</v>
      </c>
      <c r="R107" s="105">
        <v>20.653372397063919</v>
      </c>
      <c r="S107" s="105">
        <v>21.12818567001834</v>
      </c>
      <c r="T107" s="105">
        <v>22.139205662603224</v>
      </c>
      <c r="U107" s="105">
        <v>22.365216246461721</v>
      </c>
      <c r="V107" s="105">
        <v>22.526156974646593</v>
      </c>
      <c r="W107" s="105">
        <v>29.181236808115177</v>
      </c>
      <c r="X107" s="105">
        <v>29.017264276228421</v>
      </c>
      <c r="Y107" s="105">
        <v>31.32127408572552</v>
      </c>
      <c r="Z107" s="105">
        <v>31.80172470541768</v>
      </c>
      <c r="AA107" s="105">
        <v>31.394929318770703</v>
      </c>
      <c r="AB107" s="105">
        <v>49.834609205179092</v>
      </c>
      <c r="AC107" s="105">
        <v>50.145449946246757</v>
      </c>
      <c r="AD107" s="105">
        <v>53.460479748328744</v>
      </c>
      <c r="AE107" s="105">
        <v>54.166940951879404</v>
      </c>
      <c r="AF107" s="105">
        <v>53.921086293417297</v>
      </c>
      <c r="AG107" s="108">
        <v>5.6420312946848066</v>
      </c>
      <c r="AH107" s="108">
        <v>6.4651889855304825</v>
      </c>
      <c r="AI107" s="108">
        <v>9.9548234917842731</v>
      </c>
      <c r="AJ107" s="108">
        <v>8.7768924302788847</v>
      </c>
      <c r="AK107" s="45">
        <v>7.5951372114204254</v>
      </c>
      <c r="AL107" s="49">
        <v>799.83333333333337</v>
      </c>
      <c r="AM107" s="49">
        <v>886.33333333333326</v>
      </c>
      <c r="AN107" s="49">
        <v>1117.25</v>
      </c>
      <c r="AO107" s="49">
        <v>886.33333333333326</v>
      </c>
      <c r="AP107" s="49">
        <v>1584.0833333333335</v>
      </c>
      <c r="AQ107" s="49">
        <v>34796.18286766862</v>
      </c>
      <c r="AR107" s="49">
        <v>37156.602862763866</v>
      </c>
      <c r="AS107" s="49">
        <v>36052.657919290767</v>
      </c>
      <c r="AT107" s="49">
        <v>36674.991553227141</v>
      </c>
      <c r="AU107" s="49">
        <v>37833.940633723287</v>
      </c>
      <c r="AV107" s="55" t="s">
        <v>161</v>
      </c>
      <c r="AW107" s="55" t="s">
        <v>161</v>
      </c>
      <c r="AX107" s="55" t="s">
        <v>161</v>
      </c>
      <c r="AY107" s="55" t="s">
        <v>161</v>
      </c>
      <c r="AZ107" s="55" t="s">
        <v>161</v>
      </c>
      <c r="BA107" s="99">
        <v>7.854879248169599</v>
      </c>
      <c r="BB107" s="99">
        <v>8.14034934115484</v>
      </c>
      <c r="BC107" s="48">
        <v>8.4453983967760298</v>
      </c>
      <c r="BD107" s="48">
        <v>9.7634836427939877</v>
      </c>
      <c r="BE107" s="48">
        <v>9.3392167677881961</v>
      </c>
      <c r="BF107" s="48">
        <v>9.4789704959196488</v>
      </c>
      <c r="BG107" s="99">
        <v>10.082509747030556</v>
      </c>
      <c r="BH107" s="48">
        <v>11.470949622608391</v>
      </c>
      <c r="BI107" s="48">
        <v>12.959550758971659</v>
      </c>
      <c r="BJ107" s="48">
        <v>12.112103262311024</v>
      </c>
      <c r="BK107" s="44">
        <v>7984</v>
      </c>
      <c r="BL107" s="44">
        <v>7956</v>
      </c>
      <c r="BM107" s="44">
        <v>7920</v>
      </c>
      <c r="BN107" s="44">
        <v>7936</v>
      </c>
      <c r="BO107" s="45">
        <v>29.070641282565131</v>
      </c>
      <c r="BP107" s="45">
        <v>33.182503770739068</v>
      </c>
      <c r="BQ107" s="45">
        <v>33.825757575757578</v>
      </c>
      <c r="BR107" s="108">
        <v>36.479334677419352</v>
      </c>
      <c r="BS107" s="110">
        <v>3.0185370741482966</v>
      </c>
      <c r="BT107" s="110">
        <v>4.5500251382604322</v>
      </c>
      <c r="BU107" s="105">
        <v>3.9141414141414139</v>
      </c>
      <c r="BV107" s="105">
        <v>3.893649193548387</v>
      </c>
      <c r="BW107" s="45">
        <v>16.520541082164328</v>
      </c>
      <c r="BX107" s="45">
        <v>15.723981900452488</v>
      </c>
      <c r="BY107" s="45">
        <v>15.113636363636363</v>
      </c>
      <c r="BZ107" s="45">
        <v>15.385584677419354</v>
      </c>
      <c r="CA107" s="44">
        <v>82.783357245337157</v>
      </c>
      <c r="CB107" s="44">
        <v>79.563182527301095</v>
      </c>
      <c r="CC107" s="44">
        <v>85.779816513761475</v>
      </c>
      <c r="CD107" s="44">
        <v>86.83385579937304</v>
      </c>
      <c r="CE107" s="45">
        <v>5.0215208034433285</v>
      </c>
      <c r="CF107" s="45">
        <v>5.4602184087363499</v>
      </c>
      <c r="CG107" s="45">
        <v>2.90519877675841</v>
      </c>
      <c r="CH107" s="45">
        <v>3.761755485893417</v>
      </c>
      <c r="CI107" s="48">
        <v>2720</v>
      </c>
      <c r="CJ107" s="44">
        <v>2817</v>
      </c>
      <c r="CK107" s="51">
        <v>3037</v>
      </c>
      <c r="CL107" s="57">
        <v>2888</v>
      </c>
      <c r="CM107" s="108">
        <v>12.913823963689365</v>
      </c>
      <c r="CN107" s="108">
        <v>12.761504380679707</v>
      </c>
      <c r="CO107" s="108">
        <v>13.075919555324013</v>
      </c>
      <c r="CP107" s="108">
        <v>12.2557236521038</v>
      </c>
      <c r="CQ107" s="60">
        <v>103</v>
      </c>
      <c r="CR107" s="60">
        <v>102</v>
      </c>
      <c r="CS107" s="60">
        <v>136</v>
      </c>
      <c r="CT107" s="60">
        <v>123</v>
      </c>
      <c r="CU107" s="108">
        <v>3.9208222306813858</v>
      </c>
      <c r="CV107" s="108">
        <v>3.7294332723948811</v>
      </c>
      <c r="CW107" s="108">
        <v>4.6039268788083954</v>
      </c>
      <c r="CX107" s="108">
        <v>4.3834640057020673</v>
      </c>
      <c r="CY107" s="61">
        <v>164</v>
      </c>
      <c r="CZ107" s="57">
        <v>181</v>
      </c>
      <c r="DA107" s="60">
        <v>225</v>
      </c>
      <c r="DB107" s="60">
        <v>201</v>
      </c>
      <c r="DC107" s="108">
        <v>6.8907563025210088</v>
      </c>
      <c r="DD107" s="108">
        <v>7.1175776641761699</v>
      </c>
      <c r="DE107" s="108">
        <v>8.1967213114754092</v>
      </c>
      <c r="DF107" s="108">
        <v>7.4860335195530725</v>
      </c>
      <c r="DG107" s="108">
        <v>84.458940905602461</v>
      </c>
      <c r="DH107" s="108">
        <v>84.480179506357516</v>
      </c>
      <c r="DI107" s="108">
        <v>87.1118530884808</v>
      </c>
      <c r="DJ107" s="108">
        <v>88.093575418994419</v>
      </c>
      <c r="DK107" s="108">
        <v>11.750972762645915</v>
      </c>
      <c r="DL107" s="108">
        <v>15.154867256637168</v>
      </c>
      <c r="DM107" s="108">
        <v>12.637545848616206</v>
      </c>
      <c r="DN107" s="108">
        <v>12.664816099930604</v>
      </c>
      <c r="DO107" s="108">
        <v>21.523178807947019</v>
      </c>
      <c r="DP107" s="108">
        <v>25.807596734114306</v>
      </c>
      <c r="DQ107" s="108">
        <v>29.733289430358909</v>
      </c>
      <c r="DR107" s="108">
        <v>32.617728531855953</v>
      </c>
      <c r="DS107" s="108">
        <v>31.022158684774841</v>
      </c>
      <c r="DT107" s="108">
        <v>30.114606193611316</v>
      </c>
      <c r="DU107" s="108">
        <v>27.092404450895017</v>
      </c>
      <c r="DV107" s="108">
        <v>24.1578311636022</v>
      </c>
      <c r="DW107" s="62">
        <v>519</v>
      </c>
      <c r="DX107" s="62">
        <v>5</v>
      </c>
      <c r="DY107" s="57">
        <v>3</v>
      </c>
      <c r="DZ107" s="60">
        <v>3</v>
      </c>
      <c r="EA107" s="60">
        <v>37</v>
      </c>
      <c r="EB107" s="60">
        <v>13</v>
      </c>
      <c r="EC107" s="60">
        <v>12</v>
      </c>
      <c r="ED107" s="57">
        <v>11</v>
      </c>
      <c r="EE107" s="60">
        <v>10</v>
      </c>
      <c r="EF107" s="60">
        <v>1896</v>
      </c>
      <c r="EG107" s="60">
        <v>1967</v>
      </c>
      <c r="EH107" s="60">
        <v>1843</v>
      </c>
      <c r="EI107" s="60">
        <v>1804</v>
      </c>
      <c r="EJ107" s="116">
        <v>354</v>
      </c>
      <c r="EK107" s="116">
        <v>0</v>
      </c>
      <c r="EL107" s="116">
        <v>0</v>
      </c>
      <c r="EM107" s="116">
        <v>0</v>
      </c>
      <c r="EN107" s="116">
        <v>4</v>
      </c>
      <c r="EO107" s="108">
        <v>900.16949393952348</v>
      </c>
      <c r="EP107" s="108">
        <v>891.08552065307015</v>
      </c>
      <c r="EQ107" s="108">
        <v>793.51069280415402</v>
      </c>
      <c r="ER107" s="108">
        <v>765.55836109401855</v>
      </c>
      <c r="ES107" s="108">
        <v>749.86521839682075</v>
      </c>
      <c r="ET107" s="108">
        <v>738.31125580117805</v>
      </c>
      <c r="EU107" s="108">
        <v>654.44336340323014</v>
      </c>
      <c r="EV107" s="45">
        <v>614.98924299163241</v>
      </c>
      <c r="EW107" s="45">
        <v>932.21842998112402</v>
      </c>
      <c r="EX107" s="45">
        <v>909.53991041894778</v>
      </c>
      <c r="EY107" s="45">
        <v>806.77792178532422</v>
      </c>
      <c r="EZ107" s="108">
        <v>755.07463528323854</v>
      </c>
      <c r="FA107" s="108">
        <v>609.56266035888837</v>
      </c>
      <c r="FB107" s="108">
        <v>602.05552492798063</v>
      </c>
      <c r="FC107" s="108">
        <v>536.61290517923987</v>
      </c>
      <c r="FD107" s="108">
        <v>507.45637450045285</v>
      </c>
      <c r="FE107" s="57">
        <v>465</v>
      </c>
      <c r="FF107" s="62">
        <v>475</v>
      </c>
      <c r="FG107" s="62">
        <v>436</v>
      </c>
      <c r="FH107" s="62">
        <v>478</v>
      </c>
      <c r="FI107" s="108">
        <v>189.70611019680959</v>
      </c>
      <c r="FJ107" s="108">
        <v>187.32775855843619</v>
      </c>
      <c r="FK107" s="108">
        <v>165.51029509331235</v>
      </c>
      <c r="FL107" s="108">
        <v>169.20234539407912</v>
      </c>
      <c r="FM107" s="62">
        <v>605</v>
      </c>
      <c r="FN107" s="62">
        <v>542</v>
      </c>
      <c r="FO107" s="57">
        <v>466</v>
      </c>
      <c r="FP107" s="62">
        <v>426</v>
      </c>
      <c r="FQ107" s="108">
        <v>233.82727668421211</v>
      </c>
      <c r="FR107" s="108">
        <v>198.35498361482701</v>
      </c>
      <c r="FS107" s="108">
        <v>159.74475236648573</v>
      </c>
      <c r="FT107" s="108">
        <v>140.36993974477997</v>
      </c>
      <c r="FU107" s="48">
        <v>161</v>
      </c>
      <c r="FV107" s="48">
        <v>146</v>
      </c>
      <c r="FW107" s="48">
        <v>122</v>
      </c>
      <c r="FX107" s="48">
        <v>98</v>
      </c>
      <c r="FY107" s="108">
        <v>60.746200419751375</v>
      </c>
      <c r="FZ107" s="45">
        <v>51.018660594160046</v>
      </c>
      <c r="GA107" s="45">
        <v>39.828643147220333</v>
      </c>
      <c r="GB107" s="45">
        <v>31.486462071271333</v>
      </c>
      <c r="GC107" s="75">
        <v>86</v>
      </c>
      <c r="GD107" s="64">
        <v>100</v>
      </c>
      <c r="GE107" s="75">
        <v>89</v>
      </c>
      <c r="GF107" s="75">
        <v>75</v>
      </c>
      <c r="GG107" s="81">
        <v>38.594142575525559</v>
      </c>
      <c r="GH107" s="81">
        <v>42.118704382705914</v>
      </c>
      <c r="GI107" s="112">
        <v>34.859261601233165</v>
      </c>
      <c r="GJ107" s="81">
        <v>29.68127259888313</v>
      </c>
      <c r="GK107" s="75"/>
      <c r="GL107" s="75"/>
      <c r="GM107" s="75"/>
      <c r="GN107" s="64"/>
      <c r="GO107" s="75"/>
      <c r="GP107" s="75"/>
      <c r="GQ107" s="75"/>
      <c r="GR107" s="75"/>
      <c r="GS107" s="64"/>
      <c r="GT107" s="75"/>
      <c r="GU107" s="75"/>
      <c r="GV107" s="75"/>
      <c r="GW107" s="75"/>
      <c r="GX107" s="64"/>
      <c r="GY107" s="64"/>
      <c r="GZ107" s="64"/>
      <c r="HA107" s="64"/>
      <c r="HB107" s="64"/>
      <c r="HC107" s="64"/>
      <c r="HD107" s="65"/>
      <c r="HE107" s="65"/>
      <c r="HF107" s="65"/>
      <c r="HG107" s="65"/>
      <c r="HH107" s="65"/>
      <c r="HI107" s="66"/>
      <c r="HJ107" s="66"/>
      <c r="HK107" s="63"/>
      <c r="HL107" s="64"/>
      <c r="HM107" s="64"/>
      <c r="HN107" s="64"/>
      <c r="HO107" s="64"/>
      <c r="HP107" s="64"/>
      <c r="HQ107" s="64"/>
      <c r="HR107" s="64"/>
      <c r="HS107" s="64"/>
      <c r="HT107" s="64"/>
      <c r="HU107" s="39"/>
    </row>
    <row r="108" spans="1:229" x14ac:dyDescent="0.2">
      <c r="A108" s="92" t="s">
        <v>476</v>
      </c>
      <c r="B108" s="90" t="s">
        <v>515</v>
      </c>
      <c r="C108" s="91">
        <f t="shared" ref="C108:G108" si="50">C50+C46+C75</f>
        <v>75438</v>
      </c>
      <c r="D108" s="91">
        <f t="shared" si="50"/>
        <v>75262</v>
      </c>
      <c r="E108" s="91">
        <f t="shared" si="50"/>
        <v>75018</v>
      </c>
      <c r="F108" s="91">
        <f t="shared" si="50"/>
        <v>75177</v>
      </c>
      <c r="G108" s="91">
        <f t="shared" si="50"/>
        <v>74866</v>
      </c>
      <c r="H108" s="91">
        <f t="shared" ref="H108:L108" si="51">H50+H46+H75</f>
        <v>73122</v>
      </c>
      <c r="I108" s="91">
        <f t="shared" si="51"/>
        <v>387</v>
      </c>
      <c r="J108" s="91">
        <f t="shared" si="51"/>
        <v>207</v>
      </c>
      <c r="K108" s="91">
        <f t="shared" si="51"/>
        <v>480</v>
      </c>
      <c r="L108" s="91">
        <f t="shared" si="51"/>
        <v>3796</v>
      </c>
      <c r="M108" s="91">
        <f t="shared" ref="M108:P108" si="52">M50+M46+M75</f>
        <v>29942</v>
      </c>
      <c r="N108" s="91">
        <f t="shared" si="52"/>
        <v>29929</v>
      </c>
      <c r="O108" s="91">
        <f t="shared" si="52"/>
        <v>29894</v>
      </c>
      <c r="P108" s="91">
        <f t="shared" si="52"/>
        <v>29849</v>
      </c>
      <c r="Q108" s="46">
        <v>29848</v>
      </c>
      <c r="R108" s="105">
        <v>22.961171019722006</v>
      </c>
      <c r="S108" s="105">
        <v>23.305067303338411</v>
      </c>
      <c r="T108" s="105">
        <v>24.432736508469596</v>
      </c>
      <c r="U108" s="105">
        <v>25.133926688319907</v>
      </c>
      <c r="V108" s="105">
        <v>25.784710594917662</v>
      </c>
      <c r="W108" s="105">
        <v>31.694616425437697</v>
      </c>
      <c r="X108" s="105">
        <v>31.599637755732104</v>
      </c>
      <c r="Y108" s="105">
        <v>33.03247203039399</v>
      </c>
      <c r="Z108" s="105">
        <v>33.420508710507448</v>
      </c>
      <c r="AA108" s="105">
        <v>32.886844838183244</v>
      </c>
      <c r="AB108" s="105">
        <v>54.655787445159703</v>
      </c>
      <c r="AC108" s="105">
        <v>54.904705059070515</v>
      </c>
      <c r="AD108" s="105">
        <v>57.465208538863585</v>
      </c>
      <c r="AE108" s="105">
        <v>58.554435398827351</v>
      </c>
      <c r="AF108" s="105">
        <v>58.671555433100906</v>
      </c>
      <c r="AG108" s="108">
        <v>5.3657009368301907</v>
      </c>
      <c r="AH108" s="108">
        <v>6.1970820377900022</v>
      </c>
      <c r="AI108" s="108">
        <v>9.5235814031473804</v>
      </c>
      <c r="AJ108" s="108">
        <v>8.5646274696500839</v>
      </c>
      <c r="AK108" s="45">
        <v>7.6254084182202577</v>
      </c>
      <c r="AL108" s="49">
        <v>1084.25</v>
      </c>
      <c r="AM108" s="49">
        <v>1197.8333333333335</v>
      </c>
      <c r="AN108" s="49">
        <v>1628.6666666666667</v>
      </c>
      <c r="AO108" s="49">
        <v>1197.8333333333335</v>
      </c>
      <c r="AP108" s="49">
        <v>2334</v>
      </c>
      <c r="AQ108" s="49">
        <v>34930.26860113888</v>
      </c>
      <c r="AR108" s="49">
        <v>36535.206133867097</v>
      </c>
      <c r="AS108" s="49">
        <v>35046.091903843939</v>
      </c>
      <c r="AT108" s="49">
        <v>35931.87183004227</v>
      </c>
      <c r="AU108" s="49">
        <v>36607.846018219221</v>
      </c>
      <c r="AV108" s="55" t="s">
        <v>161</v>
      </c>
      <c r="AW108" s="55" t="s">
        <v>161</v>
      </c>
      <c r="AX108" s="55" t="s">
        <v>161</v>
      </c>
      <c r="AY108" s="55" t="s">
        <v>161</v>
      </c>
      <c r="AZ108" s="55" t="s">
        <v>161</v>
      </c>
      <c r="BA108" s="99">
        <v>7.7305624065014351</v>
      </c>
      <c r="BB108" s="99">
        <v>8.0084270800977766</v>
      </c>
      <c r="BC108" s="48">
        <v>8.878282917305059</v>
      </c>
      <c r="BD108" s="48">
        <v>8.9610757063364819</v>
      </c>
      <c r="BE108" s="48">
        <v>9.2538202292814322</v>
      </c>
      <c r="BF108" s="48">
        <v>9.9860260131140492</v>
      </c>
      <c r="BG108" s="99">
        <v>10.202857454466136</v>
      </c>
      <c r="BH108" s="48">
        <v>11.571841851494696</v>
      </c>
      <c r="BI108" s="48">
        <v>12.557941286163354</v>
      </c>
      <c r="BJ108" s="48">
        <v>12.880143112701253</v>
      </c>
      <c r="BK108" s="44">
        <v>13770</v>
      </c>
      <c r="BL108" s="44">
        <v>11198</v>
      </c>
      <c r="BM108" s="44">
        <v>11130</v>
      </c>
      <c r="BN108" s="44">
        <v>10987</v>
      </c>
      <c r="BO108" s="45">
        <v>33.783587509077705</v>
      </c>
      <c r="BP108" s="45">
        <v>36.854795499196285</v>
      </c>
      <c r="BQ108" s="45">
        <v>37.37646001796945</v>
      </c>
      <c r="BR108" s="108">
        <v>36.952762355511055</v>
      </c>
      <c r="BS108" s="110">
        <v>3.6310820624546114</v>
      </c>
      <c r="BT108" s="110">
        <v>4.29540989462404</v>
      </c>
      <c r="BU108" s="105">
        <v>4.0161725067385445</v>
      </c>
      <c r="BV108" s="105">
        <v>3.9046145444616367</v>
      </c>
      <c r="BW108" s="45">
        <v>13.035584604212055</v>
      </c>
      <c r="BX108" s="45">
        <v>13.939989283800678</v>
      </c>
      <c r="BY108" s="45">
        <v>14.061096136567835</v>
      </c>
      <c r="BZ108" s="45">
        <v>14.253208337125693</v>
      </c>
      <c r="CA108" s="44">
        <v>82.954545454545453</v>
      </c>
      <c r="CB108" s="44">
        <v>83.934088568486104</v>
      </c>
      <c r="CC108" s="44">
        <v>86.839266450916938</v>
      </c>
      <c r="CD108" s="44">
        <v>86.321839080459768</v>
      </c>
      <c r="CE108" s="45">
        <v>4.4421487603305785</v>
      </c>
      <c r="CF108" s="45">
        <v>3.6045314109165809</v>
      </c>
      <c r="CG108" s="45">
        <v>3.667745415318231</v>
      </c>
      <c r="CH108" s="45">
        <v>3.6781609195402298</v>
      </c>
      <c r="CI108" s="48">
        <v>4392</v>
      </c>
      <c r="CJ108" s="44">
        <v>4820</v>
      </c>
      <c r="CK108" s="51">
        <v>5191</v>
      </c>
      <c r="CL108" s="57">
        <v>4825</v>
      </c>
      <c r="CM108" s="108">
        <v>12.787813144194821</v>
      </c>
      <c r="CN108" s="108">
        <v>13.483762137484019</v>
      </c>
      <c r="CO108" s="108">
        <v>13.888517291752505</v>
      </c>
      <c r="CP108" s="108">
        <v>12.840608791226337</v>
      </c>
      <c r="CQ108" s="60">
        <v>161</v>
      </c>
      <c r="CR108" s="60">
        <v>180</v>
      </c>
      <c r="CS108" s="60">
        <v>200</v>
      </c>
      <c r="CT108" s="60">
        <v>205</v>
      </c>
      <c r="CU108" s="108">
        <v>3.7555400046652672</v>
      </c>
      <c r="CV108" s="108">
        <v>3.8610038610038608</v>
      </c>
      <c r="CW108" s="108">
        <v>3.9580447259054026</v>
      </c>
      <c r="CX108" s="108">
        <v>4.367277375372816</v>
      </c>
      <c r="CY108" s="61">
        <v>308</v>
      </c>
      <c r="CZ108" s="57">
        <v>319</v>
      </c>
      <c r="DA108" s="60">
        <v>374</v>
      </c>
      <c r="DB108" s="60">
        <v>336</v>
      </c>
      <c r="DC108" s="108">
        <v>7.6068164979007165</v>
      </c>
      <c r="DD108" s="108">
        <v>7.1733753091972119</v>
      </c>
      <c r="DE108" s="108">
        <v>8.0154307758251182</v>
      </c>
      <c r="DF108" s="108">
        <v>7.790401112914445</v>
      </c>
      <c r="DG108" s="108">
        <v>85.580524344569284</v>
      </c>
      <c r="DH108" s="108">
        <v>85.085106382978722</v>
      </c>
      <c r="DI108" s="108">
        <v>86.139770293945887</v>
      </c>
      <c r="DJ108" s="108">
        <v>87.053664648152008</v>
      </c>
      <c r="DK108" s="108">
        <v>12.217300069946374</v>
      </c>
      <c r="DL108" s="108">
        <v>12.315478700970054</v>
      </c>
      <c r="DM108" s="108">
        <v>12.776269872043427</v>
      </c>
      <c r="DN108" s="108">
        <v>13.040765391014975</v>
      </c>
      <c r="DO108" s="108">
        <v>20.200409929401047</v>
      </c>
      <c r="DP108" s="108">
        <v>22.826312512969494</v>
      </c>
      <c r="DQ108" s="108">
        <v>26.319845857418112</v>
      </c>
      <c r="DR108" s="108">
        <v>28.793532338308459</v>
      </c>
      <c r="DS108" s="108">
        <v>33.766005963865986</v>
      </c>
      <c r="DT108" s="108">
        <v>33.816788156609306</v>
      </c>
      <c r="DU108" s="108">
        <v>32.396767736674327</v>
      </c>
      <c r="DV108" s="108">
        <v>27.322868052609248</v>
      </c>
      <c r="DW108" s="62">
        <v>827</v>
      </c>
      <c r="DX108" s="62">
        <v>5</v>
      </c>
      <c r="DY108" s="57">
        <v>1</v>
      </c>
      <c r="DZ108" s="60">
        <v>6</v>
      </c>
      <c r="EA108" s="60">
        <v>70</v>
      </c>
      <c r="EB108" s="60">
        <v>24</v>
      </c>
      <c r="EC108" s="60">
        <v>26</v>
      </c>
      <c r="ED108" s="57">
        <v>23</v>
      </c>
      <c r="EE108" s="60">
        <v>16</v>
      </c>
      <c r="EF108" s="60">
        <v>3329</v>
      </c>
      <c r="EG108" s="60">
        <v>3382</v>
      </c>
      <c r="EH108" s="60">
        <v>3346</v>
      </c>
      <c r="EI108" s="60">
        <v>3190</v>
      </c>
      <c r="EJ108" s="116">
        <v>669</v>
      </c>
      <c r="EK108" s="116">
        <v>1</v>
      </c>
      <c r="EL108" s="116">
        <v>2</v>
      </c>
      <c r="EM108" s="116">
        <v>0</v>
      </c>
      <c r="EN108" s="116">
        <v>3</v>
      </c>
      <c r="EO108" s="108">
        <v>969.27663836576869</v>
      </c>
      <c r="EP108" s="108">
        <v>946.10131844338082</v>
      </c>
      <c r="EQ108" s="108">
        <v>895.22209320369643</v>
      </c>
      <c r="ER108" s="108">
        <v>848.94387655983462</v>
      </c>
      <c r="ES108" s="108">
        <v>768.57840847524403</v>
      </c>
      <c r="ET108" s="108">
        <v>744.51020604860901</v>
      </c>
      <c r="EU108" s="108">
        <v>688.5828170492041</v>
      </c>
      <c r="EV108" s="45">
        <v>634.48012370164804</v>
      </c>
      <c r="EW108" s="45">
        <v>992.31660899866097</v>
      </c>
      <c r="EX108" s="45">
        <v>917.69455528539538</v>
      </c>
      <c r="EY108" s="45">
        <v>863.68475573829073</v>
      </c>
      <c r="EZ108" s="108">
        <v>778.25310205367737</v>
      </c>
      <c r="FA108" s="108">
        <v>605.28030830782598</v>
      </c>
      <c r="FB108" s="108">
        <v>610.3206048613024</v>
      </c>
      <c r="FC108" s="108">
        <v>551.02721781376897</v>
      </c>
      <c r="FD108" s="108">
        <v>522.11033098030316</v>
      </c>
      <c r="FE108" s="57">
        <v>733</v>
      </c>
      <c r="FF108" s="57">
        <v>723</v>
      </c>
      <c r="FG108" s="57">
        <v>753</v>
      </c>
      <c r="FH108" s="57">
        <v>774</v>
      </c>
      <c r="FI108" s="108">
        <v>176.9836299977006</v>
      </c>
      <c r="FJ108" s="108">
        <v>169.24947695217432</v>
      </c>
      <c r="FK108" s="108">
        <v>168.79619772861582</v>
      </c>
      <c r="FL108" s="108">
        <v>163.31400119487859</v>
      </c>
      <c r="FM108" s="57">
        <v>1025</v>
      </c>
      <c r="FN108" s="57">
        <v>950</v>
      </c>
      <c r="FO108" s="57">
        <v>813</v>
      </c>
      <c r="FP108" s="57">
        <v>692</v>
      </c>
      <c r="FQ108" s="108">
        <v>231.18461799012502</v>
      </c>
      <c r="FR108" s="108">
        <v>202.0674636566126</v>
      </c>
      <c r="FS108" s="108">
        <v>158.23001696683269</v>
      </c>
      <c r="FT108" s="108">
        <v>128.65347505817357</v>
      </c>
      <c r="FU108" s="48">
        <v>345</v>
      </c>
      <c r="FV108" s="48">
        <v>331</v>
      </c>
      <c r="FW108" s="48">
        <v>271</v>
      </c>
      <c r="FX108" s="48">
        <v>193</v>
      </c>
      <c r="FY108" s="108">
        <v>74.495460798325865</v>
      </c>
      <c r="FZ108" s="45">
        <v>68.101608335703418</v>
      </c>
      <c r="GA108" s="45">
        <v>51.795680732901459</v>
      </c>
      <c r="GB108" s="45">
        <v>36.21470976487754</v>
      </c>
      <c r="GC108" s="75">
        <v>155</v>
      </c>
      <c r="GD108" s="64">
        <v>167</v>
      </c>
      <c r="GE108" s="75">
        <v>163</v>
      </c>
      <c r="GF108" s="75">
        <v>180</v>
      </c>
      <c r="GG108" s="81">
        <v>42.684994642662858</v>
      </c>
      <c r="GH108" s="81">
        <v>42.048377950276837</v>
      </c>
      <c r="GI108" s="112">
        <v>37.098438478486933</v>
      </c>
      <c r="GJ108" s="81">
        <v>38.987890051985801</v>
      </c>
      <c r="GK108" s="75"/>
      <c r="GL108" s="75"/>
      <c r="GM108" s="75"/>
      <c r="GN108" s="64"/>
      <c r="GO108" s="75"/>
      <c r="GP108" s="75"/>
      <c r="GQ108" s="75"/>
      <c r="GR108" s="75"/>
      <c r="GS108" s="64"/>
      <c r="GT108" s="75"/>
      <c r="GU108" s="75"/>
      <c r="GV108" s="75"/>
      <c r="GW108" s="75"/>
      <c r="GX108" s="64"/>
      <c r="GY108" s="64"/>
      <c r="GZ108" s="64"/>
      <c r="HA108" s="64"/>
      <c r="HB108" s="64"/>
      <c r="HC108" s="64"/>
      <c r="HD108" s="65"/>
      <c r="HE108" s="65"/>
      <c r="HF108" s="65"/>
      <c r="HG108" s="65"/>
      <c r="HH108" s="65"/>
      <c r="HI108" s="66"/>
      <c r="HJ108" s="66"/>
      <c r="HK108" s="63"/>
      <c r="HL108" s="64"/>
      <c r="HM108" s="64"/>
      <c r="HN108" s="64"/>
      <c r="HO108" s="64"/>
      <c r="HP108" s="64"/>
      <c r="HQ108" s="64"/>
      <c r="HR108" s="64"/>
      <c r="HS108" s="64"/>
      <c r="HT108" s="64"/>
      <c r="HU108" s="39"/>
    </row>
    <row r="109" spans="1:229" x14ac:dyDescent="0.2">
      <c r="A109" s="92" t="s">
        <v>477</v>
      </c>
      <c r="B109" s="90" t="s">
        <v>516</v>
      </c>
      <c r="C109" s="91">
        <f>C47+C57+C63</f>
        <v>42522</v>
      </c>
      <c r="D109" s="91">
        <f t="shared" ref="D109:G109" si="53">D47+D57+D63</f>
        <v>42427</v>
      </c>
      <c r="E109" s="91">
        <f t="shared" si="53"/>
        <v>42256</v>
      </c>
      <c r="F109" s="91">
        <f t="shared" si="53"/>
        <v>43865</v>
      </c>
      <c r="G109" s="91">
        <f t="shared" si="53"/>
        <v>43781</v>
      </c>
      <c r="H109" s="91">
        <f t="shared" ref="H109:L109" si="54">H47+H57+H63</f>
        <v>39141</v>
      </c>
      <c r="I109" s="91">
        <f t="shared" si="54"/>
        <v>333</v>
      </c>
      <c r="J109" s="91">
        <f t="shared" si="54"/>
        <v>2802</v>
      </c>
      <c r="K109" s="91">
        <f t="shared" si="54"/>
        <v>294</v>
      </c>
      <c r="L109" s="91">
        <f t="shared" si="54"/>
        <v>2170</v>
      </c>
      <c r="M109" s="91">
        <f t="shared" ref="M109:P109" si="55">M47+M57+M63</f>
        <v>17393</v>
      </c>
      <c r="N109" s="91">
        <f t="shared" si="55"/>
        <v>17434</v>
      </c>
      <c r="O109" s="91">
        <f t="shared" si="55"/>
        <v>17385</v>
      </c>
      <c r="P109" s="91">
        <f t="shared" si="55"/>
        <v>17586</v>
      </c>
      <c r="Q109" s="46">
        <v>17611</v>
      </c>
      <c r="R109" s="105">
        <v>27.650429799426934</v>
      </c>
      <c r="S109" s="105">
        <v>28.135517993860265</v>
      </c>
      <c r="T109" s="105">
        <v>28.131043112273918</v>
      </c>
      <c r="U109" s="105">
        <v>27.49416569428238</v>
      </c>
      <c r="V109" s="105">
        <v>27.135860692907674</v>
      </c>
      <c r="W109" s="105">
        <v>28.554110645801192</v>
      </c>
      <c r="X109" s="105">
        <v>28.786477789695603</v>
      </c>
      <c r="Y109" s="105">
        <v>32.093428885602698</v>
      </c>
      <c r="Z109" s="105">
        <v>32.456971995332559</v>
      </c>
      <c r="AA109" s="105">
        <v>31.692363504444042</v>
      </c>
      <c r="AB109" s="105">
        <v>56.204540445228126</v>
      </c>
      <c r="AC109" s="105">
        <v>56.921995783555865</v>
      </c>
      <c r="AD109" s="105">
        <v>60.224471997876613</v>
      </c>
      <c r="AE109" s="105">
        <v>59.951137689614939</v>
      </c>
      <c r="AF109" s="105">
        <v>58.828224197351716</v>
      </c>
      <c r="AG109" s="108">
        <v>4.967602591792657</v>
      </c>
      <c r="AH109" s="108">
        <v>5.2987352812908854</v>
      </c>
      <c r="AI109" s="108">
        <v>6.4087113712662473</v>
      </c>
      <c r="AJ109" s="108">
        <v>6.0392255680147828</v>
      </c>
      <c r="AK109" s="45">
        <v>6.2627916496111338</v>
      </c>
      <c r="AL109" s="49">
        <v>1629.1666666666667</v>
      </c>
      <c r="AM109" s="49">
        <v>1707.5833333333335</v>
      </c>
      <c r="AN109" s="49">
        <v>2008.25</v>
      </c>
      <c r="AO109" s="49">
        <v>1707.5833333333335</v>
      </c>
      <c r="AP109" s="49">
        <v>2724.9166666666665</v>
      </c>
      <c r="AQ109" s="49">
        <v>35664.948834417097</v>
      </c>
      <c r="AR109" s="49">
        <v>39194.303534482824</v>
      </c>
      <c r="AS109" s="49">
        <v>35873.582998897087</v>
      </c>
      <c r="AT109" s="49">
        <v>37577.704852373681</v>
      </c>
      <c r="AU109" s="49">
        <v>38372.832964071175</v>
      </c>
      <c r="AV109" s="55" t="s">
        <v>161</v>
      </c>
      <c r="AW109" s="55" t="s">
        <v>161</v>
      </c>
      <c r="AX109" s="55" t="s">
        <v>161</v>
      </c>
      <c r="AY109" s="55" t="s">
        <v>161</v>
      </c>
      <c r="AZ109" s="55" t="s">
        <v>161</v>
      </c>
      <c r="BA109" s="99">
        <v>15.722734684936841</v>
      </c>
      <c r="BB109" s="99">
        <v>13.320123293703215</v>
      </c>
      <c r="BC109" s="48">
        <v>13.405610049905352</v>
      </c>
      <c r="BD109" s="48">
        <v>12.964923424377162</v>
      </c>
      <c r="BE109" s="48">
        <v>15.427465420384271</v>
      </c>
      <c r="BF109" s="48">
        <v>18.177056050288108</v>
      </c>
      <c r="BG109" s="99">
        <v>18.310746927198235</v>
      </c>
      <c r="BH109" s="48">
        <v>19.859697658334156</v>
      </c>
      <c r="BI109" s="48">
        <v>18.634598996307169</v>
      </c>
      <c r="BJ109" s="48">
        <v>22.689800613496931</v>
      </c>
      <c r="BK109" s="44">
        <v>7606</v>
      </c>
      <c r="BL109" s="44">
        <v>7550</v>
      </c>
      <c r="BM109" s="44">
        <v>7495</v>
      </c>
      <c r="BN109" s="44">
        <v>7404</v>
      </c>
      <c r="BO109" s="45">
        <v>43.334209834341308</v>
      </c>
      <c r="BP109" s="45">
        <v>45.642384105960268</v>
      </c>
      <c r="BQ109" s="45">
        <v>45.416944629753168</v>
      </c>
      <c r="BR109" s="108">
        <v>44.813614262560776</v>
      </c>
      <c r="BS109" s="110">
        <v>1.6171443597160138</v>
      </c>
      <c r="BT109" s="110">
        <v>1.2715231788079471</v>
      </c>
      <c r="BU109" s="105">
        <v>1.0940627084723149</v>
      </c>
      <c r="BV109" s="105">
        <v>1.242571582928147</v>
      </c>
      <c r="BW109" s="45">
        <v>16.210886142519065</v>
      </c>
      <c r="BX109" s="45">
        <v>16.317880794701988</v>
      </c>
      <c r="BY109" s="45">
        <v>16.197464976651101</v>
      </c>
      <c r="BZ109" s="45">
        <v>16.207455429497568</v>
      </c>
      <c r="CA109" s="44">
        <v>78.825136612021865</v>
      </c>
      <c r="CB109" s="44">
        <v>81.034482758620683</v>
      </c>
      <c r="CC109" s="44">
        <v>79.468242245199406</v>
      </c>
      <c r="CD109" s="44">
        <v>78.929765886287626</v>
      </c>
      <c r="CE109" s="45">
        <v>6.9672131147540988</v>
      </c>
      <c r="CF109" s="45">
        <v>6.2695924764890281</v>
      </c>
      <c r="CG109" s="45">
        <v>6.7946824224519942</v>
      </c>
      <c r="CH109" s="45">
        <v>7.6923076923076925</v>
      </c>
      <c r="CI109" s="48">
        <v>2909</v>
      </c>
      <c r="CJ109" s="44">
        <v>2455</v>
      </c>
      <c r="CK109" s="51">
        <v>2710</v>
      </c>
      <c r="CL109" s="57">
        <v>2843</v>
      </c>
      <c r="CM109" s="108">
        <v>12.795137056194799</v>
      </c>
      <c r="CN109" s="108">
        <v>11.182319636699871</v>
      </c>
      <c r="CO109" s="108">
        <v>12.526752243028238</v>
      </c>
      <c r="CP109" s="108">
        <v>13.232426193036105</v>
      </c>
      <c r="CQ109" s="60">
        <v>105</v>
      </c>
      <c r="CR109" s="60">
        <v>91</v>
      </c>
      <c r="CS109" s="60">
        <v>132</v>
      </c>
      <c r="CT109" s="60">
        <v>124</v>
      </c>
      <c r="CU109" s="108">
        <v>3.6867977528089888</v>
      </c>
      <c r="CV109" s="108">
        <v>3.8251366120218577</v>
      </c>
      <c r="CW109" s="108">
        <v>5</v>
      </c>
      <c r="CX109" s="108">
        <v>4.5672191528545119</v>
      </c>
      <c r="CY109" s="61">
        <v>213</v>
      </c>
      <c r="CZ109" s="57">
        <v>180</v>
      </c>
      <c r="DA109" s="60">
        <v>244</v>
      </c>
      <c r="DB109" s="60">
        <v>204</v>
      </c>
      <c r="DC109" s="108">
        <v>7.7370141663639664</v>
      </c>
      <c r="DD109" s="108">
        <v>8.0142475512021374</v>
      </c>
      <c r="DE109" s="108">
        <v>10</v>
      </c>
      <c r="DF109" s="108">
        <v>9.1479820627802688</v>
      </c>
      <c r="DG109" s="108">
        <v>74.878556557945871</v>
      </c>
      <c r="DH109" s="108">
        <v>79.330301777594045</v>
      </c>
      <c r="DI109" s="108">
        <v>82.118707738542454</v>
      </c>
      <c r="DJ109" s="108">
        <v>75.495867768595048</v>
      </c>
      <c r="DK109" s="108">
        <v>20.181564245810055</v>
      </c>
      <c r="DL109" s="108">
        <v>18.845360824742269</v>
      </c>
      <c r="DM109" s="108">
        <v>17.614269788182831</v>
      </c>
      <c r="DN109" s="108">
        <v>21.382521489971346</v>
      </c>
      <c r="DO109" s="108">
        <v>29.666552079752492</v>
      </c>
      <c r="DP109" s="108">
        <v>32.653893192009782</v>
      </c>
      <c r="DQ109" s="108">
        <v>38.85608856088561</v>
      </c>
      <c r="DR109" s="108">
        <v>41.94229415904293</v>
      </c>
      <c r="DS109" s="108">
        <v>40.984646618449432</v>
      </c>
      <c r="DT109" s="108">
        <v>33.302604286702007</v>
      </c>
      <c r="DU109" s="108">
        <v>38.650306748466257</v>
      </c>
      <c r="DV109" s="108">
        <v>37.649219467401288</v>
      </c>
      <c r="DW109" s="62">
        <v>438</v>
      </c>
      <c r="DX109" s="62">
        <v>9</v>
      </c>
      <c r="DY109" s="57">
        <v>81</v>
      </c>
      <c r="DZ109" s="60">
        <v>6</v>
      </c>
      <c r="EA109" s="60">
        <v>33</v>
      </c>
      <c r="EB109" s="60">
        <v>24</v>
      </c>
      <c r="EC109" s="60">
        <v>16</v>
      </c>
      <c r="ED109" s="57">
        <v>12</v>
      </c>
      <c r="EE109" s="60">
        <v>18</v>
      </c>
      <c r="EF109" s="60">
        <v>2929</v>
      </c>
      <c r="EG109" s="60">
        <v>2572</v>
      </c>
      <c r="EH109" s="60">
        <v>2566</v>
      </c>
      <c r="EI109" s="60">
        <v>2578</v>
      </c>
      <c r="EJ109" s="116">
        <v>476</v>
      </c>
      <c r="EK109" s="116">
        <v>2</v>
      </c>
      <c r="EL109" s="116">
        <v>18</v>
      </c>
      <c r="EM109" s="116">
        <v>0</v>
      </c>
      <c r="EN109" s="116">
        <v>5</v>
      </c>
      <c r="EO109" s="108">
        <v>1288.3106372497273</v>
      </c>
      <c r="EP109" s="108">
        <v>1171.5244849528337</v>
      </c>
      <c r="EQ109" s="108">
        <v>1186.1124079561055</v>
      </c>
      <c r="ER109" s="108">
        <v>1199.90132696613</v>
      </c>
      <c r="ES109" s="108">
        <v>904.24999769898648</v>
      </c>
      <c r="ET109" s="108">
        <v>808.97721811802603</v>
      </c>
      <c r="EU109" s="108">
        <v>792.96057980458158</v>
      </c>
      <c r="EV109" s="45">
        <v>803.88018294322296</v>
      </c>
      <c r="EW109" s="45">
        <v>1162.379882492867</v>
      </c>
      <c r="EX109" s="45">
        <v>1028.7899224529781</v>
      </c>
      <c r="EY109" s="45">
        <v>1013.3185232662684</v>
      </c>
      <c r="EZ109" s="108">
        <v>1010.1498416648956</v>
      </c>
      <c r="FA109" s="108">
        <v>699.04012481817472</v>
      </c>
      <c r="FB109" s="108">
        <v>634.65517032913601</v>
      </c>
      <c r="FC109" s="108">
        <v>628.23092646507359</v>
      </c>
      <c r="FD109" s="108">
        <v>653.18045291199849</v>
      </c>
      <c r="FE109" s="57">
        <v>669</v>
      </c>
      <c r="FF109" s="62">
        <v>580</v>
      </c>
      <c r="FG109" s="62">
        <v>522</v>
      </c>
      <c r="FH109" s="62">
        <v>553</v>
      </c>
      <c r="FI109" s="108">
        <v>216.79076171226222</v>
      </c>
      <c r="FJ109" s="108">
        <v>197.59610146884219</v>
      </c>
      <c r="FK109" s="108">
        <v>174.21456160521348</v>
      </c>
      <c r="FL109" s="108">
        <v>184.22206285503583</v>
      </c>
      <c r="FM109" s="62">
        <v>893</v>
      </c>
      <c r="FN109" s="62">
        <v>656</v>
      </c>
      <c r="FO109" s="57">
        <v>569</v>
      </c>
      <c r="FP109" s="62">
        <v>496</v>
      </c>
      <c r="FQ109" s="108">
        <v>263.49031766746134</v>
      </c>
      <c r="FR109" s="108">
        <v>198.43163165022787</v>
      </c>
      <c r="FS109" s="108">
        <v>164.59598304836544</v>
      </c>
      <c r="FT109" s="108">
        <v>145.19086096780177</v>
      </c>
      <c r="FU109" s="48">
        <v>257</v>
      </c>
      <c r="FV109" s="48">
        <v>218</v>
      </c>
      <c r="FW109" s="48">
        <v>177</v>
      </c>
      <c r="FX109" s="48">
        <v>133</v>
      </c>
      <c r="FY109" s="108">
        <v>71.72692043233171</v>
      </c>
      <c r="FZ109" s="45">
        <v>61.974203303594663</v>
      </c>
      <c r="GA109" s="45">
        <v>48.865017808748554</v>
      </c>
      <c r="GB109" s="45">
        <v>35.618450042777198</v>
      </c>
      <c r="GC109" s="75">
        <v>134</v>
      </c>
      <c r="GD109" s="64">
        <v>97</v>
      </c>
      <c r="GE109" s="75">
        <v>103</v>
      </c>
      <c r="GF109" s="75">
        <v>140</v>
      </c>
      <c r="GG109" s="81">
        <v>53.777778597445895</v>
      </c>
      <c r="GH109" s="81">
        <v>37.611904627430228</v>
      </c>
      <c r="GI109" s="112">
        <v>42.433623311062817</v>
      </c>
      <c r="GJ109" s="81">
        <v>54.905189315426391</v>
      </c>
      <c r="GK109" s="75"/>
      <c r="GL109" s="75"/>
      <c r="GM109" s="75"/>
      <c r="GN109" s="64"/>
      <c r="GO109" s="75"/>
      <c r="GP109" s="75"/>
      <c r="GQ109" s="75"/>
      <c r="GR109" s="75"/>
      <c r="GS109" s="64"/>
      <c r="GT109" s="75"/>
      <c r="GU109" s="75"/>
      <c r="GV109" s="75"/>
      <c r="GW109" s="75"/>
      <c r="GX109" s="64"/>
      <c r="GY109" s="64"/>
      <c r="GZ109" s="64"/>
      <c r="HA109" s="64"/>
      <c r="HB109" s="64"/>
      <c r="HC109" s="64"/>
      <c r="HD109" s="65"/>
      <c r="HE109" s="65"/>
      <c r="HF109" s="65"/>
      <c r="HG109" s="65"/>
      <c r="HH109" s="65"/>
      <c r="HI109" s="66"/>
      <c r="HJ109" s="66"/>
      <c r="HK109" s="63"/>
      <c r="HL109" s="64"/>
      <c r="HM109" s="64"/>
      <c r="HN109" s="64"/>
      <c r="HO109" s="64"/>
      <c r="HP109" s="64"/>
      <c r="HQ109" s="64"/>
      <c r="HR109" s="64"/>
      <c r="HS109" s="64"/>
      <c r="HT109" s="64"/>
      <c r="HU109" s="39"/>
    </row>
    <row r="110" spans="1:229" x14ac:dyDescent="0.2">
      <c r="A110" s="92" t="s">
        <v>478</v>
      </c>
      <c r="B110" s="90" t="s">
        <v>517</v>
      </c>
      <c r="C110" s="91">
        <f t="shared" ref="C110:G110" si="56">C52+C80+C83</f>
        <v>70144</v>
      </c>
      <c r="D110" s="91">
        <f t="shared" si="56"/>
        <v>70121</v>
      </c>
      <c r="E110" s="91">
        <f t="shared" si="56"/>
        <v>70021</v>
      </c>
      <c r="F110" s="91">
        <f t="shared" si="56"/>
        <v>71936</v>
      </c>
      <c r="G110" s="91">
        <f t="shared" si="56"/>
        <v>71814</v>
      </c>
      <c r="H110" s="91">
        <f t="shared" ref="H110:L110" si="57">H52+H80+H83</f>
        <v>69901</v>
      </c>
      <c r="I110" s="91">
        <f t="shared" si="57"/>
        <v>388</v>
      </c>
      <c r="J110" s="91">
        <f t="shared" si="57"/>
        <v>276</v>
      </c>
      <c r="K110" s="91">
        <f t="shared" si="57"/>
        <v>355</v>
      </c>
      <c r="L110" s="91">
        <f t="shared" si="57"/>
        <v>1944</v>
      </c>
      <c r="M110" s="91">
        <f t="shared" ref="M110:P110" si="58">M52+M80+M83</f>
        <v>28258</v>
      </c>
      <c r="N110" s="91">
        <f t="shared" si="58"/>
        <v>28433</v>
      </c>
      <c r="O110" s="91">
        <f t="shared" si="58"/>
        <v>28509</v>
      </c>
      <c r="P110" s="91">
        <f t="shared" si="58"/>
        <v>28541</v>
      </c>
      <c r="Q110" s="46">
        <v>28582</v>
      </c>
      <c r="R110" s="105">
        <v>26.229033479607065</v>
      </c>
      <c r="S110" s="105">
        <v>26.65758806983078</v>
      </c>
      <c r="T110" s="105">
        <v>27.90979298999223</v>
      </c>
      <c r="U110" s="105">
        <v>28.019259061120771</v>
      </c>
      <c r="V110" s="105">
        <v>28.45528455284553</v>
      </c>
      <c r="W110" s="105">
        <v>30.018042902011448</v>
      </c>
      <c r="X110" s="105">
        <v>29.883466535696744</v>
      </c>
      <c r="Y110" s="105">
        <v>32.079696568112233</v>
      </c>
      <c r="Z110" s="105">
        <v>32.33025723329321</v>
      </c>
      <c r="AA110" s="105">
        <v>31.944072187974626</v>
      </c>
      <c r="AB110" s="105">
        <v>56.247076381618513</v>
      </c>
      <c r="AC110" s="105">
        <v>56.541054605527528</v>
      </c>
      <c r="AD110" s="105">
        <v>59.989489558104466</v>
      </c>
      <c r="AE110" s="105">
        <v>60.349516294413981</v>
      </c>
      <c r="AF110" s="105">
        <v>60.399356740820153</v>
      </c>
      <c r="AG110" s="108">
        <v>6.2165477252453165</v>
      </c>
      <c r="AH110" s="108">
        <v>7.2647115200306693</v>
      </c>
      <c r="AI110" s="108">
        <v>10.689866177135713</v>
      </c>
      <c r="AJ110" s="108">
        <v>9.0488282283235471</v>
      </c>
      <c r="AK110" s="45">
        <v>8.0031842908318964</v>
      </c>
      <c r="AL110" s="49">
        <v>1734.8333333333333</v>
      </c>
      <c r="AM110" s="49">
        <v>1919.6666666666665</v>
      </c>
      <c r="AN110" s="49">
        <v>2416.75</v>
      </c>
      <c r="AO110" s="49">
        <v>1919.6666666666665</v>
      </c>
      <c r="AP110" s="49">
        <v>3261.166666666667</v>
      </c>
      <c r="AQ110" s="49">
        <v>30097.964746075908</v>
      </c>
      <c r="AR110" s="49">
        <v>31315.084487460186</v>
      </c>
      <c r="AS110" s="49">
        <v>30469.812221838612</v>
      </c>
      <c r="AT110" s="49">
        <v>31295.751017543476</v>
      </c>
      <c r="AU110" s="49">
        <v>32221.029325758209</v>
      </c>
      <c r="AV110" s="55" t="s">
        <v>161</v>
      </c>
      <c r="AW110" s="55" t="s">
        <v>161</v>
      </c>
      <c r="AX110" s="55" t="s">
        <v>161</v>
      </c>
      <c r="AY110" s="55" t="s">
        <v>161</v>
      </c>
      <c r="AZ110" s="55" t="s">
        <v>161</v>
      </c>
      <c r="BA110" s="99">
        <v>12.297772058929837</v>
      </c>
      <c r="BB110" s="99">
        <v>14.046730863769122</v>
      </c>
      <c r="BC110" s="48">
        <v>14.505752456023416</v>
      </c>
      <c r="BD110" s="48">
        <v>15.231208157961639</v>
      </c>
      <c r="BE110" s="48">
        <v>14.854846924339313</v>
      </c>
      <c r="BF110" s="48">
        <v>16.397031991241942</v>
      </c>
      <c r="BG110" s="99">
        <v>17.796089041938259</v>
      </c>
      <c r="BH110" s="48">
        <v>18.998815165876778</v>
      </c>
      <c r="BI110" s="48">
        <v>21.906845529391443</v>
      </c>
      <c r="BJ110" s="48">
        <v>21.122323980633496</v>
      </c>
      <c r="BK110" s="44">
        <v>11953</v>
      </c>
      <c r="BL110" s="44">
        <v>11763</v>
      </c>
      <c r="BM110" s="44">
        <v>11697</v>
      </c>
      <c r="BN110" s="44">
        <v>11562</v>
      </c>
      <c r="BO110" s="45">
        <v>48.096712122479715</v>
      </c>
      <c r="BP110" s="45">
        <v>52.002040295842896</v>
      </c>
      <c r="BQ110" s="45">
        <v>50.252201419167307</v>
      </c>
      <c r="BR110" s="108">
        <v>50.060543158623076</v>
      </c>
      <c r="BS110" s="110">
        <v>1.9994980339663684</v>
      </c>
      <c r="BT110" s="110">
        <v>2.1083057043271274</v>
      </c>
      <c r="BU110" s="105">
        <v>2.197144566982987</v>
      </c>
      <c r="BV110" s="105">
        <v>2.3092890503373118</v>
      </c>
      <c r="BW110" s="45">
        <v>15.753367355475612</v>
      </c>
      <c r="BX110" s="45">
        <v>16.033324832100654</v>
      </c>
      <c r="BY110" s="45">
        <v>16.277678037103531</v>
      </c>
      <c r="BZ110" s="45">
        <v>16.381248918872167</v>
      </c>
      <c r="CA110" s="44">
        <v>78.87896019496344</v>
      </c>
      <c r="CB110" s="44">
        <v>77.435897435897431</v>
      </c>
      <c r="CC110" s="44">
        <v>77.479147358665429</v>
      </c>
      <c r="CD110" s="44">
        <v>79.944289693593319</v>
      </c>
      <c r="CE110" s="45">
        <v>3.6555645816409421</v>
      </c>
      <c r="CF110" s="45">
        <v>3.5897435897435899</v>
      </c>
      <c r="CG110" s="45">
        <v>5.3753475440222429</v>
      </c>
      <c r="CH110" s="45">
        <v>3.9925719591457751</v>
      </c>
      <c r="CI110" s="48">
        <v>4140</v>
      </c>
      <c r="CJ110" s="44">
        <v>4196</v>
      </c>
      <c r="CK110" s="51">
        <v>4535</v>
      </c>
      <c r="CL110" s="57">
        <v>4672</v>
      </c>
      <c r="CM110" s="108">
        <v>12.372464989510302</v>
      </c>
      <c r="CN110" s="108">
        <v>12.226249723190246</v>
      </c>
      <c r="CO110" s="108">
        <v>12.824247017337477</v>
      </c>
      <c r="CP110" s="108">
        <v>13.196398106407258</v>
      </c>
      <c r="CQ110" s="60">
        <v>166</v>
      </c>
      <c r="CR110" s="60">
        <v>163</v>
      </c>
      <c r="CS110" s="60">
        <v>233</v>
      </c>
      <c r="CT110" s="60">
        <v>195</v>
      </c>
      <c r="CU110" s="108">
        <v>4.0947212629501726</v>
      </c>
      <c r="CV110" s="108">
        <v>4.0039302382706952</v>
      </c>
      <c r="CW110" s="108">
        <v>5.2942513065212449</v>
      </c>
      <c r="CX110" s="108">
        <v>4.3227665706051877</v>
      </c>
      <c r="CY110" s="61">
        <v>265</v>
      </c>
      <c r="CZ110" s="57">
        <v>281</v>
      </c>
      <c r="DA110" s="60">
        <v>359</v>
      </c>
      <c r="DB110" s="60">
        <v>366</v>
      </c>
      <c r="DC110" s="108">
        <v>6.8777575914871525</v>
      </c>
      <c r="DD110" s="108">
        <v>7.2088250384812724</v>
      </c>
      <c r="DE110" s="108">
        <v>8.5293418864338317</v>
      </c>
      <c r="DF110" s="108">
        <v>8.5674157303370784</v>
      </c>
      <c r="DG110" s="108">
        <v>84.00594206486754</v>
      </c>
      <c r="DH110" s="108">
        <v>83.527980535279809</v>
      </c>
      <c r="DI110" s="108">
        <v>84.865470852017935</v>
      </c>
      <c r="DJ110" s="108">
        <v>82.124972784672323</v>
      </c>
      <c r="DK110" s="108">
        <v>22.840265813438346</v>
      </c>
      <c r="DL110" s="108">
        <v>21.858449687048626</v>
      </c>
      <c r="DM110" s="108">
        <v>19.778761061946902</v>
      </c>
      <c r="DN110" s="108">
        <v>19.077387367967233</v>
      </c>
      <c r="DO110" s="108">
        <v>23.888888888888889</v>
      </c>
      <c r="DP110" s="108">
        <v>27.955195424213535</v>
      </c>
      <c r="DQ110" s="108">
        <v>31.289966923925029</v>
      </c>
      <c r="DR110" s="108">
        <v>32.041952054794521</v>
      </c>
      <c r="DS110" s="108">
        <v>37.154625021451864</v>
      </c>
      <c r="DT110" s="108">
        <v>33.778822147158174</v>
      </c>
      <c r="DU110" s="108">
        <v>31.270890589021764</v>
      </c>
      <c r="DV110" s="108">
        <v>30.599125739264593</v>
      </c>
      <c r="DW110" s="62">
        <v>843</v>
      </c>
      <c r="DX110" s="62">
        <v>6</v>
      </c>
      <c r="DY110" s="57">
        <v>10</v>
      </c>
      <c r="DZ110" s="60">
        <v>6</v>
      </c>
      <c r="EA110" s="60">
        <v>41</v>
      </c>
      <c r="EB110" s="60">
        <v>31</v>
      </c>
      <c r="EC110" s="60">
        <v>19</v>
      </c>
      <c r="ED110" s="57">
        <v>28</v>
      </c>
      <c r="EE110" s="60">
        <v>28</v>
      </c>
      <c r="EF110" s="60">
        <v>3508</v>
      </c>
      <c r="EG110" s="60">
        <v>3525</v>
      </c>
      <c r="EH110" s="60">
        <v>3641</v>
      </c>
      <c r="EI110" s="60">
        <v>3370</v>
      </c>
      <c r="EJ110" s="116">
        <v>645</v>
      </c>
      <c r="EK110" s="116">
        <v>3</v>
      </c>
      <c r="EL110" s="116">
        <v>0</v>
      </c>
      <c r="EM110" s="116">
        <v>1</v>
      </c>
      <c r="EN110" s="116">
        <v>1</v>
      </c>
      <c r="EO110" s="108">
        <v>1048.3721541836264</v>
      </c>
      <c r="EP110" s="108">
        <v>1027.1098730754438</v>
      </c>
      <c r="EQ110" s="108">
        <v>1029.6159512706893</v>
      </c>
      <c r="ER110" s="108">
        <v>951.88059971302357</v>
      </c>
      <c r="ES110" s="108">
        <v>821.89874541312793</v>
      </c>
      <c r="ET110" s="108">
        <v>789.31031251165393</v>
      </c>
      <c r="EU110" s="108">
        <v>762.42012807362596</v>
      </c>
      <c r="EV110" s="45">
        <v>678.00291147192547</v>
      </c>
      <c r="EW110" s="45">
        <v>1011.8606776671645</v>
      </c>
      <c r="EX110" s="45">
        <v>964.74021534827943</v>
      </c>
      <c r="EY110" s="45">
        <v>950.73298273715511</v>
      </c>
      <c r="EZ110" s="108">
        <v>821.73996190151456</v>
      </c>
      <c r="FA110" s="108">
        <v>666.92300270813337</v>
      </c>
      <c r="FB110" s="108">
        <v>646.75521854425665</v>
      </c>
      <c r="FC110" s="108">
        <v>605.94545622759358</v>
      </c>
      <c r="FD110" s="108">
        <v>557.49601509941226</v>
      </c>
      <c r="FE110" s="57">
        <v>787</v>
      </c>
      <c r="FF110" s="62">
        <v>785</v>
      </c>
      <c r="FG110" s="62">
        <v>847</v>
      </c>
      <c r="FH110" s="62">
        <v>819</v>
      </c>
      <c r="FI110" s="108">
        <v>189.84597038501849</v>
      </c>
      <c r="FJ110" s="108">
        <v>182.79139400228135</v>
      </c>
      <c r="FK110" s="108">
        <v>185.79017187640619</v>
      </c>
      <c r="FL110" s="108">
        <v>170.986927644556</v>
      </c>
      <c r="FM110" s="62">
        <v>1045</v>
      </c>
      <c r="FN110" s="62">
        <v>916</v>
      </c>
      <c r="FO110" s="57">
        <v>893</v>
      </c>
      <c r="FP110" s="62">
        <v>719</v>
      </c>
      <c r="FQ110" s="108">
        <v>239.5487380039005</v>
      </c>
      <c r="FR110" s="108">
        <v>200.96517589147817</v>
      </c>
      <c r="FS110" s="108">
        <v>180.38700149253864</v>
      </c>
      <c r="FT110" s="108">
        <v>137.73252268107697</v>
      </c>
      <c r="FU110" s="48">
        <v>305</v>
      </c>
      <c r="FV110" s="48">
        <v>256</v>
      </c>
      <c r="FW110" s="48">
        <v>261</v>
      </c>
      <c r="FX110" s="48">
        <v>168</v>
      </c>
      <c r="FY110" s="108">
        <v>66.851845309707784</v>
      </c>
      <c r="FZ110" s="45">
        <v>54.252142736294665</v>
      </c>
      <c r="GA110" s="45">
        <v>50.875301205722778</v>
      </c>
      <c r="GB110" s="45">
        <v>31.66770225057148</v>
      </c>
      <c r="GC110" s="75">
        <v>156</v>
      </c>
      <c r="GD110" s="64">
        <v>161</v>
      </c>
      <c r="GE110" s="75">
        <v>174</v>
      </c>
      <c r="GF110" s="75">
        <v>169</v>
      </c>
      <c r="GG110" s="81">
        <v>43.352215719429083</v>
      </c>
      <c r="GH110" s="81">
        <v>43.330759355279625</v>
      </c>
      <c r="GI110" s="112">
        <v>44.517831245125052</v>
      </c>
      <c r="GJ110" s="81">
        <v>41.515139103211375</v>
      </c>
      <c r="GK110" s="75"/>
      <c r="GL110" s="75"/>
      <c r="GM110" s="75"/>
      <c r="GN110" s="64"/>
      <c r="GO110" s="75"/>
      <c r="GP110" s="75"/>
      <c r="GQ110" s="75"/>
      <c r="GR110" s="75"/>
      <c r="GS110" s="64"/>
      <c r="GT110" s="75"/>
      <c r="GU110" s="75"/>
      <c r="GV110" s="75"/>
      <c r="GW110" s="75"/>
      <c r="GX110" s="64"/>
      <c r="GY110" s="64"/>
      <c r="GZ110" s="64"/>
      <c r="HA110" s="64"/>
      <c r="HB110" s="64"/>
      <c r="HC110" s="64"/>
      <c r="HD110" s="65"/>
      <c r="HE110" s="65"/>
      <c r="HF110" s="65"/>
      <c r="HG110" s="65"/>
      <c r="HH110" s="65"/>
      <c r="HI110" s="66"/>
      <c r="HJ110" s="66"/>
      <c r="HK110" s="63"/>
      <c r="HL110" s="64"/>
      <c r="HM110" s="64"/>
      <c r="HN110" s="64"/>
      <c r="HO110" s="64"/>
      <c r="HP110" s="64"/>
      <c r="HQ110" s="64"/>
      <c r="HR110" s="64"/>
      <c r="HS110" s="64"/>
      <c r="HT110" s="64"/>
      <c r="HU110" s="39"/>
    </row>
    <row r="111" spans="1:229" x14ac:dyDescent="0.2">
      <c r="B111" s="90"/>
      <c r="C111" s="94"/>
      <c r="D111" s="94"/>
      <c r="E111" s="94"/>
      <c r="F111" s="94"/>
      <c r="G111" s="94"/>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s="76"/>
      <c r="CD111" s="76"/>
      <c r="CE111" s="76"/>
      <c r="CF111" s="76"/>
      <c r="CG111" s="76"/>
      <c r="CH111" s="76"/>
      <c r="CI111" s="76"/>
      <c r="CJ111" s="76"/>
      <c r="CK111" s="76"/>
      <c r="CL111" s="76"/>
      <c r="CM111" s="76"/>
      <c r="CN111" s="76"/>
      <c r="CO111" s="76"/>
      <c r="CP111" s="76" t="s">
        <v>192</v>
      </c>
      <c r="CQ111" s="76"/>
      <c r="CR111" s="76"/>
      <c r="CS111" s="76"/>
      <c r="CT111" s="76"/>
      <c r="CU111" s="76"/>
      <c r="CV111" s="76"/>
      <c r="CW111" s="76"/>
      <c r="CX111" s="76"/>
      <c r="CY111" s="76"/>
      <c r="CZ111" s="76"/>
      <c r="DA111" s="76"/>
      <c r="DB111" s="76"/>
      <c r="DC111" s="76"/>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c r="FA111" s="76"/>
      <c r="FB111" s="76"/>
      <c r="FC111" s="76"/>
      <c r="FD111" s="76"/>
      <c r="FE111" s="76"/>
      <c r="FF111" s="76"/>
      <c r="FG111" s="76"/>
      <c r="FH111" s="76"/>
      <c r="FI111" s="76"/>
      <c r="FJ111" s="76"/>
      <c r="FK111" s="76"/>
      <c r="FL111" s="76"/>
      <c r="FM111" s="76"/>
      <c r="FN111" s="76"/>
      <c r="FO111" s="76"/>
      <c r="FP111" s="76"/>
      <c r="FQ111" s="76"/>
      <c r="FR111" s="76"/>
      <c r="FS111" s="76"/>
      <c r="FT111" s="76"/>
      <c r="FU111" s="76"/>
      <c r="FV111" s="76"/>
      <c r="FW111" s="76"/>
      <c r="FX111" s="76"/>
      <c r="FY111" s="76"/>
      <c r="FZ111" s="76"/>
      <c r="GA111" s="76"/>
      <c r="GB111" s="76"/>
      <c r="GC111" s="77"/>
      <c r="GD111" s="77"/>
      <c r="GE111" s="77"/>
      <c r="GF111" s="77"/>
      <c r="GG111" s="77"/>
      <c r="GH111" s="77"/>
      <c r="GI111" s="77"/>
      <c r="GJ111" s="77"/>
      <c r="GK111" s="77"/>
      <c r="GL111" s="77"/>
      <c r="GM111" s="77"/>
      <c r="GN111" s="77"/>
      <c r="GO111" s="77"/>
      <c r="GP111" s="77"/>
      <c r="GQ111" s="77"/>
      <c r="GR111" s="77"/>
      <c r="GS111" s="77"/>
      <c r="GT111" s="77"/>
      <c r="GU111" s="77"/>
      <c r="GV111" s="77"/>
      <c r="GW111" s="77"/>
      <c r="GX111" s="77"/>
      <c r="GY111" s="77"/>
      <c r="GZ111" s="77"/>
      <c r="HA111" s="77"/>
      <c r="HB111" s="77"/>
      <c r="HC111" s="77"/>
      <c r="HD111" s="77"/>
      <c r="HE111" s="77"/>
      <c r="HF111" s="77"/>
      <c r="HG111" s="77"/>
      <c r="HH111" s="77"/>
      <c r="HI111" s="77"/>
      <c r="HJ111" s="77"/>
      <c r="HK111" s="77"/>
      <c r="HL111" s="77"/>
      <c r="HM111" s="77"/>
      <c r="HN111" s="77"/>
      <c r="HO111" s="77"/>
      <c r="HP111" s="77"/>
      <c r="HQ111" s="77"/>
      <c r="HR111" s="77"/>
      <c r="HS111" s="77"/>
      <c r="HT111" s="77"/>
      <c r="HU111" s="39"/>
    </row>
    <row r="112" spans="1:229" x14ac:dyDescent="0.2">
      <c r="C112" s="94"/>
      <c r="D112" s="94"/>
      <c r="E112" s="94"/>
      <c r="F112" s="94"/>
      <c r="G112" s="94"/>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c r="CH112" s="76"/>
      <c r="CI112" s="76"/>
      <c r="CJ112" s="76"/>
      <c r="CK112" s="76"/>
      <c r="CL112" s="76"/>
      <c r="CM112" s="76"/>
      <c r="CN112" s="76"/>
      <c r="CO112" s="76"/>
      <c r="CP112" s="76" t="s">
        <v>192</v>
      </c>
      <c r="CQ112" s="76"/>
      <c r="CR112" s="76"/>
      <c r="CS112" s="76"/>
      <c r="CT112" s="76"/>
      <c r="CU112" s="76"/>
      <c r="CV112" s="76"/>
      <c r="CW112" s="76"/>
      <c r="CX112" s="76"/>
      <c r="CY112" s="76"/>
      <c r="CZ112" s="76"/>
      <c r="DA112" s="76"/>
      <c r="DB112" s="76"/>
      <c r="DC112" s="76"/>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c r="FA112" s="76"/>
      <c r="FB112" s="76"/>
      <c r="FC112" s="76"/>
      <c r="FD112" s="76"/>
      <c r="FE112" s="76"/>
      <c r="FF112" s="76"/>
      <c r="FG112" s="76"/>
      <c r="FH112" s="76"/>
      <c r="FI112" s="76"/>
      <c r="FJ112" s="76"/>
      <c r="FK112" s="76"/>
      <c r="FL112" s="76"/>
      <c r="FM112" s="76"/>
      <c r="FN112" s="76"/>
      <c r="FO112" s="76"/>
      <c r="FP112" s="76"/>
      <c r="FQ112" s="76"/>
      <c r="FR112" s="76"/>
      <c r="FS112" s="76"/>
      <c r="FT112" s="76"/>
      <c r="FU112" s="76"/>
      <c r="FV112" s="76"/>
      <c r="FW112" s="76"/>
      <c r="FX112" s="76"/>
      <c r="FY112" s="76"/>
      <c r="FZ112" s="76"/>
      <c r="GA112" s="76"/>
      <c r="GB112" s="76"/>
      <c r="GC112" s="77"/>
      <c r="GD112" s="77"/>
      <c r="GE112" s="77"/>
      <c r="GF112" s="77"/>
      <c r="GG112" s="77"/>
      <c r="GH112" s="77"/>
      <c r="GI112" s="77"/>
      <c r="GJ112" s="77"/>
      <c r="GK112" s="77"/>
      <c r="GL112" s="77"/>
      <c r="GM112" s="77"/>
      <c r="GN112" s="77"/>
      <c r="GO112" s="77"/>
      <c r="GP112" s="77"/>
      <c r="GQ112" s="77"/>
      <c r="GR112" s="77"/>
      <c r="GS112" s="77"/>
      <c r="GT112" s="77"/>
      <c r="GU112" s="77"/>
      <c r="GV112" s="77"/>
      <c r="GW112" s="77"/>
      <c r="GX112" s="77"/>
      <c r="GY112" s="77"/>
      <c r="GZ112" s="77"/>
      <c r="HA112" s="77"/>
      <c r="HB112" s="77"/>
      <c r="HC112" s="77"/>
      <c r="HD112" s="77"/>
      <c r="HE112" s="77"/>
      <c r="HF112" s="77"/>
      <c r="HG112" s="77"/>
      <c r="HH112" s="77"/>
      <c r="HI112" s="77"/>
      <c r="HJ112" s="77"/>
      <c r="HK112" s="77"/>
      <c r="HL112" s="77"/>
      <c r="HM112" s="77"/>
      <c r="HN112" s="77"/>
      <c r="HO112" s="77"/>
      <c r="HP112" s="77"/>
      <c r="HQ112" s="77"/>
      <c r="HR112" s="77"/>
      <c r="HS112" s="77"/>
      <c r="HT112" s="77"/>
    </row>
    <row r="113" spans="1:230" x14ac:dyDescent="0.2">
      <c r="HI113" s="78"/>
      <c r="HJ113" s="78"/>
      <c r="HK113" s="78"/>
      <c r="HL113" s="78"/>
    </row>
    <row r="114" spans="1:230" x14ac:dyDescent="0.2">
      <c r="C114" s="95">
        <v>48804</v>
      </c>
      <c r="D114" s="95">
        <v>48388</v>
      </c>
      <c r="E114" s="95">
        <v>48465</v>
      </c>
      <c r="F114" s="95">
        <v>48566</v>
      </c>
      <c r="G114" s="96">
        <v>50074</v>
      </c>
      <c r="H114" s="79">
        <v>20228</v>
      </c>
      <c r="I114" s="79">
        <v>20252</v>
      </c>
      <c r="J114" s="79">
        <v>20248</v>
      </c>
      <c r="K114" s="79">
        <v>20327</v>
      </c>
      <c r="L114" s="50">
        <v>20572</v>
      </c>
      <c r="M114" s="44">
        <v>29.114664586583462</v>
      </c>
      <c r="N114" s="44">
        <v>29.245807316355553</v>
      </c>
      <c r="O114" s="44">
        <v>29.442702208284334</v>
      </c>
      <c r="P114" s="44">
        <v>29.320997852304643</v>
      </c>
      <c r="Q114" s="45">
        <v>28.076825073257741</v>
      </c>
      <c r="R114" s="48">
        <v>29.504680187207487</v>
      </c>
      <c r="S114" s="48">
        <v>28.941776455588609</v>
      </c>
      <c r="T114" s="48">
        <v>28.877564353848165</v>
      </c>
      <c r="U114" s="48">
        <v>31.148190979679498</v>
      </c>
      <c r="V114" s="44">
        <v>31.414829914638808</v>
      </c>
      <c r="W114" s="48">
        <v>58.619344773790949</v>
      </c>
      <c r="X114" s="48">
        <v>58.187583771944162</v>
      </c>
      <c r="Y114" s="48">
        <v>58.320266562132495</v>
      </c>
      <c r="Z114" s="48">
        <v>60.469188831984141</v>
      </c>
      <c r="AA114" s="44">
        <v>59.491654987896545</v>
      </c>
      <c r="AB114" s="48">
        <v>3.478321483340304</v>
      </c>
      <c r="AC114" s="48">
        <v>4.004347978540622</v>
      </c>
      <c r="AD114" s="48">
        <v>4.5796521258972946</v>
      </c>
      <c r="AE114" s="48">
        <v>6.1145720476706389</v>
      </c>
      <c r="AF114" s="44">
        <v>5.5395268320830926</v>
      </c>
      <c r="AG114" s="79">
        <v>885.33333333333326</v>
      </c>
      <c r="AH114" s="79">
        <v>920.91666666666663</v>
      </c>
      <c r="AI114" s="79">
        <v>969.75</v>
      </c>
      <c r="AJ114" s="79">
        <v>1244.5</v>
      </c>
      <c r="AK114" s="48">
        <v>1484.6666666666665</v>
      </c>
      <c r="AL114" s="79">
        <v>47166</v>
      </c>
      <c r="AM114" s="79">
        <v>385</v>
      </c>
      <c r="AN114" s="79">
        <v>298</v>
      </c>
      <c r="AO114" s="79">
        <v>591</v>
      </c>
      <c r="AP114" s="79">
        <v>0</v>
      </c>
      <c r="AQ114" s="79">
        <v>1529</v>
      </c>
      <c r="AR114" s="79">
        <v>46547</v>
      </c>
      <c r="AS114" s="79">
        <v>676</v>
      </c>
      <c r="AT114" s="79">
        <v>234</v>
      </c>
      <c r="AU114" s="79">
        <v>849</v>
      </c>
      <c r="AV114" s="79">
        <v>698</v>
      </c>
      <c r="AW114" s="79">
        <v>2210</v>
      </c>
      <c r="AX114" s="80">
        <v>32872.221537450183</v>
      </c>
      <c r="AY114" s="80">
        <v>34029.727005287088</v>
      </c>
      <c r="AZ114" s="80">
        <v>36244.283324037926</v>
      </c>
      <c r="BA114" s="80">
        <v>39785.552629413214</v>
      </c>
      <c r="BB114" s="80">
        <v>39214.018037310052</v>
      </c>
      <c r="BC114" s="42" t="s">
        <v>161</v>
      </c>
      <c r="BD114" s="42" t="s">
        <v>161</v>
      </c>
      <c r="BE114" s="42" t="s">
        <v>161</v>
      </c>
      <c r="BF114" s="42" t="s">
        <v>161</v>
      </c>
      <c r="BG114" s="80" t="s">
        <v>161</v>
      </c>
      <c r="BH114" s="44">
        <v>9.2730765342230317</v>
      </c>
      <c r="BI114" s="44">
        <v>9.6221621178591921</v>
      </c>
      <c r="BJ114" s="44">
        <v>10.593535587335703</v>
      </c>
      <c r="BK114" s="44">
        <v>9.8008872382131429</v>
      </c>
      <c r="BL114" s="44">
        <v>10.49499649960878</v>
      </c>
      <c r="BM114" s="44">
        <v>11.156986879530232</v>
      </c>
      <c r="BN114" s="44">
        <v>11.666962857650613</v>
      </c>
      <c r="BO114" s="44">
        <v>12.255125284738041</v>
      </c>
      <c r="BP114" s="44">
        <v>11.9919443427316</v>
      </c>
      <c r="BQ114" s="44">
        <v>13.400802652242191</v>
      </c>
      <c r="BR114" s="79">
        <v>8068</v>
      </c>
      <c r="BS114" s="79">
        <v>7918</v>
      </c>
      <c r="BT114" s="79">
        <v>7893</v>
      </c>
      <c r="BU114" s="50">
        <v>7878</v>
      </c>
      <c r="BV114" s="44">
        <v>35.138820029747151</v>
      </c>
      <c r="BW114" s="44">
        <v>35.94342005556959</v>
      </c>
      <c r="BX114" s="44">
        <v>38.743190168503737</v>
      </c>
      <c r="BY114" s="44">
        <v>39.832444782939831</v>
      </c>
      <c r="BZ114" s="44">
        <v>6.3460585027268221</v>
      </c>
      <c r="CA114" s="44">
        <v>5.9105834806769391</v>
      </c>
      <c r="CB114" s="44">
        <v>5.9166349930318001</v>
      </c>
      <c r="CC114" s="44">
        <v>6.9306930693069306</v>
      </c>
      <c r="CD114" s="44">
        <v>14.340604858701042</v>
      </c>
      <c r="CE114" s="44">
        <v>15.382672392018186</v>
      </c>
      <c r="CF114" s="44">
        <v>16.43228176865577</v>
      </c>
      <c r="CG114" s="44">
        <v>17.022086824067021</v>
      </c>
      <c r="CH114" s="44">
        <v>86.334610472541513</v>
      </c>
      <c r="CI114" s="48">
        <v>86.490250696378837</v>
      </c>
      <c r="CJ114" s="44">
        <v>86.221009549795355</v>
      </c>
      <c r="CK114" s="44" t="s">
        <v>161</v>
      </c>
      <c r="CL114" s="79">
        <v>683</v>
      </c>
      <c r="CM114" s="79">
        <v>676</v>
      </c>
      <c r="CN114" s="79">
        <v>648</v>
      </c>
      <c r="CO114" s="79">
        <v>676</v>
      </c>
      <c r="CP114" s="50">
        <v>619</v>
      </c>
      <c r="CQ114" s="44">
        <v>13.994754528317351</v>
      </c>
      <c r="CR114" s="44">
        <v>13.970405885756799</v>
      </c>
      <c r="CS114" s="44">
        <v>13.370473537604457</v>
      </c>
      <c r="CT114" s="44">
        <v>13.919202734423259</v>
      </c>
      <c r="CU114" s="44">
        <v>12.361704677077924</v>
      </c>
      <c r="CV114" s="44">
        <v>3.7</v>
      </c>
      <c r="CW114" s="44">
        <v>5.5</v>
      </c>
      <c r="CX114" s="44">
        <v>3.9</v>
      </c>
      <c r="CY114" s="44">
        <v>4.4000000000000004</v>
      </c>
      <c r="CZ114" s="44">
        <v>6</v>
      </c>
      <c r="DA114" s="44">
        <v>5.786618444846293</v>
      </c>
      <c r="DB114" s="44">
        <v>9.3862815884476536</v>
      </c>
      <c r="DC114" s="44">
        <v>10.256410256410257</v>
      </c>
      <c r="DD114" s="44">
        <v>10.963455149501661</v>
      </c>
      <c r="DE114" s="44">
        <v>9.23</v>
      </c>
      <c r="DF114" s="44">
        <v>84.337349397590359</v>
      </c>
      <c r="DG114" s="44">
        <v>82.537313432835816</v>
      </c>
      <c r="DH114" s="44">
        <v>85.44</v>
      </c>
      <c r="DI114" s="44">
        <v>81.969696969696969</v>
      </c>
      <c r="DJ114" s="44">
        <v>82.89</v>
      </c>
      <c r="DK114" s="44">
        <v>30.893118594436309</v>
      </c>
      <c r="DL114" s="44">
        <v>32.840236686390533</v>
      </c>
      <c r="DM114" s="44">
        <v>32.561728395061728</v>
      </c>
      <c r="DN114" s="44">
        <v>31.360946745562131</v>
      </c>
      <c r="DO114" s="44">
        <v>29.821717990275527</v>
      </c>
      <c r="DP114" s="44">
        <v>30.893118594436309</v>
      </c>
      <c r="DQ114" s="44">
        <v>32.840236686390533</v>
      </c>
      <c r="DR114" s="44">
        <v>32.561728395061728</v>
      </c>
      <c r="DS114" s="44">
        <v>31.360946745562131</v>
      </c>
      <c r="DT114" s="44">
        <v>31.5</v>
      </c>
      <c r="DU114" s="79">
        <v>2</v>
      </c>
      <c r="DV114" s="79">
        <v>5</v>
      </c>
      <c r="DW114" s="79">
        <v>4</v>
      </c>
      <c r="DX114" s="79">
        <v>3</v>
      </c>
      <c r="DY114" s="79">
        <v>4</v>
      </c>
      <c r="DZ114" s="44">
        <v>89.233038348082601</v>
      </c>
      <c r="EA114" s="44">
        <v>2.0648967551622417</v>
      </c>
      <c r="EB114" s="44">
        <v>0.88495575221238942</v>
      </c>
      <c r="EC114" s="44">
        <v>1.4749262536873156</v>
      </c>
      <c r="ED114" s="44">
        <v>6.2314540059347179</v>
      </c>
      <c r="EE114" s="44">
        <v>83.844911147011302</v>
      </c>
      <c r="EF114" s="44">
        <v>3.0694668820678515</v>
      </c>
      <c r="EG114" s="44">
        <v>0.80775444264943452</v>
      </c>
      <c r="EH114" s="44">
        <v>3.7156704361873989</v>
      </c>
      <c r="EI114" s="44">
        <v>10.696920583468396</v>
      </c>
      <c r="EJ114" s="44">
        <v>25.641025641025642</v>
      </c>
      <c r="EK114" s="44">
        <v>23.4375</v>
      </c>
      <c r="EL114" s="79">
        <v>505</v>
      </c>
      <c r="EM114" s="79">
        <v>540</v>
      </c>
      <c r="EN114" s="79">
        <v>564</v>
      </c>
      <c r="EO114" s="79">
        <v>530</v>
      </c>
      <c r="EP114" s="50">
        <v>491</v>
      </c>
      <c r="EQ114" s="48">
        <v>1034.7512498975493</v>
      </c>
      <c r="ER114" s="48">
        <v>1115.9791683888568</v>
      </c>
      <c r="ES114" s="48">
        <v>1163.7264004952028</v>
      </c>
      <c r="ET114" s="48">
        <v>1091.2984392373264</v>
      </c>
      <c r="EU114" s="44">
        <v>980.54878779406476</v>
      </c>
      <c r="EV114" s="48">
        <v>644.16434699000001</v>
      </c>
      <c r="EW114" s="48">
        <v>683.69345884999996</v>
      </c>
      <c r="EX114" s="48">
        <v>709.58223549000002</v>
      </c>
      <c r="EY114" s="48">
        <v>679.51615597</v>
      </c>
      <c r="EZ114" s="44">
        <v>615.17901486564483</v>
      </c>
      <c r="FA114" s="79">
        <v>102</v>
      </c>
      <c r="FB114" s="79">
        <v>128</v>
      </c>
      <c r="FC114" s="79">
        <v>118</v>
      </c>
      <c r="FD114" s="79">
        <v>126</v>
      </c>
      <c r="FE114" s="50">
        <v>105</v>
      </c>
      <c r="FF114" s="79">
        <v>117</v>
      </c>
      <c r="FG114" s="79">
        <v>130</v>
      </c>
      <c r="FH114" s="79">
        <v>135</v>
      </c>
      <c r="FI114" s="79">
        <v>132</v>
      </c>
      <c r="FJ114" s="50">
        <v>108</v>
      </c>
      <c r="FK114" s="79">
        <v>31</v>
      </c>
      <c r="FL114" s="79">
        <v>42</v>
      </c>
      <c r="FM114" s="79">
        <v>44</v>
      </c>
      <c r="FN114" s="79">
        <v>38</v>
      </c>
      <c r="FO114" s="50">
        <v>35</v>
      </c>
      <c r="FP114" s="79">
        <v>34</v>
      </c>
      <c r="FQ114" s="79">
        <v>25</v>
      </c>
      <c r="FR114" s="79">
        <v>27</v>
      </c>
      <c r="FS114" s="79">
        <v>21</v>
      </c>
      <c r="FT114" s="50">
        <v>20</v>
      </c>
      <c r="FU114" s="48">
        <v>121.44140256999999</v>
      </c>
      <c r="FV114" s="48">
        <v>150.20695645000001</v>
      </c>
      <c r="FW114" s="48">
        <v>134.01105196</v>
      </c>
      <c r="FX114" s="48">
        <v>154.97313922999999</v>
      </c>
      <c r="FY114" s="45">
        <v>118.70431157461987</v>
      </c>
      <c r="FZ114" s="48">
        <v>164.93903864000001</v>
      </c>
      <c r="GA114" s="48">
        <v>185.25292952000001</v>
      </c>
      <c r="GB114" s="48">
        <v>188.55335518999999</v>
      </c>
      <c r="GC114" s="75">
        <v>182.71015894000001</v>
      </c>
      <c r="GD114" s="81">
        <v>144.70465326914101</v>
      </c>
      <c r="GE114" s="75">
        <v>33.424718159999998</v>
      </c>
      <c r="GF114" s="75">
        <v>46.218844789999999</v>
      </c>
      <c r="GG114" s="75">
        <v>47.776822520000003</v>
      </c>
      <c r="GH114" s="75">
        <v>39.71086536</v>
      </c>
      <c r="GI114" s="81">
        <v>41.828653297317551</v>
      </c>
      <c r="GJ114" s="75">
        <v>50.431418729999997</v>
      </c>
      <c r="GK114" s="75">
        <v>44.901312009999998</v>
      </c>
      <c r="GL114" s="75">
        <v>49.84251733</v>
      </c>
      <c r="GM114" s="75">
        <v>34.745445359999998</v>
      </c>
      <c r="GN114" s="81" t="s">
        <v>39</v>
      </c>
      <c r="GO114" s="75">
        <v>773.53033072999995</v>
      </c>
      <c r="GP114" s="75">
        <v>801.86367928000004</v>
      </c>
      <c r="GQ114" s="75">
        <v>790.25701804000005</v>
      </c>
      <c r="GR114" s="75">
        <v>877.45789361000004</v>
      </c>
      <c r="GS114" s="78">
        <v>753.96155853309665</v>
      </c>
      <c r="GT114" s="75">
        <v>544.72222947</v>
      </c>
      <c r="GU114" s="75">
        <v>599.22678859999996</v>
      </c>
      <c r="GV114" s="75">
        <v>631.15807219999897</v>
      </c>
      <c r="GW114" s="75">
        <v>535.34951976000002</v>
      </c>
      <c r="GX114" s="81">
        <v>515.267057257754</v>
      </c>
      <c r="GY114" s="59">
        <v>494</v>
      </c>
      <c r="GZ114" s="59">
        <v>3</v>
      </c>
      <c r="HA114" s="59">
        <v>0</v>
      </c>
      <c r="HB114" s="59">
        <v>6</v>
      </c>
      <c r="HC114" s="59">
        <v>2</v>
      </c>
      <c r="HD114" s="59">
        <v>489</v>
      </c>
      <c r="HE114" s="59">
        <v>1</v>
      </c>
      <c r="HF114" s="59">
        <v>1</v>
      </c>
      <c r="HG114" s="59">
        <v>0</v>
      </c>
      <c r="HH114" s="59">
        <v>1</v>
      </c>
      <c r="HI114" s="78">
        <v>25.201778949102291</v>
      </c>
      <c r="HJ114" s="78">
        <v>25.139664804469273</v>
      </c>
      <c r="HK114" s="78">
        <v>23.17320703653586</v>
      </c>
      <c r="HL114" s="82">
        <v>25</v>
      </c>
      <c r="HM114" s="82">
        <v>36</v>
      </c>
      <c r="HN114" s="82">
        <v>25</v>
      </c>
      <c r="HO114" s="82">
        <v>29</v>
      </c>
      <c r="HP114" s="83">
        <v>36</v>
      </c>
      <c r="HQ114" s="82">
        <v>32</v>
      </c>
      <c r="HR114" s="82">
        <v>52</v>
      </c>
      <c r="HS114" s="82">
        <v>56</v>
      </c>
      <c r="HT114" s="82">
        <v>66</v>
      </c>
      <c r="HU114" s="83">
        <v>53</v>
      </c>
    </row>
    <row r="115" spans="1:230" x14ac:dyDescent="0.2">
      <c r="C115" s="96">
        <v>32322</v>
      </c>
      <c r="D115" s="96">
        <v>31651</v>
      </c>
      <c r="E115" s="96">
        <v>31354</v>
      </c>
      <c r="F115" s="96">
        <v>31182</v>
      </c>
      <c r="G115" s="96">
        <v>31789</v>
      </c>
      <c r="H115" s="50">
        <v>13388</v>
      </c>
      <c r="I115" s="50">
        <v>13391</v>
      </c>
      <c r="J115" s="50">
        <v>13355</v>
      </c>
      <c r="K115" s="50">
        <v>13281</v>
      </c>
      <c r="L115" s="50">
        <v>13144</v>
      </c>
      <c r="M115" s="50">
        <v>30.255745550625655</v>
      </c>
      <c r="N115" s="50">
        <v>30.274208236365475</v>
      </c>
      <c r="O115" s="50">
        <v>30.394265232974909</v>
      </c>
      <c r="P115" s="50">
        <v>31.648235913638757</v>
      </c>
      <c r="Q115" s="50">
        <v>32.16431827600497</v>
      </c>
      <c r="R115" s="50">
        <v>30.878907223690113</v>
      </c>
      <c r="S115" s="50">
        <v>29.854295254477385</v>
      </c>
      <c r="T115" s="50">
        <v>30.148489503328214</v>
      </c>
      <c r="U115" s="50">
        <v>32.553975776724592</v>
      </c>
      <c r="V115" s="50">
        <v>32.511396601740572</v>
      </c>
      <c r="W115" s="50">
        <v>61.134652774315768</v>
      </c>
      <c r="X115" s="50">
        <v>60.12850349084286</v>
      </c>
      <c r="Y115" s="50">
        <v>60.542754736303124</v>
      </c>
      <c r="Z115" s="50">
        <v>64.202211690363356</v>
      </c>
      <c r="AA115" s="50">
        <v>64.675714877745548</v>
      </c>
      <c r="AB115" s="50">
        <v>4.4909090909090912</v>
      </c>
      <c r="AC115" s="50">
        <v>5.0597538498127115</v>
      </c>
      <c r="AD115" s="50">
        <v>5.5476360180565454</v>
      </c>
      <c r="AE115" s="50">
        <v>7.591122443066582</v>
      </c>
      <c r="AF115" s="50">
        <v>7.1201157742402312</v>
      </c>
      <c r="AG115" s="50">
        <v>628.33333333333326</v>
      </c>
      <c r="AH115" s="50">
        <v>638.91666666666663</v>
      </c>
      <c r="AI115" s="50">
        <v>662.83333333333326</v>
      </c>
      <c r="AJ115" s="50">
        <v>836</v>
      </c>
      <c r="AK115" s="50">
        <v>981.83333333333337</v>
      </c>
      <c r="AL115" s="50">
        <v>30762</v>
      </c>
      <c r="AM115" s="50">
        <v>93</v>
      </c>
      <c r="AN115" s="50">
        <v>721</v>
      </c>
      <c r="AO115" s="50">
        <v>438</v>
      </c>
      <c r="AP115" s="50">
        <v>0</v>
      </c>
      <c r="AQ115" s="50">
        <v>1260</v>
      </c>
      <c r="AR115" s="50">
        <v>29319</v>
      </c>
      <c r="AS115" s="50">
        <v>119</v>
      </c>
      <c r="AT115" s="50">
        <v>887</v>
      </c>
      <c r="AU115" s="50">
        <v>569</v>
      </c>
      <c r="AV115" s="50">
        <v>480</v>
      </c>
      <c r="AW115" s="50">
        <v>1381</v>
      </c>
      <c r="AX115" s="50">
        <v>30884.149176922838</v>
      </c>
      <c r="AY115" s="50">
        <v>32138.394251796315</v>
      </c>
      <c r="AZ115" s="50">
        <v>34382.618012226631</v>
      </c>
      <c r="BA115" s="50">
        <v>40097.220455412797</v>
      </c>
      <c r="BB115" s="50">
        <v>38404.688602398819</v>
      </c>
      <c r="BC115" s="50" t="s">
        <v>161</v>
      </c>
      <c r="BD115" s="50" t="s">
        <v>161</v>
      </c>
      <c r="BE115" s="50" t="s">
        <v>161</v>
      </c>
      <c r="BF115" s="50" t="s">
        <v>161</v>
      </c>
      <c r="BG115" s="50" t="s">
        <v>161</v>
      </c>
      <c r="BH115" s="50">
        <v>9.2821105099993915</v>
      </c>
      <c r="BI115" s="50">
        <v>10.101478868881877</v>
      </c>
      <c r="BJ115" s="50">
        <v>9.0328899560835367</v>
      </c>
      <c r="BK115" s="50">
        <v>10.193276774893155</v>
      </c>
      <c r="BL115" s="50">
        <v>10.124430761336669</v>
      </c>
      <c r="BM115" s="50">
        <v>11.968564802885854</v>
      </c>
      <c r="BN115" s="50">
        <v>13.402462734931952</v>
      </c>
      <c r="BO115" s="50">
        <v>12.547169811320755</v>
      </c>
      <c r="BP115" s="50">
        <v>13.41295991213619</v>
      </c>
      <c r="BQ115" s="50">
        <v>14.127130963393682</v>
      </c>
      <c r="BR115" s="50">
        <v>4261</v>
      </c>
      <c r="BS115" s="50">
        <v>4245</v>
      </c>
      <c r="BT115" s="50">
        <v>4159</v>
      </c>
      <c r="BU115" s="50">
        <v>4013</v>
      </c>
      <c r="BV115" s="50">
        <v>35.954001408120156</v>
      </c>
      <c r="BW115" s="50">
        <v>36.607773851590103</v>
      </c>
      <c r="BX115" s="50">
        <v>38.759317143544123</v>
      </c>
      <c r="BY115" s="50">
        <v>38.97333665586843</v>
      </c>
      <c r="BZ115" s="50">
        <v>5.6559493076742546</v>
      </c>
      <c r="CA115" s="50">
        <v>5.3239104829210833</v>
      </c>
      <c r="CB115" s="50">
        <v>4.6405385910074539</v>
      </c>
      <c r="CC115" s="50">
        <v>4.9838026414153997</v>
      </c>
      <c r="CD115" s="50">
        <v>14.832199014315888</v>
      </c>
      <c r="CE115" s="50">
        <v>15.005889281507656</v>
      </c>
      <c r="CF115" s="50">
        <v>15.027650877614811</v>
      </c>
      <c r="CG115" s="50">
        <v>15.723897333665587</v>
      </c>
      <c r="CH115" s="50">
        <v>87.387387387387392</v>
      </c>
      <c r="CI115" s="50">
        <v>85.681293302540411</v>
      </c>
      <c r="CJ115" s="50">
        <v>86.111111111111114</v>
      </c>
      <c r="CK115" s="50" t="s">
        <v>161</v>
      </c>
      <c r="CL115" s="50">
        <v>453</v>
      </c>
      <c r="CM115" s="50">
        <v>372</v>
      </c>
      <c r="CN115" s="50">
        <v>392</v>
      </c>
      <c r="CO115" s="50">
        <v>378</v>
      </c>
      <c r="CP115" s="50">
        <v>384</v>
      </c>
      <c r="CQ115" s="50">
        <v>14.015221830332282</v>
      </c>
      <c r="CR115" s="50">
        <v>11.753183153770813</v>
      </c>
      <c r="CS115" s="50">
        <v>12.502392039293232</v>
      </c>
      <c r="CT115" s="50">
        <v>12.122378295170291</v>
      </c>
      <c r="CU115" s="50">
        <v>12.079650193463147</v>
      </c>
      <c r="CV115" s="50">
        <v>3.8548752834467122</v>
      </c>
      <c r="CW115" s="50">
        <v>4.1436464088397793</v>
      </c>
      <c r="CX115" s="50">
        <v>5.3475935828877006</v>
      </c>
      <c r="CY115" s="50">
        <v>4.0650406504065044</v>
      </c>
      <c r="CZ115" s="50">
        <v>3.75</v>
      </c>
      <c r="DA115" s="50">
        <v>6.7010309278350517</v>
      </c>
      <c r="DB115" s="50">
        <v>6.0509554140127388</v>
      </c>
      <c r="DC115" s="50">
        <v>8.6053412462908003</v>
      </c>
      <c r="DD115" s="50">
        <v>7.4404761904761907</v>
      </c>
      <c r="DE115" s="50">
        <v>6.94</v>
      </c>
      <c r="DF115" s="50">
        <v>83.370786516853926</v>
      </c>
      <c r="DG115" s="50">
        <v>85.597826086956516</v>
      </c>
      <c r="DH115" s="50">
        <v>85.128205128205124</v>
      </c>
      <c r="DI115" s="50">
        <v>84.656084656084658</v>
      </c>
      <c r="DJ115" s="50">
        <v>84.6</v>
      </c>
      <c r="DK115" s="50">
        <v>29.580573951434879</v>
      </c>
      <c r="DL115" s="50">
        <v>31.182795698924732</v>
      </c>
      <c r="DM115" s="50">
        <v>29.846938775510203</v>
      </c>
      <c r="DN115" s="50">
        <v>33.06878306878307</v>
      </c>
      <c r="DO115" s="50">
        <v>27.93733681462141</v>
      </c>
      <c r="DP115" s="50">
        <v>29.580573951434879</v>
      </c>
      <c r="DQ115" s="50">
        <v>31.182795698924732</v>
      </c>
      <c r="DR115" s="50">
        <v>29.846938775510203</v>
      </c>
      <c r="DS115" s="50">
        <v>33.06878306878307</v>
      </c>
      <c r="DT115" s="50">
        <v>38.28</v>
      </c>
      <c r="DU115" s="50">
        <v>0</v>
      </c>
      <c r="DV115" s="50">
        <v>0</v>
      </c>
      <c r="DW115" s="50">
        <v>1</v>
      </c>
      <c r="DX115" s="50">
        <v>0</v>
      </c>
      <c r="DY115" s="50">
        <v>2</v>
      </c>
      <c r="DZ115" s="50">
        <v>84.768211920529808</v>
      </c>
      <c r="EA115" s="50">
        <v>0.66225165562913912</v>
      </c>
      <c r="EB115" s="50">
        <v>7.7262693156732896</v>
      </c>
      <c r="EC115" s="50">
        <v>3.9735099337748343</v>
      </c>
      <c r="ED115" s="50">
        <v>7.7777777777777777</v>
      </c>
      <c r="EE115" s="50">
        <v>86.458333333333329</v>
      </c>
      <c r="EF115" s="50">
        <v>0.26041666666666669</v>
      </c>
      <c r="EG115" s="50">
        <v>4.166666666666667</v>
      </c>
      <c r="EH115" s="50">
        <v>5.208333333333333</v>
      </c>
      <c r="EI115" s="50">
        <v>9.6605744125326378</v>
      </c>
      <c r="EJ115" s="50">
        <v>29.123328380386329</v>
      </c>
      <c r="EK115" s="50">
        <v>36.854228364593617</v>
      </c>
      <c r="EL115" s="50">
        <v>398</v>
      </c>
      <c r="EM115" s="50">
        <v>371</v>
      </c>
      <c r="EN115" s="50">
        <v>410</v>
      </c>
      <c r="EO115" s="50">
        <v>369</v>
      </c>
      <c r="EP115" s="50">
        <v>397</v>
      </c>
      <c r="EQ115" s="42">
        <v>1231.3594455788627</v>
      </c>
      <c r="ER115" s="42">
        <v>1172.158857540046</v>
      </c>
      <c r="ES115" s="42">
        <v>1307.6481469668943</v>
      </c>
      <c r="ET115" s="42">
        <v>1183.3750240523379</v>
      </c>
      <c r="EU115" s="42">
        <v>1248.859668438768</v>
      </c>
      <c r="EV115" s="42">
        <v>742.91349446000004</v>
      </c>
      <c r="EW115" s="42">
        <v>709.07130220999898</v>
      </c>
      <c r="EX115" s="42">
        <v>793.55151335999994</v>
      </c>
      <c r="EY115" s="42">
        <v>702.99386504999995</v>
      </c>
      <c r="EZ115" s="42">
        <v>742.90019260749455</v>
      </c>
      <c r="FA115" s="42">
        <v>91</v>
      </c>
      <c r="FB115" s="42">
        <v>94</v>
      </c>
      <c r="FC115" s="42">
        <v>99</v>
      </c>
      <c r="FD115" s="42">
        <v>79</v>
      </c>
      <c r="FE115" s="42">
        <v>72</v>
      </c>
      <c r="FF115" s="42">
        <v>83</v>
      </c>
      <c r="FG115" s="42">
        <v>78</v>
      </c>
      <c r="FH115" s="42">
        <v>94</v>
      </c>
      <c r="FI115" s="42">
        <v>82</v>
      </c>
      <c r="FJ115" s="42">
        <v>100</v>
      </c>
      <c r="FK115" s="42">
        <v>30</v>
      </c>
      <c r="FL115" s="42">
        <v>15</v>
      </c>
      <c r="FM115" s="42">
        <v>20</v>
      </c>
      <c r="FN115" s="42">
        <v>25</v>
      </c>
      <c r="FO115" s="42">
        <v>34</v>
      </c>
      <c r="FP115" s="42">
        <v>11</v>
      </c>
      <c r="FQ115" s="42">
        <v>19</v>
      </c>
      <c r="FR115" s="42">
        <v>18</v>
      </c>
      <c r="FS115" s="42">
        <v>21</v>
      </c>
      <c r="FT115" s="42">
        <v>17</v>
      </c>
      <c r="FU115" s="42">
        <v>157.03258468999999</v>
      </c>
      <c r="FV115" s="42">
        <v>157.45389953</v>
      </c>
      <c r="FW115" s="42">
        <v>185.73889908000001</v>
      </c>
      <c r="FX115" s="42">
        <v>137.69516059</v>
      </c>
      <c r="FY115" s="42">
        <v>126.15018818657266</v>
      </c>
      <c r="FZ115" s="42">
        <v>163.68650235999999</v>
      </c>
      <c r="GA115" s="42">
        <v>158.54292045</v>
      </c>
      <c r="GB115" s="42">
        <v>196.01693420000001</v>
      </c>
      <c r="GC115" s="37">
        <v>176.17343030000001</v>
      </c>
      <c r="GD115" s="37">
        <v>210.87423744627225</v>
      </c>
      <c r="GE115" s="37">
        <v>48.074107140000002</v>
      </c>
      <c r="GF115" s="37">
        <v>0</v>
      </c>
      <c r="GG115" s="37">
        <v>0</v>
      </c>
      <c r="GH115" s="37">
        <v>43.381688439999998</v>
      </c>
      <c r="GI115" s="37">
        <v>54.602359713014032</v>
      </c>
      <c r="GJ115" s="37">
        <v>0</v>
      </c>
      <c r="GK115" s="37">
        <v>0</v>
      </c>
      <c r="GL115" s="37">
        <v>0</v>
      </c>
      <c r="GM115" s="37">
        <v>52.433918890000001</v>
      </c>
      <c r="GN115" s="37" t="s">
        <v>39</v>
      </c>
      <c r="GO115" s="37">
        <v>863.72504542000001</v>
      </c>
      <c r="GP115" s="37">
        <v>894.25823814</v>
      </c>
      <c r="GQ115" s="37">
        <v>1010.16800157</v>
      </c>
      <c r="GR115" s="37">
        <v>800.05769886999997</v>
      </c>
      <c r="GS115" s="37">
        <v>930.9671279256313</v>
      </c>
      <c r="GT115" s="37">
        <v>634.00972741999999</v>
      </c>
      <c r="GU115" s="37">
        <v>560.40596574000006</v>
      </c>
      <c r="GV115" s="37">
        <v>613.09862362000001</v>
      </c>
      <c r="GW115" s="37">
        <v>635.38589323999997</v>
      </c>
      <c r="GX115" s="37">
        <v>590.69259954459108</v>
      </c>
      <c r="GY115" s="37">
        <v>393</v>
      </c>
      <c r="GZ115" s="37">
        <v>0</v>
      </c>
      <c r="HA115" s="37">
        <v>3</v>
      </c>
      <c r="HB115" s="37">
        <v>1</v>
      </c>
      <c r="HC115" s="37">
        <v>0</v>
      </c>
      <c r="HD115" s="37">
        <v>381</v>
      </c>
      <c r="HE115" s="37">
        <v>2</v>
      </c>
      <c r="HF115" s="37">
        <v>11</v>
      </c>
      <c r="HG115" s="37">
        <v>2</v>
      </c>
      <c r="HH115" s="37">
        <v>1</v>
      </c>
      <c r="HI115" s="78">
        <v>32.928942807625653</v>
      </c>
      <c r="HJ115" s="78">
        <v>33.695652173913047</v>
      </c>
      <c r="HK115" s="78">
        <v>27.455919395465994</v>
      </c>
      <c r="HL115" s="78">
        <v>17</v>
      </c>
      <c r="HM115" s="37">
        <v>15</v>
      </c>
      <c r="HN115" s="37">
        <v>20</v>
      </c>
      <c r="HO115" s="37">
        <v>15</v>
      </c>
      <c r="HP115" s="37">
        <v>14</v>
      </c>
      <c r="HQ115" s="37">
        <v>26</v>
      </c>
      <c r="HR115" s="37">
        <v>19</v>
      </c>
      <c r="HS115" s="37">
        <v>29</v>
      </c>
      <c r="HT115" s="37">
        <v>25</v>
      </c>
      <c r="HU115" s="37">
        <v>24</v>
      </c>
    </row>
    <row r="116" spans="1:230" x14ac:dyDescent="0.2">
      <c r="C116" s="95">
        <f>C110-C115</f>
        <v>37822</v>
      </c>
      <c r="D116" s="95">
        <f t="shared" ref="D116:BO116" si="59">D110-D115</f>
        <v>38470</v>
      </c>
      <c r="E116" s="95">
        <f t="shared" si="59"/>
        <v>38667</v>
      </c>
      <c r="F116" s="95">
        <f t="shared" si="59"/>
        <v>40754</v>
      </c>
      <c r="G116" s="95">
        <f t="shared" si="59"/>
        <v>40025</v>
      </c>
      <c r="H116" s="79">
        <f t="shared" si="59"/>
        <v>56513</v>
      </c>
      <c r="I116" s="79">
        <f t="shared" si="59"/>
        <v>-13003</v>
      </c>
      <c r="J116" s="79">
        <f t="shared" si="59"/>
        <v>-13079</v>
      </c>
      <c r="K116" s="79">
        <f t="shared" si="59"/>
        <v>-12926</v>
      </c>
      <c r="L116" s="79">
        <f t="shared" si="59"/>
        <v>-11200</v>
      </c>
      <c r="M116" s="79">
        <f t="shared" si="59"/>
        <v>28227.744254449375</v>
      </c>
      <c r="N116" s="79">
        <f t="shared" si="59"/>
        <v>28402.725791763634</v>
      </c>
      <c r="O116" s="79">
        <f t="shared" si="59"/>
        <v>28478.605734767025</v>
      </c>
      <c r="P116" s="79">
        <f t="shared" si="59"/>
        <v>28509.351764086361</v>
      </c>
      <c r="Q116" s="79">
        <f t="shared" si="59"/>
        <v>28549.835681723995</v>
      </c>
      <c r="R116" s="79">
        <f t="shared" si="59"/>
        <v>-4.6498737440830489</v>
      </c>
      <c r="S116" s="79">
        <f t="shared" si="59"/>
        <v>-3.1967071846466055</v>
      </c>
      <c r="T116" s="79">
        <f t="shared" si="59"/>
        <v>-2.2386965133359844</v>
      </c>
      <c r="U116" s="79">
        <f t="shared" si="59"/>
        <v>-4.5347167156038211</v>
      </c>
      <c r="V116" s="79">
        <f t="shared" si="59"/>
        <v>-4.0561120488950415</v>
      </c>
      <c r="W116" s="79">
        <f t="shared" si="59"/>
        <v>-31.11660987230432</v>
      </c>
      <c r="X116" s="79">
        <f t="shared" si="59"/>
        <v>-30.245036955146116</v>
      </c>
      <c r="Y116" s="79">
        <f t="shared" si="59"/>
        <v>-28.463058168190891</v>
      </c>
      <c r="Z116" s="79">
        <f t="shared" si="59"/>
        <v>-31.871954457070146</v>
      </c>
      <c r="AA116" s="79">
        <f t="shared" si="59"/>
        <v>-32.731642689770922</v>
      </c>
      <c r="AB116" s="79">
        <f t="shared" si="59"/>
        <v>51.756167290709421</v>
      </c>
      <c r="AC116" s="79">
        <f t="shared" si="59"/>
        <v>51.481300755714813</v>
      </c>
      <c r="AD116" s="79">
        <f t="shared" si="59"/>
        <v>54.441853540047923</v>
      </c>
      <c r="AE116" s="79">
        <f t="shared" si="59"/>
        <v>52.7583938513474</v>
      </c>
      <c r="AF116" s="79">
        <f t="shared" si="59"/>
        <v>53.27924096657992</v>
      </c>
      <c r="AG116" s="79">
        <f t="shared" si="59"/>
        <v>-622.11678560808798</v>
      </c>
      <c r="AH116" s="79">
        <f t="shared" si="59"/>
        <v>-631.65195514663594</v>
      </c>
      <c r="AI116" s="79">
        <f t="shared" si="59"/>
        <v>-652.14346715619752</v>
      </c>
      <c r="AJ116" s="79">
        <f t="shared" si="59"/>
        <v>-826.9511717716764</v>
      </c>
      <c r="AK116" s="79">
        <f t="shared" si="59"/>
        <v>-973.83014904250149</v>
      </c>
      <c r="AL116" s="79">
        <f t="shared" si="59"/>
        <v>-29027.166666666668</v>
      </c>
      <c r="AM116" s="79">
        <f t="shared" si="59"/>
        <v>1826.6666666666665</v>
      </c>
      <c r="AN116" s="79">
        <f t="shared" si="59"/>
        <v>1695.75</v>
      </c>
      <c r="AO116" s="79">
        <f t="shared" si="59"/>
        <v>1481.6666666666665</v>
      </c>
      <c r="AP116" s="79">
        <f t="shared" si="59"/>
        <v>3261.166666666667</v>
      </c>
      <c r="AQ116" s="79">
        <f t="shared" si="59"/>
        <v>28837.964746075908</v>
      </c>
      <c r="AR116" s="79">
        <f t="shared" si="59"/>
        <v>1996.0844874601862</v>
      </c>
      <c r="AS116" s="79">
        <f t="shared" si="59"/>
        <v>30350.812221838612</v>
      </c>
      <c r="AT116" s="79">
        <f t="shared" si="59"/>
        <v>30408.751017543476</v>
      </c>
      <c r="AU116" s="79">
        <f t="shared" si="59"/>
        <v>31652.029325758209</v>
      </c>
      <c r="AV116" s="79" t="e">
        <f t="shared" si="59"/>
        <v>#VALUE!</v>
      </c>
      <c r="AW116" s="79" t="e">
        <f t="shared" si="59"/>
        <v>#VALUE!</v>
      </c>
      <c r="AX116" s="79" t="e">
        <f t="shared" si="59"/>
        <v>#VALUE!</v>
      </c>
      <c r="AY116" s="79" t="e">
        <f t="shared" si="59"/>
        <v>#VALUE!</v>
      </c>
      <c r="AZ116" s="79" t="e">
        <f t="shared" si="59"/>
        <v>#VALUE!</v>
      </c>
      <c r="BA116" s="79">
        <f t="shared" si="59"/>
        <v>-40084.922683353863</v>
      </c>
      <c r="BB116" s="79">
        <f t="shared" si="59"/>
        <v>-38390.641871535052</v>
      </c>
      <c r="BC116" s="79" t="e">
        <f t="shared" si="59"/>
        <v>#VALUE!</v>
      </c>
      <c r="BD116" s="79" t="e">
        <f t="shared" si="59"/>
        <v>#VALUE!</v>
      </c>
      <c r="BE116" s="79" t="e">
        <f t="shared" si="59"/>
        <v>#VALUE!</v>
      </c>
      <c r="BF116" s="79" t="e">
        <f t="shared" si="59"/>
        <v>#VALUE!</v>
      </c>
      <c r="BG116" s="79" t="e">
        <f t="shared" si="59"/>
        <v>#VALUE!</v>
      </c>
      <c r="BH116" s="79">
        <f t="shared" si="59"/>
        <v>9.7167046558773862</v>
      </c>
      <c r="BI116" s="79">
        <f t="shared" si="59"/>
        <v>11.805366660509566</v>
      </c>
      <c r="BJ116" s="79">
        <f t="shared" si="59"/>
        <v>12.089434024549959</v>
      </c>
      <c r="BK116" s="79">
        <f t="shared" si="59"/>
        <v>11942.806723225107</v>
      </c>
      <c r="BL116" s="79">
        <f t="shared" si="59"/>
        <v>11752.875569238664</v>
      </c>
      <c r="BM116" s="79">
        <f t="shared" si="59"/>
        <v>11685.031435197114</v>
      </c>
      <c r="BN116" s="79">
        <f t="shared" si="59"/>
        <v>11548.597537265068</v>
      </c>
      <c r="BO116" s="79">
        <f t="shared" si="59"/>
        <v>35.549542311158959</v>
      </c>
      <c r="BP116" s="79">
        <f t="shared" ref="BP116:EA116" si="60">BP110-BP115</f>
        <v>38.589080383706708</v>
      </c>
      <c r="BQ116" s="79">
        <f t="shared" si="60"/>
        <v>36.125070455773624</v>
      </c>
      <c r="BR116" s="79">
        <f t="shared" si="60"/>
        <v>-4210.9394568413773</v>
      </c>
      <c r="BS116" s="79">
        <f t="shared" si="60"/>
        <v>-4243.0005019660339</v>
      </c>
      <c r="BT116" s="79">
        <f t="shared" si="60"/>
        <v>-4156.891694295673</v>
      </c>
      <c r="BU116" s="79">
        <f t="shared" si="60"/>
        <v>-4010.8028554330172</v>
      </c>
      <c r="BV116" s="79">
        <f t="shared" si="60"/>
        <v>-33.644712357782844</v>
      </c>
      <c r="BW116" s="79">
        <f t="shared" si="60"/>
        <v>-20.854406496114493</v>
      </c>
      <c r="BX116" s="79">
        <f t="shared" si="60"/>
        <v>-22.72599231144347</v>
      </c>
      <c r="BY116" s="79">
        <f t="shared" si="60"/>
        <v>-22.695658618764899</v>
      </c>
      <c r="BZ116" s="79">
        <f t="shared" si="60"/>
        <v>10.725299611197912</v>
      </c>
      <c r="CA116" s="79">
        <f t="shared" si="60"/>
        <v>73.555049712042361</v>
      </c>
      <c r="CB116" s="79">
        <f t="shared" si="60"/>
        <v>72.795358844889975</v>
      </c>
      <c r="CC116" s="79">
        <f t="shared" si="60"/>
        <v>72.495344717250035</v>
      </c>
      <c r="CD116" s="79">
        <f t="shared" si="60"/>
        <v>65.112090679277429</v>
      </c>
      <c r="CE116" s="79">
        <f t="shared" si="60"/>
        <v>-11.350324699866714</v>
      </c>
      <c r="CF116" s="79">
        <f t="shared" si="60"/>
        <v>-11.437907287871221</v>
      </c>
      <c r="CG116" s="79">
        <f t="shared" si="60"/>
        <v>-10.348549789643343</v>
      </c>
      <c r="CH116" s="79">
        <f t="shared" si="60"/>
        <v>-83.394815428241614</v>
      </c>
      <c r="CI116" s="79">
        <f t="shared" si="60"/>
        <v>4054.3187066974597</v>
      </c>
      <c r="CJ116" s="79">
        <f t="shared" si="60"/>
        <v>4109.8888888888887</v>
      </c>
      <c r="CK116" s="79" t="e">
        <f t="shared" si="60"/>
        <v>#VALUE!</v>
      </c>
      <c r="CL116" s="79">
        <f t="shared" si="60"/>
        <v>4219</v>
      </c>
      <c r="CM116" s="79">
        <f t="shared" si="60"/>
        <v>-359.62753501048968</v>
      </c>
      <c r="CN116" s="79">
        <f t="shared" si="60"/>
        <v>-379.77375027680978</v>
      </c>
      <c r="CO116" s="79">
        <f t="shared" si="60"/>
        <v>-365.17575298266252</v>
      </c>
      <c r="CP116" s="79">
        <f t="shared" si="60"/>
        <v>-370.80360189359271</v>
      </c>
      <c r="CQ116" s="79">
        <f t="shared" si="60"/>
        <v>151.98477816966772</v>
      </c>
      <c r="CR116" s="79">
        <f t="shared" si="60"/>
        <v>151.24681684622919</v>
      </c>
      <c r="CS116" s="79">
        <f t="shared" si="60"/>
        <v>220.49760796070677</v>
      </c>
      <c r="CT116" s="79">
        <f t="shared" si="60"/>
        <v>182.87762170482972</v>
      </c>
      <c r="CU116" s="79">
        <f t="shared" si="60"/>
        <v>-7.9849289305129743</v>
      </c>
      <c r="CV116" s="79">
        <f t="shared" si="60"/>
        <v>0.14905495482398301</v>
      </c>
      <c r="CW116" s="79">
        <f t="shared" si="60"/>
        <v>1.1506048976814656</v>
      </c>
      <c r="CX116" s="79">
        <f t="shared" si="60"/>
        <v>-1.0248270122825129</v>
      </c>
      <c r="CY116" s="79">
        <f t="shared" si="60"/>
        <v>260.9349593495935</v>
      </c>
      <c r="CZ116" s="79">
        <f t="shared" si="60"/>
        <v>277.25</v>
      </c>
      <c r="DA116" s="79">
        <f t="shared" si="60"/>
        <v>352.29896907216494</v>
      </c>
      <c r="DB116" s="79">
        <f t="shared" si="60"/>
        <v>359.94904458598728</v>
      </c>
      <c r="DC116" s="79">
        <f t="shared" si="60"/>
        <v>-1.7275836548036478</v>
      </c>
      <c r="DD116" s="79">
        <f t="shared" si="60"/>
        <v>-0.23165115199491826</v>
      </c>
      <c r="DE116" s="79">
        <f t="shared" si="60"/>
        <v>1.5893418864338313</v>
      </c>
      <c r="DF116" s="79">
        <f t="shared" si="60"/>
        <v>-74.803370786516851</v>
      </c>
      <c r="DG116" s="79">
        <f t="shared" si="60"/>
        <v>-1.5918840220889763</v>
      </c>
      <c r="DH116" s="79">
        <f t="shared" si="60"/>
        <v>-1.6002245929253149</v>
      </c>
      <c r="DI116" s="79">
        <f t="shared" si="60"/>
        <v>0.20938619593327701</v>
      </c>
      <c r="DJ116" s="79">
        <f t="shared" si="60"/>
        <v>-2.4750272153276711</v>
      </c>
      <c r="DK116" s="79">
        <f t="shared" si="60"/>
        <v>-6.7403081379965322</v>
      </c>
      <c r="DL116" s="79">
        <f t="shared" si="60"/>
        <v>-9.3243460118761057</v>
      </c>
      <c r="DM116" s="79">
        <f t="shared" si="60"/>
        <v>-10.068177713563301</v>
      </c>
      <c r="DN116" s="79">
        <f t="shared" si="60"/>
        <v>-13.991395700815836</v>
      </c>
      <c r="DO116" s="79">
        <f t="shared" si="60"/>
        <v>-4.0484479257325212</v>
      </c>
      <c r="DP116" s="79">
        <f t="shared" si="60"/>
        <v>-1.6253785272213435</v>
      </c>
      <c r="DQ116" s="79">
        <f t="shared" si="60"/>
        <v>0.10717122500029674</v>
      </c>
      <c r="DR116" s="79">
        <f t="shared" si="60"/>
        <v>2.1950132792843178</v>
      </c>
      <c r="DS116" s="79">
        <f t="shared" si="60"/>
        <v>4.0858419526687939</v>
      </c>
      <c r="DT116" s="79">
        <f t="shared" si="60"/>
        <v>-4.5011778528418276</v>
      </c>
      <c r="DU116" s="79">
        <f t="shared" si="60"/>
        <v>31.270890589021764</v>
      </c>
      <c r="DV116" s="79">
        <f t="shared" si="60"/>
        <v>30.599125739264593</v>
      </c>
      <c r="DW116" s="79">
        <f t="shared" si="60"/>
        <v>842</v>
      </c>
      <c r="DX116" s="79">
        <f t="shared" si="60"/>
        <v>6</v>
      </c>
      <c r="DY116" s="79">
        <f t="shared" si="60"/>
        <v>8</v>
      </c>
      <c r="DZ116" s="79">
        <f t="shared" si="60"/>
        <v>-78.768211920529808</v>
      </c>
      <c r="EA116" s="79">
        <f t="shared" si="60"/>
        <v>40.337748344370858</v>
      </c>
      <c r="EB116" s="79">
        <f t="shared" ref="EB116:GM116" si="61">EB110-EB115</f>
        <v>23.273730684326711</v>
      </c>
      <c r="EC116" s="79">
        <f t="shared" si="61"/>
        <v>15.026490066225165</v>
      </c>
      <c r="ED116" s="79">
        <f t="shared" si="61"/>
        <v>20.222222222222221</v>
      </c>
      <c r="EE116" s="79">
        <f t="shared" si="61"/>
        <v>-58.458333333333329</v>
      </c>
      <c r="EF116" s="79">
        <f t="shared" si="61"/>
        <v>3507.7395833333335</v>
      </c>
      <c r="EG116" s="79">
        <f t="shared" si="61"/>
        <v>3520.8333333333335</v>
      </c>
      <c r="EH116" s="79">
        <f t="shared" si="61"/>
        <v>3635.7916666666665</v>
      </c>
      <c r="EI116" s="79">
        <f t="shared" si="61"/>
        <v>3360.3394255874673</v>
      </c>
      <c r="EJ116" s="79">
        <f t="shared" si="61"/>
        <v>615.87667161961372</v>
      </c>
      <c r="EK116" s="79">
        <f t="shared" si="61"/>
        <v>-33.854228364593617</v>
      </c>
      <c r="EL116" s="79">
        <f t="shared" si="61"/>
        <v>-398</v>
      </c>
      <c r="EM116" s="79">
        <f t="shared" si="61"/>
        <v>-370</v>
      </c>
      <c r="EN116" s="79">
        <f t="shared" si="61"/>
        <v>-409</v>
      </c>
      <c r="EO116" s="79">
        <f t="shared" si="61"/>
        <v>679.37215418362644</v>
      </c>
      <c r="EP116" s="79">
        <f t="shared" si="61"/>
        <v>630.10987307544383</v>
      </c>
      <c r="EQ116" s="79">
        <f t="shared" si="61"/>
        <v>-201.74349430817347</v>
      </c>
      <c r="ER116" s="79">
        <f t="shared" si="61"/>
        <v>-220.27825782702246</v>
      </c>
      <c r="ES116" s="79">
        <f t="shared" si="61"/>
        <v>-485.74940155376635</v>
      </c>
      <c r="ET116" s="79">
        <f t="shared" si="61"/>
        <v>-394.06471154068402</v>
      </c>
      <c r="EU116" s="79">
        <f t="shared" si="61"/>
        <v>-486.43954036514208</v>
      </c>
      <c r="EV116" s="79">
        <f t="shared" si="61"/>
        <v>-64.910582988074566</v>
      </c>
      <c r="EW116" s="79">
        <f t="shared" si="61"/>
        <v>302.78937545716553</v>
      </c>
      <c r="EX116" s="79">
        <f t="shared" si="61"/>
        <v>171.18870198827949</v>
      </c>
      <c r="EY116" s="79">
        <f t="shared" si="61"/>
        <v>247.73911768715516</v>
      </c>
      <c r="EZ116" s="79">
        <f t="shared" si="61"/>
        <v>78.839769294020016</v>
      </c>
      <c r="FA116" s="79">
        <f t="shared" si="61"/>
        <v>575.92300270813337</v>
      </c>
      <c r="FB116" s="79">
        <f t="shared" si="61"/>
        <v>552.75521854425665</v>
      </c>
      <c r="FC116" s="79">
        <f t="shared" si="61"/>
        <v>506.94545622759358</v>
      </c>
      <c r="FD116" s="79">
        <f t="shared" si="61"/>
        <v>478.49601509941226</v>
      </c>
      <c r="FE116" s="79">
        <f t="shared" si="61"/>
        <v>715</v>
      </c>
      <c r="FF116" s="79">
        <f t="shared" si="61"/>
        <v>702</v>
      </c>
      <c r="FG116" s="79">
        <f t="shared" si="61"/>
        <v>769</v>
      </c>
      <c r="FH116" s="79">
        <f t="shared" si="61"/>
        <v>725</v>
      </c>
      <c r="FI116" s="79">
        <f t="shared" si="61"/>
        <v>107.84597038501849</v>
      </c>
      <c r="FJ116" s="79">
        <f t="shared" si="61"/>
        <v>82.791394002281351</v>
      </c>
      <c r="FK116" s="79">
        <f t="shared" si="61"/>
        <v>155.79017187640619</v>
      </c>
      <c r="FL116" s="79">
        <f t="shared" si="61"/>
        <v>155.986927644556</v>
      </c>
      <c r="FM116" s="79">
        <f t="shared" si="61"/>
        <v>1025</v>
      </c>
      <c r="FN116" s="79">
        <f t="shared" si="61"/>
        <v>891</v>
      </c>
      <c r="FO116" s="79">
        <f t="shared" si="61"/>
        <v>859</v>
      </c>
      <c r="FP116" s="79">
        <f t="shared" si="61"/>
        <v>708</v>
      </c>
      <c r="FQ116" s="79">
        <f t="shared" si="61"/>
        <v>220.5487380039005</v>
      </c>
      <c r="FR116" s="79">
        <f t="shared" si="61"/>
        <v>182.96517589147817</v>
      </c>
      <c r="FS116" s="79">
        <f t="shared" si="61"/>
        <v>159.38700149253864</v>
      </c>
      <c r="FT116" s="79">
        <f t="shared" si="61"/>
        <v>120.73252268107697</v>
      </c>
      <c r="FU116" s="79">
        <f t="shared" si="61"/>
        <v>147.96741531000001</v>
      </c>
      <c r="FV116" s="79">
        <f t="shared" si="61"/>
        <v>98.546100469999999</v>
      </c>
      <c r="FW116" s="79">
        <f t="shared" si="61"/>
        <v>75.26110091999999</v>
      </c>
      <c r="FX116" s="79">
        <f t="shared" si="61"/>
        <v>30.30483941</v>
      </c>
      <c r="FY116" s="79">
        <f t="shared" si="61"/>
        <v>-59.298342876864879</v>
      </c>
      <c r="FZ116" s="79">
        <f t="shared" si="61"/>
        <v>-109.43435962370532</v>
      </c>
      <c r="GA116" s="79">
        <f t="shared" si="61"/>
        <v>-107.66761924427722</v>
      </c>
      <c r="GB116" s="79">
        <f t="shared" si="61"/>
        <v>-164.34923194942854</v>
      </c>
      <c r="GC116" s="82">
        <f t="shared" si="61"/>
        <v>-20.173430300000007</v>
      </c>
      <c r="GD116" s="82">
        <f t="shared" si="61"/>
        <v>-49.874237446272247</v>
      </c>
      <c r="GE116" s="82">
        <f t="shared" si="61"/>
        <v>125.92589286</v>
      </c>
      <c r="GF116" s="82">
        <f t="shared" si="61"/>
        <v>169</v>
      </c>
      <c r="GG116" s="82">
        <f t="shared" si="61"/>
        <v>43.352215719429083</v>
      </c>
      <c r="GH116" s="82">
        <f t="shared" si="61"/>
        <v>-5.0929084720372941E-2</v>
      </c>
      <c r="GI116" s="82">
        <f t="shared" si="61"/>
        <v>-10.08452846788898</v>
      </c>
      <c r="GJ116" s="82">
        <f t="shared" si="61"/>
        <v>41.515139103211375</v>
      </c>
      <c r="GK116" s="82">
        <f t="shared" si="61"/>
        <v>0</v>
      </c>
      <c r="GL116" s="82">
        <f t="shared" si="61"/>
        <v>0</v>
      </c>
      <c r="GM116" s="82">
        <f t="shared" si="61"/>
        <v>-52.433918890000001</v>
      </c>
      <c r="GN116" s="82" t="e">
        <f t="shared" ref="GN116:HU116" si="62">GN110-GN115</f>
        <v>#VALUE!</v>
      </c>
      <c r="GO116" s="82">
        <f t="shared" si="62"/>
        <v>-863.72504542000001</v>
      </c>
      <c r="GP116" s="82">
        <f t="shared" si="62"/>
        <v>-894.25823814</v>
      </c>
      <c r="GQ116" s="82">
        <f t="shared" si="62"/>
        <v>-1010.16800157</v>
      </c>
      <c r="GR116" s="82">
        <f t="shared" si="62"/>
        <v>-800.05769886999997</v>
      </c>
      <c r="GS116" s="82">
        <f t="shared" si="62"/>
        <v>-930.9671279256313</v>
      </c>
      <c r="GT116" s="82">
        <f t="shared" si="62"/>
        <v>-634.00972741999999</v>
      </c>
      <c r="GU116" s="82">
        <f t="shared" si="62"/>
        <v>-560.40596574000006</v>
      </c>
      <c r="GV116" s="82">
        <f t="shared" si="62"/>
        <v>-613.09862362000001</v>
      </c>
      <c r="GW116" s="82">
        <f t="shared" si="62"/>
        <v>-635.38589323999997</v>
      </c>
      <c r="GX116" s="82">
        <f t="shared" si="62"/>
        <v>-590.69259954459108</v>
      </c>
      <c r="GY116" s="82">
        <f t="shared" si="62"/>
        <v>-393</v>
      </c>
      <c r="GZ116" s="82">
        <f t="shared" si="62"/>
        <v>0</v>
      </c>
      <c r="HA116" s="82">
        <f t="shared" si="62"/>
        <v>-3</v>
      </c>
      <c r="HB116" s="82">
        <f t="shared" si="62"/>
        <v>-1</v>
      </c>
      <c r="HC116" s="82">
        <f t="shared" si="62"/>
        <v>0</v>
      </c>
      <c r="HD116" s="82">
        <f t="shared" si="62"/>
        <v>-381</v>
      </c>
      <c r="HE116" s="82">
        <f t="shared" si="62"/>
        <v>-2</v>
      </c>
      <c r="HF116" s="82">
        <f t="shared" si="62"/>
        <v>-11</v>
      </c>
      <c r="HG116" s="82">
        <f t="shared" si="62"/>
        <v>-2</v>
      </c>
      <c r="HH116" s="82">
        <f t="shared" si="62"/>
        <v>-1</v>
      </c>
      <c r="HI116" s="82">
        <f t="shared" si="62"/>
        <v>-32.928942807625653</v>
      </c>
      <c r="HJ116" s="82">
        <f t="shared" si="62"/>
        <v>-33.695652173913047</v>
      </c>
      <c r="HK116" s="82">
        <f t="shared" si="62"/>
        <v>-27.455919395465994</v>
      </c>
      <c r="HL116" s="82">
        <f t="shared" si="62"/>
        <v>-17</v>
      </c>
      <c r="HM116" s="82">
        <f t="shared" si="62"/>
        <v>-15</v>
      </c>
      <c r="HN116" s="82">
        <f t="shared" si="62"/>
        <v>-20</v>
      </c>
      <c r="HO116" s="82">
        <f t="shared" si="62"/>
        <v>-15</v>
      </c>
      <c r="HP116" s="82">
        <f t="shared" si="62"/>
        <v>-14</v>
      </c>
      <c r="HQ116" s="82">
        <f t="shared" si="62"/>
        <v>-26</v>
      </c>
      <c r="HR116" s="82">
        <f t="shared" si="62"/>
        <v>-19</v>
      </c>
      <c r="HS116" s="82">
        <f t="shared" si="62"/>
        <v>-29</v>
      </c>
      <c r="HT116" s="82">
        <f t="shared" si="62"/>
        <v>-25</v>
      </c>
      <c r="HU116" s="82">
        <f t="shared" si="62"/>
        <v>-24</v>
      </c>
      <c r="HV116" s="82">
        <f>SUM(GO116:HU116)</f>
        <v>-8624.8494358672287</v>
      </c>
    </row>
    <row r="117" spans="1:230" x14ac:dyDescent="0.2">
      <c r="C117" s="97">
        <f t="shared" ref="C117:BN117" si="63">C105-C114</f>
        <v>8112</v>
      </c>
      <c r="D117" s="97">
        <f t="shared" si="63"/>
        <v>8152</v>
      </c>
      <c r="E117" s="97">
        <f t="shared" si="63"/>
        <v>8376</v>
      </c>
      <c r="F117" s="97">
        <f t="shared" si="63"/>
        <v>9403</v>
      </c>
      <c r="G117" s="97">
        <f t="shared" si="63"/>
        <v>7599</v>
      </c>
      <c r="H117" s="48">
        <f t="shared" si="63"/>
        <v>35056</v>
      </c>
      <c r="I117" s="48">
        <f t="shared" si="63"/>
        <v>-19103</v>
      </c>
      <c r="J117" s="48">
        <f t="shared" si="63"/>
        <v>-19940</v>
      </c>
      <c r="K117" s="48">
        <f t="shared" si="63"/>
        <v>-20000</v>
      </c>
      <c r="L117" s="48">
        <f t="shared" si="63"/>
        <v>-14796</v>
      </c>
      <c r="M117" s="48">
        <f t="shared" si="63"/>
        <v>23623.885335413415</v>
      </c>
      <c r="N117" s="48">
        <f t="shared" si="63"/>
        <v>23606.754192683646</v>
      </c>
      <c r="O117" s="48">
        <f t="shared" si="63"/>
        <v>23549.557297791715</v>
      </c>
      <c r="P117" s="48">
        <f t="shared" si="63"/>
        <v>23266.679002147695</v>
      </c>
      <c r="Q117" s="48">
        <f t="shared" si="63"/>
        <v>23256.923174926742</v>
      </c>
      <c r="R117" s="48">
        <f t="shared" si="63"/>
        <v>-4.3186875451581628</v>
      </c>
      <c r="S117" s="48">
        <f t="shared" si="63"/>
        <v>-3.4361708279781453</v>
      </c>
      <c r="T117" s="48">
        <f t="shared" si="63"/>
        <v>-2.4619475741167527</v>
      </c>
      <c r="U117" s="48">
        <f t="shared" si="63"/>
        <v>-4.3179951249542654</v>
      </c>
      <c r="V117" s="48">
        <f t="shared" si="63"/>
        <v>-4.0645194575694141</v>
      </c>
      <c r="W117" s="48">
        <f t="shared" si="63"/>
        <v>-28.69973719782692</v>
      </c>
      <c r="X117" s="48">
        <f t="shared" si="63"/>
        <v>-28.329373176208836</v>
      </c>
      <c r="Y117" s="48">
        <f t="shared" si="63"/>
        <v>-27.346986761495639</v>
      </c>
      <c r="Z117" s="48">
        <f t="shared" si="63"/>
        <v>-29.830555740413228</v>
      </c>
      <c r="AA117" s="48">
        <f t="shared" si="63"/>
        <v>-29.088744623827505</v>
      </c>
      <c r="AB117" s="48">
        <f t="shared" si="63"/>
        <v>51.627278734673048</v>
      </c>
      <c r="AC117" s="48">
        <f t="shared" si="63"/>
        <v>51.359468244805171</v>
      </c>
      <c r="AD117" s="48">
        <f t="shared" si="63"/>
        <v>52.809244454470971</v>
      </c>
      <c r="AE117" s="48">
        <f t="shared" si="63"/>
        <v>51.354256898625501</v>
      </c>
      <c r="AF117" s="48">
        <f t="shared" si="63"/>
        <v>52.213693989055344</v>
      </c>
      <c r="AG117" s="48">
        <f t="shared" si="63"/>
        <v>-880.72743202227844</v>
      </c>
      <c r="AH117" s="48">
        <f t="shared" si="63"/>
        <v>-915.78790732621087</v>
      </c>
      <c r="AI117" s="48">
        <f t="shared" si="63"/>
        <v>-962.47550035032134</v>
      </c>
      <c r="AJ117" s="48">
        <f t="shared" si="63"/>
        <v>-1237.7959561016341</v>
      </c>
      <c r="AK117" s="48">
        <f t="shared" si="63"/>
        <v>-1478.5314950796742</v>
      </c>
      <c r="AL117" s="48">
        <f t="shared" si="63"/>
        <v>-45608.416666666664</v>
      </c>
      <c r="AM117" s="48">
        <f t="shared" si="63"/>
        <v>1246</v>
      </c>
      <c r="AN117" s="48">
        <f t="shared" si="63"/>
        <v>1813.9166666666665</v>
      </c>
      <c r="AO117" s="48">
        <f t="shared" si="63"/>
        <v>1040</v>
      </c>
      <c r="AP117" s="48">
        <f t="shared" si="63"/>
        <v>2873.75</v>
      </c>
      <c r="AQ117" s="48">
        <f t="shared" si="63"/>
        <v>37144.160274285896</v>
      </c>
      <c r="AR117" s="48">
        <f t="shared" si="63"/>
        <v>-3438.6186241614923</v>
      </c>
      <c r="AS117" s="48">
        <f t="shared" si="63"/>
        <v>39273.048044299307</v>
      </c>
      <c r="AT117" s="48">
        <f t="shared" si="63"/>
        <v>42132.841473512795</v>
      </c>
      <c r="AU117" s="48">
        <f t="shared" si="63"/>
        <v>41937.26046850346</v>
      </c>
      <c r="AV117" s="48" t="e">
        <f t="shared" si="63"/>
        <v>#VALUE!</v>
      </c>
      <c r="AW117" s="48" t="e">
        <f t="shared" si="63"/>
        <v>#VALUE!</v>
      </c>
      <c r="AX117" s="48" t="e">
        <f t="shared" si="63"/>
        <v>#VALUE!</v>
      </c>
      <c r="AY117" s="48" t="e">
        <f t="shared" si="63"/>
        <v>#VALUE!</v>
      </c>
      <c r="AZ117" s="48" t="e">
        <f t="shared" si="63"/>
        <v>#VALUE!</v>
      </c>
      <c r="BA117" s="48">
        <f t="shared" si="63"/>
        <v>-39774.963698518979</v>
      </c>
      <c r="BB117" s="48">
        <f t="shared" si="63"/>
        <v>-39203.266608893115</v>
      </c>
      <c r="BC117" s="48" t="e">
        <f t="shared" si="63"/>
        <v>#VALUE!</v>
      </c>
      <c r="BD117" s="48" t="e">
        <f t="shared" si="63"/>
        <v>#VALUE!</v>
      </c>
      <c r="BE117" s="48" t="e">
        <f t="shared" si="63"/>
        <v>#VALUE!</v>
      </c>
      <c r="BF117" s="48" t="e">
        <f t="shared" si="63"/>
        <v>#VALUE!</v>
      </c>
      <c r="BG117" s="48" t="e">
        <f t="shared" si="63"/>
        <v>#VALUE!</v>
      </c>
      <c r="BH117" s="48">
        <f t="shared" si="63"/>
        <v>7.3502228487224759</v>
      </c>
      <c r="BI117" s="48">
        <f t="shared" si="63"/>
        <v>11.295146714387398</v>
      </c>
      <c r="BJ117" s="48">
        <f t="shared" si="63"/>
        <v>7.6364591132472324</v>
      </c>
      <c r="BK117" s="48">
        <f t="shared" si="63"/>
        <v>7697.1991127617866</v>
      </c>
      <c r="BL117" s="48">
        <f t="shared" si="63"/>
        <v>7606.5050035003915</v>
      </c>
      <c r="BM117" s="48">
        <f t="shared" si="63"/>
        <v>7371.8430131204695</v>
      </c>
      <c r="BN117" s="48">
        <f t="shared" si="63"/>
        <v>7307.333037142349</v>
      </c>
      <c r="BO117" s="48">
        <f t="shared" ref="BO117:DZ117" si="64">BO105-BO114</f>
        <v>28.629784537501479</v>
      </c>
      <c r="BP117" s="48">
        <f t="shared" si="64"/>
        <v>32.605666265119261</v>
      </c>
      <c r="BQ117" s="48">
        <f t="shared" si="64"/>
        <v>31.188117840782326</v>
      </c>
      <c r="BR117" s="48">
        <f t="shared" si="64"/>
        <v>-8021.7641754338028</v>
      </c>
      <c r="BS117" s="48">
        <f t="shared" si="64"/>
        <v>-7907.1397430906964</v>
      </c>
      <c r="BT117" s="48">
        <f t="shared" si="64"/>
        <v>-7881.4731521596432</v>
      </c>
      <c r="BU117" s="48">
        <f t="shared" si="64"/>
        <v>-7867.2455641338211</v>
      </c>
      <c r="BV117" s="48">
        <f t="shared" si="64"/>
        <v>-24.27668039318478</v>
      </c>
      <c r="BW117" s="48">
        <f t="shared" si="64"/>
        <v>-23.046054024688573</v>
      </c>
      <c r="BX117" s="48">
        <f t="shared" si="64"/>
        <v>-25.509633650189443</v>
      </c>
      <c r="BY117" s="48">
        <f t="shared" si="64"/>
        <v>-26.206547451231852</v>
      </c>
      <c r="BZ117" s="48">
        <f t="shared" si="64"/>
        <v>7.7678914904416443</v>
      </c>
      <c r="CA117" s="48">
        <f t="shared" si="64"/>
        <v>68.661221525910676</v>
      </c>
      <c r="CB117" s="48">
        <f t="shared" si="64"/>
        <v>70.941710028006057</v>
      </c>
      <c r="CC117" s="48">
        <f t="shared" si="64"/>
        <v>66.716030577416717</v>
      </c>
      <c r="CD117" s="48">
        <f t="shared" si="64"/>
        <v>62.843861160716429</v>
      </c>
      <c r="CE117" s="48">
        <f t="shared" si="64"/>
        <v>-10.112580165404221</v>
      </c>
      <c r="CF117" s="48">
        <f t="shared" si="64"/>
        <v>-12.505213044953106</v>
      </c>
      <c r="CG117" s="48">
        <f t="shared" si="64"/>
        <v>-9.3297791317593273</v>
      </c>
      <c r="CH117" s="48">
        <f t="shared" si="64"/>
        <v>-77.111309501667733</v>
      </c>
      <c r="CI117" s="48">
        <f t="shared" si="64"/>
        <v>3652.509749303621</v>
      </c>
      <c r="CJ117" s="48">
        <f t="shared" si="64"/>
        <v>3537.7789904502047</v>
      </c>
      <c r="CK117" s="48" t="e">
        <f t="shared" si="64"/>
        <v>#VALUE!</v>
      </c>
      <c r="CL117" s="48">
        <f t="shared" si="64"/>
        <v>3131</v>
      </c>
      <c r="CM117" s="48">
        <f t="shared" si="64"/>
        <v>-663.05646138401357</v>
      </c>
      <c r="CN117" s="48">
        <f t="shared" si="64"/>
        <v>-635.51846915264048</v>
      </c>
      <c r="CO117" s="48">
        <f t="shared" si="64"/>
        <v>-662.41816164806801</v>
      </c>
      <c r="CP117" s="48">
        <f t="shared" si="64"/>
        <v>-605.6614907375349</v>
      </c>
      <c r="CQ117" s="48">
        <f t="shared" si="64"/>
        <v>127.00524547168266</v>
      </c>
      <c r="CR117" s="48">
        <f t="shared" si="64"/>
        <v>113.0295941142432</v>
      </c>
      <c r="CS117" s="48">
        <f t="shared" si="64"/>
        <v>148.62952646239555</v>
      </c>
      <c r="CT117" s="48">
        <f t="shared" si="64"/>
        <v>151.08079726557673</v>
      </c>
      <c r="CU117" s="48">
        <f t="shared" si="64"/>
        <v>-8.5102979576023703</v>
      </c>
      <c r="CV117" s="48">
        <f t="shared" si="64"/>
        <v>-0.10837104072398196</v>
      </c>
      <c r="CW117" s="48">
        <f t="shared" si="64"/>
        <v>-1.2790515893694634</v>
      </c>
      <c r="CX117" s="48">
        <f t="shared" si="64"/>
        <v>0.57761194029850715</v>
      </c>
      <c r="CY117" s="48">
        <f t="shared" si="64"/>
        <v>216.6</v>
      </c>
      <c r="CZ117" s="48">
        <f t="shared" si="64"/>
        <v>208</v>
      </c>
      <c r="DA117" s="48">
        <f t="shared" si="64"/>
        <v>261.21338155515372</v>
      </c>
      <c r="DB117" s="48">
        <f t="shared" si="64"/>
        <v>236.61371841155236</v>
      </c>
      <c r="DC117" s="48">
        <f t="shared" si="64"/>
        <v>-4.0152354470343745</v>
      </c>
      <c r="DD117" s="48">
        <f t="shared" si="64"/>
        <v>-4.5505093898372913</v>
      </c>
      <c r="DE117" s="48">
        <f t="shared" si="64"/>
        <v>-1.9209389542841508</v>
      </c>
      <c r="DF117" s="48">
        <f t="shared" si="64"/>
        <v>-77.322807053706697</v>
      </c>
      <c r="DG117" s="48">
        <f t="shared" si="64"/>
        <v>-2.3363357033409784</v>
      </c>
      <c r="DH117" s="48">
        <f t="shared" si="64"/>
        <v>-2.7391071428571365</v>
      </c>
      <c r="DI117" s="48">
        <f t="shared" si="64"/>
        <v>2.8973786949247113</v>
      </c>
      <c r="DJ117" s="48">
        <f t="shared" si="64"/>
        <v>2.3244172586161511</v>
      </c>
      <c r="DK117" s="48">
        <f t="shared" si="64"/>
        <v>-19.222824796830217</v>
      </c>
      <c r="DL117" s="48">
        <f t="shared" si="64"/>
        <v>-20.767914016015013</v>
      </c>
      <c r="DM117" s="48">
        <f t="shared" si="64"/>
        <v>-21.999068548514416</v>
      </c>
      <c r="DN117" s="48">
        <f t="shared" si="64"/>
        <v>-18.549185128339765</v>
      </c>
      <c r="DO117" s="48">
        <f t="shared" si="64"/>
        <v>-2.7556575463065514</v>
      </c>
      <c r="DP117" s="48">
        <f t="shared" si="64"/>
        <v>-3.0785490580124666</v>
      </c>
      <c r="DQ117" s="48">
        <f t="shared" si="64"/>
        <v>1.4687477880304414</v>
      </c>
      <c r="DR117" s="48">
        <f t="shared" si="64"/>
        <v>6.2528532991423091</v>
      </c>
      <c r="DS117" s="48">
        <f t="shared" si="64"/>
        <v>11.320772406745256</v>
      </c>
      <c r="DT117" s="48">
        <f t="shared" si="64"/>
        <v>6.0611460517120861</v>
      </c>
      <c r="DU117" s="48">
        <f t="shared" si="64"/>
        <v>39.558921315108975</v>
      </c>
      <c r="DV117" s="48">
        <f t="shared" si="64"/>
        <v>34.337897210585467</v>
      </c>
      <c r="DW117" s="48">
        <f t="shared" si="64"/>
        <v>662</v>
      </c>
      <c r="DX117" s="48">
        <f t="shared" si="64"/>
        <v>50</v>
      </c>
      <c r="DY117" s="48">
        <f t="shared" si="64"/>
        <v>2</v>
      </c>
      <c r="DZ117" s="48">
        <f t="shared" si="64"/>
        <v>-80.233038348082601</v>
      </c>
      <c r="EA117" s="48">
        <f t="shared" ref="EA117:GL117" si="65">EA105-EA114</f>
        <v>129.93510324483776</v>
      </c>
      <c r="EB117" s="48">
        <f t="shared" si="65"/>
        <v>28.115044247787612</v>
      </c>
      <c r="EC117" s="48">
        <f t="shared" si="65"/>
        <v>27.525073746312685</v>
      </c>
      <c r="ED117" s="48">
        <f t="shared" si="65"/>
        <v>3.7685459940652821</v>
      </c>
      <c r="EE117" s="48">
        <f t="shared" si="65"/>
        <v>-66.844911147011302</v>
      </c>
      <c r="EF117" s="48">
        <f t="shared" si="65"/>
        <v>2915.9305331179321</v>
      </c>
      <c r="EG117" s="48">
        <f t="shared" si="65"/>
        <v>2917.1922455573504</v>
      </c>
      <c r="EH117" s="48">
        <f t="shared" si="65"/>
        <v>2840.2843295638127</v>
      </c>
      <c r="EI117" s="48">
        <f t="shared" si="65"/>
        <v>2790.3030794165315</v>
      </c>
      <c r="EJ117" s="48">
        <f t="shared" si="65"/>
        <v>539.35897435897436</v>
      </c>
      <c r="EK117" s="48">
        <f t="shared" si="65"/>
        <v>-23.4375</v>
      </c>
      <c r="EL117" s="48">
        <f t="shared" si="65"/>
        <v>-504</v>
      </c>
      <c r="EM117" s="48">
        <f t="shared" si="65"/>
        <v>-538</v>
      </c>
      <c r="EN117" s="48">
        <f t="shared" si="65"/>
        <v>-557</v>
      </c>
      <c r="EO117" s="48">
        <f t="shared" si="65"/>
        <v>480.48914736732786</v>
      </c>
      <c r="EP117" s="48">
        <f t="shared" si="65"/>
        <v>513.99743412238377</v>
      </c>
      <c r="EQ117" s="48">
        <f t="shared" si="65"/>
        <v>-51.882337101245753</v>
      </c>
      <c r="ER117" s="48">
        <f t="shared" si="65"/>
        <v>-136.39960771332812</v>
      </c>
      <c r="ES117" s="48">
        <f t="shared" si="65"/>
        <v>-378.7230163314573</v>
      </c>
      <c r="ET117" s="48">
        <f t="shared" si="65"/>
        <v>-339.97949397478476</v>
      </c>
      <c r="EU117" s="48">
        <f t="shared" si="65"/>
        <v>-284.1888971413307</v>
      </c>
      <c r="EV117" s="48">
        <f t="shared" si="65"/>
        <v>24.813550900645851</v>
      </c>
      <c r="EW117" s="48">
        <f t="shared" si="65"/>
        <v>298.79958278784716</v>
      </c>
      <c r="EX117" s="48">
        <f t="shared" si="65"/>
        <v>208.36094477212157</v>
      </c>
      <c r="EY117" s="48">
        <f t="shared" si="65"/>
        <v>142.66781209387182</v>
      </c>
      <c r="EZ117" s="48">
        <f t="shared" si="65"/>
        <v>180.63079729011338</v>
      </c>
      <c r="FA117" s="48">
        <f t="shared" si="65"/>
        <v>533.68104936719465</v>
      </c>
      <c r="FB117" s="48">
        <f t="shared" si="65"/>
        <v>489.65497394636145</v>
      </c>
      <c r="FC117" s="48">
        <f t="shared" si="65"/>
        <v>474.37780084371366</v>
      </c>
      <c r="FD117" s="48">
        <f t="shared" si="65"/>
        <v>437.25872396907243</v>
      </c>
      <c r="FE117" s="48">
        <f t="shared" si="65"/>
        <v>542</v>
      </c>
      <c r="FF117" s="48">
        <f t="shared" si="65"/>
        <v>532</v>
      </c>
      <c r="FG117" s="48">
        <f t="shared" si="65"/>
        <v>514</v>
      </c>
      <c r="FH117" s="48">
        <f t="shared" si="65"/>
        <v>498</v>
      </c>
      <c r="FI117" s="48">
        <f t="shared" si="65"/>
        <v>51.86595318967349</v>
      </c>
      <c r="FJ117" s="48">
        <f t="shared" si="65"/>
        <v>70.726472820353933</v>
      </c>
      <c r="FK117" s="48">
        <f t="shared" si="65"/>
        <v>136.82775536456091</v>
      </c>
      <c r="FL117" s="48">
        <f t="shared" si="65"/>
        <v>120.30070542766248</v>
      </c>
      <c r="FM117" s="48">
        <f t="shared" si="65"/>
        <v>846</v>
      </c>
      <c r="FN117" s="48">
        <f t="shared" si="65"/>
        <v>755</v>
      </c>
      <c r="FO117" s="48">
        <f t="shared" si="65"/>
        <v>587</v>
      </c>
      <c r="FP117" s="48">
        <f t="shared" si="65"/>
        <v>556</v>
      </c>
      <c r="FQ117" s="48">
        <f t="shared" si="65"/>
        <v>203.30283365920081</v>
      </c>
      <c r="FR117" s="48">
        <f t="shared" si="65"/>
        <v>170.84183122026189</v>
      </c>
      <c r="FS117" s="48">
        <f t="shared" si="65"/>
        <v>126.64065007382098</v>
      </c>
      <c r="FT117" s="48">
        <f t="shared" si="65"/>
        <v>111.32983082438327</v>
      </c>
      <c r="FU117" s="48">
        <f t="shared" si="65"/>
        <v>150.55859743000002</v>
      </c>
      <c r="FV117" s="48">
        <f t="shared" si="65"/>
        <v>105.79304354999999</v>
      </c>
      <c r="FW117" s="48">
        <f t="shared" si="65"/>
        <v>104.98894804</v>
      </c>
      <c r="FX117" s="48">
        <f t="shared" si="65"/>
        <v>23.026860770000013</v>
      </c>
      <c r="FY117" s="48">
        <f t="shared" si="65"/>
        <v>-50.573765330423811</v>
      </c>
      <c r="FZ117" s="48">
        <f t="shared" si="65"/>
        <v>-103.89226451915619</v>
      </c>
      <c r="GA117" s="48">
        <f t="shared" si="65"/>
        <v>-131.1620743506536</v>
      </c>
      <c r="GB117" s="48">
        <f t="shared" si="65"/>
        <v>-150.25369221918567</v>
      </c>
      <c r="GC117" s="75">
        <f t="shared" si="65"/>
        <v>-36.710158940000014</v>
      </c>
      <c r="GD117" s="75">
        <f t="shared" si="65"/>
        <v>-21.704653269141005</v>
      </c>
      <c r="GE117" s="75">
        <f t="shared" si="65"/>
        <v>131.57528184</v>
      </c>
      <c r="GF117" s="75">
        <f t="shared" si="65"/>
        <v>92.781155210000009</v>
      </c>
      <c r="GG117" s="75">
        <f t="shared" si="65"/>
        <v>-0.2205412012026926</v>
      </c>
      <c r="GH117" s="75">
        <f t="shared" si="65"/>
        <v>-2.492530271088981</v>
      </c>
      <c r="GI117" s="75">
        <f t="shared" si="65"/>
        <v>6.5315390961904782</v>
      </c>
      <c r="GJ117" s="75">
        <f t="shared" si="65"/>
        <v>-10.226549870470961</v>
      </c>
      <c r="GK117" s="75">
        <f t="shared" si="65"/>
        <v>-44.901312009999998</v>
      </c>
      <c r="GL117" s="75">
        <f t="shared" si="65"/>
        <v>-49.84251733</v>
      </c>
      <c r="GM117" s="75">
        <f t="shared" ref="GM117:HU117" si="66">GM105-GM114</f>
        <v>-34.745445359999998</v>
      </c>
      <c r="GN117" s="75" t="e">
        <f t="shared" si="66"/>
        <v>#VALUE!</v>
      </c>
      <c r="GO117" s="75">
        <f t="shared" si="66"/>
        <v>-773.53033072999995</v>
      </c>
      <c r="GP117" s="75">
        <f t="shared" si="66"/>
        <v>-801.86367928000004</v>
      </c>
      <c r="GQ117" s="75">
        <f t="shared" si="66"/>
        <v>-790.25701804000005</v>
      </c>
      <c r="GR117" s="75">
        <f t="shared" si="66"/>
        <v>-877.45789361000004</v>
      </c>
      <c r="GS117" s="75">
        <f t="shared" si="66"/>
        <v>-753.96155853309665</v>
      </c>
      <c r="GT117" s="75">
        <f t="shared" si="66"/>
        <v>-544.72222947</v>
      </c>
      <c r="GU117" s="75">
        <f t="shared" si="66"/>
        <v>-599.22678859999996</v>
      </c>
      <c r="GV117" s="75">
        <f t="shared" si="66"/>
        <v>-631.15807219999897</v>
      </c>
      <c r="GW117" s="75">
        <f t="shared" si="66"/>
        <v>-535.34951976000002</v>
      </c>
      <c r="GX117" s="75">
        <f t="shared" si="66"/>
        <v>-515.267057257754</v>
      </c>
      <c r="GY117" s="75">
        <f t="shared" si="66"/>
        <v>-494</v>
      </c>
      <c r="GZ117" s="75">
        <f t="shared" si="66"/>
        <v>-3</v>
      </c>
      <c r="HA117" s="75">
        <f t="shared" si="66"/>
        <v>0</v>
      </c>
      <c r="HB117" s="75">
        <f t="shared" si="66"/>
        <v>-6</v>
      </c>
      <c r="HC117" s="75">
        <f t="shared" si="66"/>
        <v>-2</v>
      </c>
      <c r="HD117" s="75">
        <f t="shared" si="66"/>
        <v>-489</v>
      </c>
      <c r="HE117" s="75">
        <f t="shared" si="66"/>
        <v>-1</v>
      </c>
      <c r="HF117" s="75">
        <f t="shared" si="66"/>
        <v>-1</v>
      </c>
      <c r="HG117" s="75">
        <f t="shared" si="66"/>
        <v>0</v>
      </c>
      <c r="HH117" s="75">
        <f t="shared" si="66"/>
        <v>-1</v>
      </c>
      <c r="HI117" s="75">
        <f t="shared" si="66"/>
        <v>-25.201778949102291</v>
      </c>
      <c r="HJ117" s="75">
        <f t="shared" si="66"/>
        <v>-25.139664804469273</v>
      </c>
      <c r="HK117" s="75">
        <f t="shared" si="66"/>
        <v>-23.17320703653586</v>
      </c>
      <c r="HL117" s="75">
        <f t="shared" si="66"/>
        <v>-25</v>
      </c>
      <c r="HM117" s="75">
        <f t="shared" si="66"/>
        <v>-36</v>
      </c>
      <c r="HN117" s="75">
        <f t="shared" si="66"/>
        <v>-25</v>
      </c>
      <c r="HO117" s="75">
        <f t="shared" si="66"/>
        <v>-29</v>
      </c>
      <c r="HP117" s="75">
        <f t="shared" si="66"/>
        <v>-36</v>
      </c>
      <c r="HQ117" s="75">
        <f t="shared" si="66"/>
        <v>-32</v>
      </c>
      <c r="HR117" s="75">
        <f t="shared" si="66"/>
        <v>-52</v>
      </c>
      <c r="HS117" s="75">
        <f t="shared" si="66"/>
        <v>-56</v>
      </c>
      <c r="HT117" s="75">
        <f t="shared" si="66"/>
        <v>-66</v>
      </c>
      <c r="HU117" s="75">
        <f t="shared" si="66"/>
        <v>-53</v>
      </c>
    </row>
    <row r="118" spans="1:230" x14ac:dyDescent="0.2">
      <c r="HI118" s="78"/>
      <c r="HJ118" s="78"/>
      <c r="HK118" s="78"/>
      <c r="HL118" s="78"/>
    </row>
    <row r="119" spans="1:230" x14ac:dyDescent="0.2">
      <c r="HI119" s="78"/>
      <c r="HJ119" s="78"/>
      <c r="HK119" s="78"/>
      <c r="HL119" s="78"/>
    </row>
    <row r="120" spans="1:230" x14ac:dyDescent="0.2">
      <c r="HI120" s="78"/>
      <c r="HJ120" s="78"/>
      <c r="HK120" s="78"/>
      <c r="HL120" s="78"/>
    </row>
    <row r="121" spans="1:230" x14ac:dyDescent="0.2">
      <c r="HI121" s="78"/>
      <c r="HJ121" s="78"/>
      <c r="HK121" s="78"/>
      <c r="HL121" s="78"/>
    </row>
    <row r="122" spans="1:230" x14ac:dyDescent="0.2">
      <c r="HI122" s="78"/>
      <c r="HJ122" s="78"/>
      <c r="HK122" s="78"/>
      <c r="HL122" s="78"/>
    </row>
    <row r="123" spans="1:230" x14ac:dyDescent="0.2">
      <c r="HI123" s="78"/>
      <c r="HJ123" s="78"/>
      <c r="HK123" s="78"/>
      <c r="HL123" s="78"/>
    </row>
    <row r="124" spans="1:230" x14ac:dyDescent="0.2">
      <c r="HI124" s="78"/>
      <c r="HJ124" s="78"/>
      <c r="HK124" s="78"/>
      <c r="HL124" s="78"/>
    </row>
    <row r="125" spans="1:230" x14ac:dyDescent="0.2">
      <c r="HI125" s="78"/>
      <c r="HJ125" s="78"/>
      <c r="HK125" s="78"/>
      <c r="HL125" s="78"/>
    </row>
    <row r="126" spans="1:230" x14ac:dyDescent="0.2">
      <c r="HI126" s="78"/>
      <c r="HJ126" s="78"/>
      <c r="HK126" s="78"/>
      <c r="HL126" s="78"/>
    </row>
    <row r="127" spans="1:230" x14ac:dyDescent="0.2">
      <c r="A127" s="37">
        <v>1</v>
      </c>
      <c r="B127" s="37">
        <v>2</v>
      </c>
      <c r="D127" s="89">
        <v>3</v>
      </c>
      <c r="E127" s="98">
        <v>4</v>
      </c>
      <c r="F127" s="98">
        <v>5</v>
      </c>
      <c r="G127" s="98">
        <v>6</v>
      </c>
      <c r="H127" s="43">
        <v>7</v>
      </c>
      <c r="I127" s="42">
        <v>8</v>
      </c>
      <c r="J127" s="42">
        <v>9</v>
      </c>
      <c r="K127" s="42">
        <v>10</v>
      </c>
      <c r="L127" s="43">
        <v>11</v>
      </c>
      <c r="M127" s="43">
        <v>12</v>
      </c>
      <c r="N127" s="43">
        <v>13</v>
      </c>
      <c r="O127" s="43">
        <v>14</v>
      </c>
      <c r="P127" s="42">
        <v>15</v>
      </c>
      <c r="Q127" s="42">
        <v>16</v>
      </c>
      <c r="R127" s="42">
        <v>17</v>
      </c>
      <c r="S127" s="43">
        <v>18</v>
      </c>
      <c r="T127" s="43">
        <v>19</v>
      </c>
      <c r="U127" s="43">
        <v>20</v>
      </c>
      <c r="V127" s="43">
        <v>21</v>
      </c>
      <c r="W127" s="42">
        <v>22</v>
      </c>
      <c r="X127" s="42">
        <v>23</v>
      </c>
      <c r="Y127" s="42">
        <v>24</v>
      </c>
      <c r="Z127" s="43">
        <v>25</v>
      </c>
      <c r="AA127" s="43">
        <v>26</v>
      </c>
      <c r="AB127" s="43">
        <v>27</v>
      </c>
      <c r="AC127" s="43">
        <v>28</v>
      </c>
      <c r="AD127" s="42">
        <v>29</v>
      </c>
      <c r="AE127" s="42">
        <v>30</v>
      </c>
      <c r="AF127" s="42">
        <v>31</v>
      </c>
      <c r="AG127" s="43">
        <v>32</v>
      </c>
      <c r="AH127" s="43">
        <v>33</v>
      </c>
      <c r="AI127" s="43">
        <v>34</v>
      </c>
      <c r="AJ127" s="43">
        <v>35</v>
      </c>
      <c r="AK127" s="42">
        <v>36</v>
      </c>
      <c r="AL127" s="42">
        <v>37</v>
      </c>
      <c r="AM127" s="42">
        <v>38</v>
      </c>
      <c r="AN127" s="43">
        <v>39</v>
      </c>
      <c r="AO127" s="43">
        <v>40</v>
      </c>
      <c r="AP127" s="43">
        <v>41</v>
      </c>
      <c r="AQ127" s="43">
        <v>42</v>
      </c>
      <c r="AR127" s="42">
        <v>43</v>
      </c>
      <c r="AS127" s="42">
        <v>44</v>
      </c>
      <c r="AT127" s="42">
        <v>45</v>
      </c>
      <c r="AU127" s="43">
        <v>46</v>
      </c>
      <c r="AV127" s="43">
        <v>47</v>
      </c>
      <c r="AW127" s="43">
        <v>48</v>
      </c>
      <c r="AX127" s="43">
        <v>49</v>
      </c>
      <c r="AY127" s="42">
        <v>50</v>
      </c>
      <c r="AZ127" s="42">
        <v>51</v>
      </c>
      <c r="BA127" s="42">
        <v>52</v>
      </c>
      <c r="BB127" s="43">
        <v>53</v>
      </c>
      <c r="BC127" s="43">
        <v>54</v>
      </c>
      <c r="BD127" s="43">
        <v>55</v>
      </c>
      <c r="BE127" s="43">
        <v>56</v>
      </c>
      <c r="BF127" s="42">
        <v>57</v>
      </c>
      <c r="BG127" s="42">
        <v>58</v>
      </c>
      <c r="BH127" s="42">
        <v>59</v>
      </c>
      <c r="BI127" s="43">
        <v>60</v>
      </c>
      <c r="BJ127" s="43">
        <v>61</v>
      </c>
      <c r="BK127" s="43">
        <v>62</v>
      </c>
      <c r="BL127" s="43">
        <v>63</v>
      </c>
      <c r="BM127" s="42">
        <v>64</v>
      </c>
      <c r="BN127" s="42">
        <v>65</v>
      </c>
      <c r="BO127" s="42">
        <v>66</v>
      </c>
      <c r="BP127" s="43">
        <v>67</v>
      </c>
      <c r="BQ127" s="43">
        <v>68</v>
      </c>
      <c r="BR127" s="43">
        <v>69</v>
      </c>
      <c r="BS127" s="43">
        <v>70</v>
      </c>
      <c r="BT127" s="42">
        <v>71</v>
      </c>
      <c r="BU127" s="42">
        <v>72</v>
      </c>
      <c r="BV127" s="42">
        <v>73</v>
      </c>
      <c r="BW127" s="43">
        <v>74</v>
      </c>
      <c r="BX127" s="43">
        <v>75</v>
      </c>
      <c r="BY127" s="43">
        <v>76</v>
      </c>
      <c r="BZ127" s="43">
        <v>77</v>
      </c>
      <c r="CA127" s="42">
        <v>78</v>
      </c>
      <c r="CB127" s="42">
        <v>79</v>
      </c>
      <c r="CC127" s="42">
        <v>80</v>
      </c>
      <c r="CD127" s="43">
        <v>81</v>
      </c>
      <c r="CE127" s="43">
        <v>82</v>
      </c>
      <c r="CF127" s="43">
        <v>83</v>
      </c>
      <c r="CG127" s="43">
        <v>84</v>
      </c>
      <c r="CH127" s="42">
        <v>85</v>
      </c>
      <c r="CI127" s="42">
        <v>86</v>
      </c>
      <c r="CJ127" s="42">
        <v>87</v>
      </c>
      <c r="CK127" s="43">
        <v>88</v>
      </c>
      <c r="CL127" s="43">
        <v>89</v>
      </c>
      <c r="CM127" s="43">
        <v>90</v>
      </c>
      <c r="CN127" s="43">
        <v>91</v>
      </c>
      <c r="CO127" s="42">
        <v>92</v>
      </c>
      <c r="CP127" s="42">
        <v>93</v>
      </c>
      <c r="CQ127" s="42">
        <v>94</v>
      </c>
      <c r="CR127" s="43">
        <v>95</v>
      </c>
      <c r="CS127" s="43">
        <v>96</v>
      </c>
      <c r="CT127" s="43">
        <v>97</v>
      </c>
      <c r="CU127" s="43">
        <v>98</v>
      </c>
      <c r="CV127" s="42">
        <v>99</v>
      </c>
      <c r="CW127" s="42">
        <v>100</v>
      </c>
      <c r="CX127" s="42">
        <v>101</v>
      </c>
      <c r="CY127" s="43">
        <v>102</v>
      </c>
      <c r="CZ127" s="43">
        <v>103</v>
      </c>
      <c r="DA127" s="43">
        <v>104</v>
      </c>
      <c r="DB127" s="43">
        <v>105</v>
      </c>
      <c r="DC127" s="42">
        <v>106</v>
      </c>
      <c r="DD127" s="42">
        <v>107</v>
      </c>
      <c r="DE127" s="42">
        <v>108</v>
      </c>
      <c r="DF127" s="43">
        <v>109</v>
      </c>
      <c r="DG127" s="43">
        <v>110</v>
      </c>
      <c r="DH127" s="43">
        <v>111</v>
      </c>
      <c r="DI127" s="43">
        <v>112</v>
      </c>
      <c r="DJ127" s="42">
        <v>113</v>
      </c>
      <c r="DK127" s="42">
        <v>114</v>
      </c>
      <c r="DL127" s="42">
        <v>115</v>
      </c>
      <c r="DM127" s="43">
        <v>116</v>
      </c>
      <c r="DN127" s="43">
        <v>117</v>
      </c>
      <c r="DO127" s="43">
        <v>118</v>
      </c>
      <c r="DP127" s="43">
        <v>119</v>
      </c>
      <c r="DQ127" s="42">
        <v>120</v>
      </c>
      <c r="DR127" s="42">
        <v>121</v>
      </c>
      <c r="DS127" s="42">
        <v>122</v>
      </c>
      <c r="DT127" s="43">
        <v>123</v>
      </c>
      <c r="DU127" s="43">
        <v>124</v>
      </c>
      <c r="DV127" s="43">
        <v>125</v>
      </c>
      <c r="DW127" s="43">
        <v>126</v>
      </c>
      <c r="DX127" s="42">
        <v>127</v>
      </c>
      <c r="DY127" s="42">
        <v>128</v>
      </c>
      <c r="DZ127" s="42">
        <v>129</v>
      </c>
      <c r="EA127" s="43">
        <v>130</v>
      </c>
      <c r="EB127" s="43">
        <v>131</v>
      </c>
      <c r="EC127" s="43">
        <v>132</v>
      </c>
      <c r="ED127" s="43">
        <v>133</v>
      </c>
      <c r="EE127" s="42">
        <v>134</v>
      </c>
      <c r="EF127" s="42">
        <v>135</v>
      </c>
      <c r="EG127" s="42">
        <v>136</v>
      </c>
      <c r="EH127" s="43">
        <v>137</v>
      </c>
      <c r="EI127" s="43">
        <v>138</v>
      </c>
      <c r="EJ127" s="43">
        <v>139</v>
      </c>
      <c r="EK127" s="43">
        <v>140</v>
      </c>
      <c r="EL127" s="42">
        <v>141</v>
      </c>
      <c r="EM127" s="42">
        <v>142</v>
      </c>
      <c r="EN127" s="42">
        <v>143</v>
      </c>
      <c r="EO127" s="43">
        <v>144</v>
      </c>
      <c r="EP127" s="43">
        <v>145</v>
      </c>
      <c r="EQ127" s="43">
        <v>146</v>
      </c>
      <c r="ER127" s="43">
        <v>147</v>
      </c>
      <c r="ES127" s="42">
        <v>148</v>
      </c>
      <c r="ET127" s="42">
        <v>149</v>
      </c>
      <c r="EU127" s="42">
        <v>150</v>
      </c>
      <c r="EV127" s="43">
        <v>151</v>
      </c>
      <c r="EW127" s="43">
        <v>152</v>
      </c>
      <c r="EX127" s="43">
        <v>153</v>
      </c>
      <c r="EY127" s="43">
        <v>154</v>
      </c>
      <c r="EZ127" s="42">
        <v>155</v>
      </c>
      <c r="FA127" s="42">
        <v>156</v>
      </c>
      <c r="FB127" s="42">
        <v>157</v>
      </c>
      <c r="FC127" s="43">
        <v>158</v>
      </c>
      <c r="FD127" s="43">
        <v>159</v>
      </c>
      <c r="FE127" s="43">
        <v>160</v>
      </c>
      <c r="FF127" s="43">
        <v>161</v>
      </c>
      <c r="FG127" s="42">
        <v>162</v>
      </c>
      <c r="FH127" s="42">
        <v>163</v>
      </c>
      <c r="FI127" s="42">
        <v>164</v>
      </c>
      <c r="FJ127" s="43">
        <v>165</v>
      </c>
      <c r="FK127" s="43">
        <v>166</v>
      </c>
      <c r="FL127" s="43">
        <v>167</v>
      </c>
      <c r="FM127" s="43">
        <v>168</v>
      </c>
      <c r="FN127" s="42">
        <v>169</v>
      </c>
      <c r="FO127" s="42">
        <v>170</v>
      </c>
      <c r="FP127" s="42">
        <v>171</v>
      </c>
      <c r="FQ127" s="43">
        <v>172</v>
      </c>
      <c r="FR127" s="43">
        <v>173</v>
      </c>
      <c r="FS127" s="43">
        <v>174</v>
      </c>
      <c r="FT127" s="43">
        <v>175</v>
      </c>
      <c r="FU127" s="42">
        <v>176</v>
      </c>
      <c r="FV127" s="42">
        <v>177</v>
      </c>
      <c r="FW127" s="42">
        <v>178</v>
      </c>
      <c r="FX127" s="43">
        <v>179</v>
      </c>
      <c r="FY127" s="43">
        <v>180</v>
      </c>
      <c r="FZ127" s="43">
        <v>181</v>
      </c>
      <c r="GA127" s="43">
        <v>182</v>
      </c>
      <c r="GB127" s="42">
        <v>183</v>
      </c>
      <c r="GC127" s="37">
        <v>184</v>
      </c>
      <c r="GD127" s="37">
        <v>185</v>
      </c>
      <c r="GE127" s="84">
        <v>186</v>
      </c>
      <c r="GF127" s="84">
        <v>187</v>
      </c>
      <c r="GG127" s="84">
        <v>188</v>
      </c>
      <c r="GH127" s="84">
        <v>189</v>
      </c>
      <c r="GI127" s="37">
        <v>190</v>
      </c>
      <c r="GJ127" s="37">
        <v>191</v>
      </c>
      <c r="GK127" s="37">
        <v>192</v>
      </c>
      <c r="GL127" s="84">
        <v>193</v>
      </c>
      <c r="GM127" s="84">
        <v>194</v>
      </c>
      <c r="GN127" s="84">
        <v>195</v>
      </c>
      <c r="GO127" s="84">
        <v>196</v>
      </c>
      <c r="GP127" s="37">
        <v>197</v>
      </c>
      <c r="GQ127" s="37">
        <v>198</v>
      </c>
      <c r="GR127" s="37">
        <v>199</v>
      </c>
      <c r="GS127" s="84">
        <v>200</v>
      </c>
      <c r="GT127" s="84">
        <v>201</v>
      </c>
      <c r="GU127" s="84">
        <v>202</v>
      </c>
      <c r="GV127" s="84">
        <v>203</v>
      </c>
      <c r="GW127" s="37">
        <v>204</v>
      </c>
      <c r="GX127" s="37">
        <v>205</v>
      </c>
      <c r="GY127" s="37">
        <v>206</v>
      </c>
      <c r="GZ127" s="84">
        <v>207</v>
      </c>
      <c r="HA127" s="84">
        <v>208</v>
      </c>
      <c r="HB127" s="84">
        <v>209</v>
      </c>
      <c r="HC127" s="84">
        <v>210</v>
      </c>
      <c r="HD127" s="37">
        <v>211</v>
      </c>
      <c r="HE127" s="37">
        <v>212</v>
      </c>
      <c r="HF127" s="37">
        <v>213</v>
      </c>
      <c r="HG127" s="84">
        <v>214</v>
      </c>
      <c r="HH127" s="84">
        <v>215</v>
      </c>
      <c r="HI127" s="78"/>
      <c r="HJ127" s="78"/>
      <c r="HK127" s="78"/>
      <c r="HL127" s="78"/>
      <c r="HM127" s="84">
        <v>220</v>
      </c>
      <c r="HN127" s="84">
        <v>221</v>
      </c>
      <c r="HO127" s="84">
        <v>222</v>
      </c>
      <c r="HP127" s="84">
        <v>223</v>
      </c>
      <c r="HQ127" s="84">
        <v>224</v>
      </c>
      <c r="HR127" s="84">
        <v>225</v>
      </c>
      <c r="HS127" s="84">
        <v>226</v>
      </c>
      <c r="HT127" s="84">
        <v>227</v>
      </c>
      <c r="HU127" s="84">
        <v>228</v>
      </c>
    </row>
    <row r="128" spans="1:230" x14ac:dyDescent="0.2">
      <c r="HI128" s="78"/>
      <c r="HJ128" s="78"/>
      <c r="HK128" s="78"/>
      <c r="HL128" s="78"/>
    </row>
    <row r="129" spans="217:220" x14ac:dyDescent="0.2">
      <c r="HI129" s="78"/>
      <c r="HJ129" s="78"/>
      <c r="HK129" s="78"/>
      <c r="HL129" s="78"/>
    </row>
    <row r="130" spans="217:220" x14ac:dyDescent="0.2">
      <c r="HI130" s="78"/>
      <c r="HJ130" s="78"/>
      <c r="HK130" s="78"/>
      <c r="HL130" s="78"/>
    </row>
    <row r="131" spans="217:220" x14ac:dyDescent="0.2">
      <c r="HI131" s="78"/>
      <c r="HJ131" s="78"/>
      <c r="HK131" s="78"/>
      <c r="HL131" s="78"/>
    </row>
    <row r="132" spans="217:220" x14ac:dyDescent="0.2">
      <c r="HI132" s="78"/>
      <c r="HJ132" s="78"/>
      <c r="HK132" s="78"/>
      <c r="HL132" s="78"/>
    </row>
    <row r="133" spans="217:220" x14ac:dyDescent="0.2">
      <c r="HI133" s="78"/>
      <c r="HJ133" s="78"/>
      <c r="HK133" s="78"/>
      <c r="HL133" s="78"/>
    </row>
    <row r="134" spans="217:220" x14ac:dyDescent="0.2">
      <c r="HI134" s="78"/>
      <c r="HJ134" s="78"/>
      <c r="HK134" s="78"/>
      <c r="HL134" s="78"/>
    </row>
    <row r="135" spans="217:220" x14ac:dyDescent="0.2">
      <c r="HI135" s="78"/>
      <c r="HJ135" s="78"/>
      <c r="HK135" s="78"/>
      <c r="HL135" s="78"/>
    </row>
    <row r="136" spans="217:220" x14ac:dyDescent="0.2">
      <c r="HI136" s="78"/>
      <c r="HJ136" s="78"/>
      <c r="HK136" s="78"/>
      <c r="HL136" s="78"/>
    </row>
    <row r="137" spans="217:220" x14ac:dyDescent="0.2">
      <c r="HI137" s="78"/>
      <c r="HJ137" s="78"/>
      <c r="HK137" s="78"/>
      <c r="HL137" s="78"/>
    </row>
    <row r="138" spans="217:220" x14ac:dyDescent="0.2">
      <c r="HI138" s="78"/>
      <c r="HJ138" s="78"/>
      <c r="HK138" s="78"/>
      <c r="HL138" s="78"/>
    </row>
    <row r="139" spans="217:220" x14ac:dyDescent="0.2">
      <c r="HI139" s="78"/>
      <c r="HJ139" s="78"/>
      <c r="HK139" s="78"/>
      <c r="HL139" s="78"/>
    </row>
    <row r="140" spans="217:220" x14ac:dyDescent="0.2">
      <c r="HI140" s="78"/>
      <c r="HJ140" s="78"/>
      <c r="HK140" s="78"/>
      <c r="HL140" s="78"/>
    </row>
    <row r="141" spans="217:220" x14ac:dyDescent="0.2">
      <c r="HI141" s="78"/>
      <c r="HJ141" s="78"/>
      <c r="HK141" s="78"/>
      <c r="HL141" s="78"/>
    </row>
    <row r="142" spans="217:220" x14ac:dyDescent="0.2">
      <c r="HI142" s="78"/>
      <c r="HJ142" s="78"/>
      <c r="HK142" s="78"/>
      <c r="HL142" s="78"/>
    </row>
    <row r="143" spans="217:220" x14ac:dyDescent="0.2">
      <c r="HI143" s="78"/>
      <c r="HJ143" s="78"/>
      <c r="HK143" s="78"/>
      <c r="HL143" s="78"/>
    </row>
    <row r="144" spans="217:220" x14ac:dyDescent="0.2">
      <c r="HI144" s="78"/>
      <c r="HJ144" s="78"/>
      <c r="HK144" s="78"/>
      <c r="HL144" s="78"/>
    </row>
    <row r="145" spans="217:220" x14ac:dyDescent="0.2">
      <c r="HI145" s="78"/>
      <c r="HJ145" s="78"/>
      <c r="HK145" s="78"/>
      <c r="HL145" s="78"/>
    </row>
    <row r="146" spans="217:220" x14ac:dyDescent="0.2">
      <c r="HI146" s="78"/>
      <c r="HJ146" s="78"/>
      <c r="HK146" s="78"/>
      <c r="HL146" s="78"/>
    </row>
    <row r="147" spans="217:220" x14ac:dyDescent="0.2">
      <c r="HI147" s="78"/>
      <c r="HJ147" s="78"/>
      <c r="HK147" s="78"/>
      <c r="HL147" s="78"/>
    </row>
    <row r="148" spans="217:220" x14ac:dyDescent="0.2">
      <c r="HI148" s="78"/>
      <c r="HJ148" s="78"/>
      <c r="HK148" s="78"/>
      <c r="HL148" s="78"/>
    </row>
    <row r="149" spans="217:220" x14ac:dyDescent="0.2">
      <c r="HI149" s="78"/>
      <c r="HJ149" s="78"/>
      <c r="HK149" s="78"/>
      <c r="HL149" s="78"/>
    </row>
    <row r="150" spans="217:220" x14ac:dyDescent="0.2">
      <c r="HI150" s="78"/>
      <c r="HJ150" s="78"/>
      <c r="HK150" s="78"/>
      <c r="HL150" s="78"/>
    </row>
    <row r="151" spans="217:220" x14ac:dyDescent="0.2">
      <c r="HI151" s="78"/>
      <c r="HJ151" s="78"/>
      <c r="HK151" s="78"/>
      <c r="HL151" s="78"/>
    </row>
    <row r="152" spans="217:220" x14ac:dyDescent="0.2">
      <c r="HI152" s="78"/>
      <c r="HJ152" s="78"/>
      <c r="HK152" s="78"/>
      <c r="HL152" s="78"/>
    </row>
    <row r="153" spans="217:220" x14ac:dyDescent="0.2">
      <c r="HI153" s="78"/>
      <c r="HJ153" s="78"/>
      <c r="HK153" s="78"/>
      <c r="HL153" s="78"/>
    </row>
    <row r="154" spans="217:220" x14ac:dyDescent="0.2">
      <c r="HI154" s="78"/>
      <c r="HJ154" s="78"/>
      <c r="HK154" s="78"/>
      <c r="HL154" s="78"/>
    </row>
    <row r="155" spans="217:220" x14ac:dyDescent="0.2">
      <c r="HI155" s="78"/>
      <c r="HJ155" s="78"/>
      <c r="HK155" s="78"/>
      <c r="HL155" s="78"/>
    </row>
    <row r="156" spans="217:220" x14ac:dyDescent="0.2">
      <c r="HI156" s="78"/>
      <c r="HJ156" s="78"/>
      <c r="HK156" s="78"/>
      <c r="HL156" s="78"/>
    </row>
    <row r="157" spans="217:220" x14ac:dyDescent="0.2">
      <c r="HI157" s="78"/>
      <c r="HJ157" s="78"/>
      <c r="HK157" s="78"/>
      <c r="HL157" s="78"/>
    </row>
    <row r="158" spans="217:220" x14ac:dyDescent="0.2">
      <c r="HI158" s="78"/>
      <c r="HJ158" s="78"/>
      <c r="HK158" s="78"/>
      <c r="HL158" s="78"/>
    </row>
    <row r="159" spans="217:220" x14ac:dyDescent="0.2">
      <c r="HI159" s="78"/>
      <c r="HJ159" s="78"/>
      <c r="HK159" s="78"/>
      <c r="HL159" s="78"/>
    </row>
    <row r="160" spans="217:220" x14ac:dyDescent="0.2">
      <c r="HI160" s="78"/>
      <c r="HJ160" s="78"/>
      <c r="HK160" s="78"/>
      <c r="HL160" s="78"/>
    </row>
    <row r="161" spans="217:220" x14ac:dyDescent="0.2">
      <c r="HI161" s="78"/>
      <c r="HJ161" s="78"/>
      <c r="HK161" s="78"/>
      <c r="HL161" s="78"/>
    </row>
    <row r="162" spans="217:220" x14ac:dyDescent="0.2">
      <c r="HI162" s="78"/>
      <c r="HJ162" s="78"/>
      <c r="HK162" s="78"/>
      <c r="HL162" s="78"/>
    </row>
    <row r="163" spans="217:220" x14ac:dyDescent="0.2">
      <c r="HI163" s="78"/>
      <c r="HJ163" s="78"/>
      <c r="HK163" s="78"/>
      <c r="HL163" s="78"/>
    </row>
    <row r="164" spans="217:220" x14ac:dyDescent="0.2">
      <c r="HI164" s="78"/>
      <c r="HJ164" s="78"/>
      <c r="HK164" s="78"/>
      <c r="HL164" s="78"/>
    </row>
    <row r="165" spans="217:220" x14ac:dyDescent="0.2">
      <c r="HI165" s="78"/>
      <c r="HJ165" s="78"/>
      <c r="HK165" s="78"/>
      <c r="HL165" s="78"/>
    </row>
    <row r="166" spans="217:220" x14ac:dyDescent="0.2">
      <c r="HI166" s="78"/>
      <c r="HJ166" s="78"/>
      <c r="HK166" s="78"/>
      <c r="HL166" s="78"/>
    </row>
    <row r="167" spans="217:220" x14ac:dyDescent="0.2">
      <c r="HI167" s="78"/>
      <c r="HJ167" s="78"/>
      <c r="HK167" s="78"/>
      <c r="HL167" s="78"/>
    </row>
    <row r="168" spans="217:220" x14ac:dyDescent="0.2">
      <c r="HI168" s="78"/>
      <c r="HJ168" s="78"/>
      <c r="HK168" s="78"/>
      <c r="HL168" s="78"/>
    </row>
    <row r="169" spans="217:220" x14ac:dyDescent="0.2">
      <c r="HI169" s="78"/>
      <c r="HJ169" s="78"/>
      <c r="HK169" s="78"/>
      <c r="HL169" s="78"/>
    </row>
    <row r="170" spans="217:220" x14ac:dyDescent="0.2">
      <c r="HI170" s="78"/>
      <c r="HJ170" s="78"/>
      <c r="HK170" s="78"/>
      <c r="HL170" s="78"/>
    </row>
    <row r="171" spans="217:220" x14ac:dyDescent="0.2">
      <c r="HI171" s="78"/>
      <c r="HJ171" s="78"/>
      <c r="HK171" s="78"/>
      <c r="HL171" s="78"/>
    </row>
    <row r="172" spans="217:220" x14ac:dyDescent="0.2">
      <c r="HI172" s="78"/>
      <c r="HJ172" s="78"/>
      <c r="HK172" s="78"/>
      <c r="HL172" s="78"/>
    </row>
    <row r="173" spans="217:220" x14ac:dyDescent="0.2">
      <c r="HI173" s="78"/>
      <c r="HJ173" s="78"/>
      <c r="HK173" s="78"/>
      <c r="HL173" s="78"/>
    </row>
    <row r="174" spans="217:220" x14ac:dyDescent="0.2">
      <c r="HI174" s="78"/>
      <c r="HJ174" s="78"/>
      <c r="HK174" s="78"/>
      <c r="HL174" s="78"/>
    </row>
    <row r="175" spans="217:220" x14ac:dyDescent="0.2">
      <c r="HI175" s="78"/>
      <c r="HJ175" s="78"/>
      <c r="HK175" s="78"/>
      <c r="HL175" s="78"/>
    </row>
    <row r="176" spans="217:220" x14ac:dyDescent="0.2">
      <c r="HI176" s="78"/>
      <c r="HJ176" s="78"/>
      <c r="HK176" s="78"/>
      <c r="HL176" s="78"/>
    </row>
    <row r="177" spans="217:220" x14ac:dyDescent="0.2">
      <c r="HI177" s="78"/>
      <c r="HJ177" s="78"/>
      <c r="HK177" s="78"/>
      <c r="HL177" s="78"/>
    </row>
    <row r="178" spans="217:220" x14ac:dyDescent="0.2">
      <c r="HI178" s="78"/>
      <c r="HJ178" s="78"/>
      <c r="HK178" s="78"/>
      <c r="HL178" s="78"/>
    </row>
  </sheetData>
  <mergeCells count="45">
    <mergeCell ref="BA1:BE1"/>
    <mergeCell ref="BF1:BJ1"/>
    <mergeCell ref="BK1:BN1"/>
    <mergeCell ref="BO1:BR1"/>
    <mergeCell ref="AL1:AP1"/>
    <mergeCell ref="W1:AA1"/>
    <mergeCell ref="R1:V1"/>
    <mergeCell ref="AQ1:AU1"/>
    <mergeCell ref="AV1:AZ1"/>
    <mergeCell ref="C1:G1"/>
    <mergeCell ref="H1:L1"/>
    <mergeCell ref="M1:Q1"/>
    <mergeCell ref="AB1:AF1"/>
    <mergeCell ref="AG1:AK1"/>
    <mergeCell ref="BS1:BV1"/>
    <mergeCell ref="BW1:BZ1"/>
    <mergeCell ref="CA1:CD1"/>
    <mergeCell ref="CE1:CH1"/>
    <mergeCell ref="CI1:CL1"/>
    <mergeCell ref="CM1:CP1"/>
    <mergeCell ref="CQ1:CT1"/>
    <mergeCell ref="CU1:CX1"/>
    <mergeCell ref="CY1:DB1"/>
    <mergeCell ref="DC1:DF1"/>
    <mergeCell ref="DG1:DJ1"/>
    <mergeCell ref="DK1:DN1"/>
    <mergeCell ref="EJ1:EN1"/>
    <mergeCell ref="EO1:ER1"/>
    <mergeCell ref="ES1:EV1"/>
    <mergeCell ref="GY1:HC1"/>
    <mergeCell ref="DO1:DR1"/>
    <mergeCell ref="DS1:DV1"/>
    <mergeCell ref="DW1:EA1"/>
    <mergeCell ref="EB1:EE1"/>
    <mergeCell ref="EF1:EI1"/>
    <mergeCell ref="EW1:EZ1"/>
    <mergeCell ref="FA1:FD1"/>
    <mergeCell ref="FE1:FH1"/>
    <mergeCell ref="FI1:FL1"/>
    <mergeCell ref="FM1:FP1"/>
    <mergeCell ref="FQ1:FT1"/>
    <mergeCell ref="FU1:FX1"/>
    <mergeCell ref="FY1:GB1"/>
    <mergeCell ref="GC1:GF1"/>
    <mergeCell ref="GG1:GJ1"/>
  </mergeCells>
  <phoneticPr fontId="0" type="noConversion"/>
  <pageMargins left="0.75" right="0.75" top="1" bottom="1" header="0.5" footer="0.5"/>
  <pageSetup orientation="portrait" r:id="rId1"/>
  <headerFooter alignWithMargins="0">
    <oddHeader>&amp;LDemographics</oddHeader>
    <oddFooter>&amp;L&amp;8Center for Health Statistics
Minnesota Department of Health&amp;R&amp;8&amp;P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showGridLines="0" zoomScale="85" zoomScaleNormal="85" zoomScaleSheetLayoutView="100" workbookViewId="0">
      <selection activeCell="O32" sqref="O32"/>
    </sheetView>
  </sheetViews>
  <sheetFormatPr defaultRowHeight="12.75" x14ac:dyDescent="0.2"/>
  <sheetData>
    <row r="2" spans="1:10" ht="18.75" customHeight="1" x14ac:dyDescent="0.2">
      <c r="B2" s="7"/>
      <c r="C2" s="7"/>
      <c r="D2" s="7"/>
      <c r="E2" s="7"/>
      <c r="F2" s="7"/>
      <c r="G2" s="7"/>
      <c r="H2" s="7"/>
    </row>
    <row r="3" spans="1:10" ht="18.75" customHeight="1" x14ac:dyDescent="0.2">
      <c r="B3" s="7"/>
      <c r="C3" s="7"/>
      <c r="D3" s="7"/>
      <c r="E3" s="7"/>
      <c r="F3" s="7"/>
      <c r="G3" s="7"/>
      <c r="H3" s="7"/>
    </row>
    <row r="4" spans="1:10" ht="18.75" customHeight="1" x14ac:dyDescent="0.2">
      <c r="B4" s="7"/>
      <c r="C4" s="7"/>
      <c r="D4" s="7"/>
      <c r="E4" s="7"/>
      <c r="F4" s="7"/>
      <c r="G4" s="7"/>
      <c r="H4" s="7"/>
    </row>
    <row r="5" spans="1:10" ht="18.75" x14ac:dyDescent="0.2">
      <c r="B5" s="7"/>
    </row>
    <row r="6" spans="1:10" ht="18.75" x14ac:dyDescent="0.2">
      <c r="B6" s="7"/>
    </row>
    <row r="7" spans="1:10" ht="15.75" x14ac:dyDescent="0.25">
      <c r="A7" s="1"/>
    </row>
    <row r="8" spans="1:10" ht="15.75" x14ac:dyDescent="0.25">
      <c r="A8" s="1"/>
    </row>
    <row r="9" spans="1:10" ht="15.75" x14ac:dyDescent="0.25">
      <c r="A9" s="1"/>
    </row>
    <row r="10" spans="1:10" ht="15.75" x14ac:dyDescent="0.25">
      <c r="A10" s="1"/>
    </row>
    <row r="11" spans="1:10" ht="15.75" x14ac:dyDescent="0.25">
      <c r="A11" s="1"/>
    </row>
    <row r="12" spans="1:10" ht="13.5" customHeight="1" x14ac:dyDescent="0.25">
      <c r="A12" s="1"/>
    </row>
    <row r="13" spans="1:10" ht="15.75" customHeight="1" x14ac:dyDescent="0.2">
      <c r="A13" s="180" t="s">
        <v>193</v>
      </c>
      <c r="B13" s="181"/>
      <c r="C13" s="181"/>
      <c r="D13" s="181"/>
      <c r="E13" s="181"/>
      <c r="F13" s="181"/>
      <c r="G13" s="181"/>
      <c r="H13" s="181"/>
      <c r="I13" s="181"/>
      <c r="J13" s="181"/>
    </row>
    <row r="14" spans="1:10" ht="15.75" customHeight="1" x14ac:dyDescent="0.2">
      <c r="A14" s="181"/>
      <c r="B14" s="181"/>
      <c r="C14" s="181"/>
      <c r="D14" s="181"/>
      <c r="E14" s="181"/>
      <c r="F14" s="181"/>
      <c r="G14" s="181"/>
      <c r="H14" s="181"/>
      <c r="I14" s="181"/>
      <c r="J14" s="181"/>
    </row>
    <row r="15" spans="1:10" ht="15.75" customHeight="1" x14ac:dyDescent="0.2">
      <c r="A15" s="181"/>
      <c r="B15" s="181"/>
      <c r="C15" s="181"/>
      <c r="D15" s="181"/>
      <c r="E15" s="181"/>
      <c r="F15" s="181"/>
      <c r="G15" s="181"/>
      <c r="H15" s="181"/>
      <c r="I15" s="181"/>
      <c r="J15" s="181"/>
    </row>
    <row r="16" spans="1:10" ht="15.75" customHeight="1" x14ac:dyDescent="0.2">
      <c r="A16" s="181"/>
      <c r="B16" s="181"/>
      <c r="C16" s="181"/>
      <c r="D16" s="181"/>
      <c r="E16" s="181"/>
      <c r="F16" s="181"/>
      <c r="G16" s="181"/>
      <c r="H16" s="181"/>
      <c r="I16" s="181"/>
      <c r="J16" s="181"/>
    </row>
    <row r="17" spans="1:10" ht="15.75" customHeight="1" x14ac:dyDescent="0.2">
      <c r="A17" s="181"/>
      <c r="B17" s="181"/>
      <c r="C17" s="181"/>
      <c r="D17" s="181"/>
      <c r="E17" s="181"/>
      <c r="F17" s="181"/>
      <c r="G17" s="181"/>
      <c r="H17" s="181"/>
      <c r="I17" s="181"/>
      <c r="J17" s="181"/>
    </row>
    <row r="18" spans="1:10" ht="15.75" customHeight="1" x14ac:dyDescent="0.2">
      <c r="A18" s="181"/>
      <c r="B18" s="181"/>
      <c r="C18" s="181"/>
      <c r="D18" s="181"/>
      <c r="E18" s="181"/>
      <c r="F18" s="181"/>
      <c r="G18" s="181"/>
      <c r="H18" s="181"/>
      <c r="I18" s="181"/>
      <c r="J18" s="181"/>
    </row>
    <row r="19" spans="1:10" ht="15.75" customHeight="1" x14ac:dyDescent="0.2">
      <c r="A19" s="181"/>
      <c r="B19" s="181"/>
      <c r="C19" s="181"/>
      <c r="D19" s="181"/>
      <c r="E19" s="181"/>
      <c r="F19" s="181"/>
      <c r="G19" s="181"/>
      <c r="H19" s="181"/>
      <c r="I19" s="181"/>
      <c r="J19" s="181"/>
    </row>
    <row r="20" spans="1:10" ht="15" customHeight="1" x14ac:dyDescent="0.2">
      <c r="A20" s="181"/>
      <c r="B20" s="181"/>
      <c r="C20" s="181"/>
      <c r="D20" s="181"/>
      <c r="E20" s="181"/>
      <c r="F20" s="181"/>
      <c r="G20" s="181"/>
      <c r="H20" s="181"/>
      <c r="I20" s="181"/>
      <c r="J20" s="181"/>
    </row>
    <row r="21" spans="1:10" ht="15.75" x14ac:dyDescent="0.25">
      <c r="A21" s="2"/>
    </row>
    <row r="22" spans="1:10" ht="15.75" x14ac:dyDescent="0.25">
      <c r="A22" s="2"/>
    </row>
    <row r="23" spans="1:10" ht="15.75" x14ac:dyDescent="0.25">
      <c r="A23" s="2"/>
    </row>
    <row r="24" spans="1:10" ht="15.75" x14ac:dyDescent="0.25">
      <c r="A24" s="2"/>
    </row>
    <row r="25" spans="1:10" ht="15.75" x14ac:dyDescent="0.25">
      <c r="A25" s="2"/>
    </row>
    <row r="26" spans="1:10" ht="15.75" x14ac:dyDescent="0.25">
      <c r="A26" s="2"/>
    </row>
    <row r="27" spans="1:10" ht="15.75" x14ac:dyDescent="0.25">
      <c r="A27" s="2"/>
    </row>
    <row r="28" spans="1:10" ht="15.75" x14ac:dyDescent="0.25">
      <c r="A28" s="2"/>
    </row>
    <row r="29" spans="1:10" ht="15.75" x14ac:dyDescent="0.25">
      <c r="A29" s="2"/>
    </row>
    <row r="30" spans="1:10" ht="15.75" x14ac:dyDescent="0.25">
      <c r="A30" s="2"/>
    </row>
    <row r="31" spans="1:10" ht="15.75" x14ac:dyDescent="0.25">
      <c r="A31" s="2"/>
    </row>
    <row r="32" spans="1:10" ht="15.75" x14ac:dyDescent="0.25">
      <c r="A32" s="2"/>
    </row>
    <row r="33" spans="1:10" ht="15.75" x14ac:dyDescent="0.25">
      <c r="A33" s="182" t="s">
        <v>523</v>
      </c>
      <c r="B33" s="182"/>
      <c r="C33" s="182"/>
      <c r="D33" s="182"/>
      <c r="E33" s="182"/>
      <c r="F33" s="182"/>
      <c r="G33" s="182"/>
      <c r="H33" s="182"/>
      <c r="I33" s="182"/>
      <c r="J33" s="182"/>
    </row>
    <row r="34" spans="1:10" ht="15.75" x14ac:dyDescent="0.25">
      <c r="A34" s="3"/>
    </row>
    <row r="35" spans="1:10" ht="15.75" x14ac:dyDescent="0.25">
      <c r="A35" s="183" t="s">
        <v>148</v>
      </c>
      <c r="B35" s="183"/>
      <c r="C35" s="183"/>
      <c r="D35" s="183"/>
      <c r="E35" s="183"/>
      <c r="F35" s="183"/>
      <c r="G35" s="183"/>
      <c r="H35" s="183"/>
      <c r="I35" s="183"/>
      <c r="J35" s="183"/>
    </row>
    <row r="36" spans="1:10" ht="15.75" x14ac:dyDescent="0.25">
      <c r="A36" s="183" t="s">
        <v>149</v>
      </c>
      <c r="B36" s="183"/>
      <c r="C36" s="183"/>
      <c r="D36" s="183"/>
      <c r="E36" s="183"/>
      <c r="F36" s="183"/>
      <c r="G36" s="183"/>
      <c r="H36" s="183"/>
      <c r="I36" s="183"/>
      <c r="J36" s="183"/>
    </row>
    <row r="37" spans="1:10" ht="15.75" x14ac:dyDescent="0.25">
      <c r="A37" s="183" t="s">
        <v>150</v>
      </c>
      <c r="B37" s="183"/>
      <c r="C37" s="183"/>
      <c r="D37" s="183"/>
      <c r="E37" s="183"/>
      <c r="F37" s="183"/>
      <c r="G37" s="183"/>
      <c r="H37" s="183"/>
      <c r="I37" s="183"/>
      <c r="J37" s="183"/>
    </row>
    <row r="38" spans="1:10" ht="15.75" x14ac:dyDescent="0.25">
      <c r="A38" s="183" t="s">
        <v>151</v>
      </c>
      <c r="B38" s="183"/>
      <c r="C38" s="183"/>
      <c r="D38" s="183"/>
      <c r="E38" s="183"/>
      <c r="F38" s="183"/>
      <c r="G38" s="183"/>
      <c r="H38" s="183"/>
      <c r="I38" s="183"/>
      <c r="J38" s="183"/>
    </row>
    <row r="39" spans="1:10" x14ac:dyDescent="0.2">
      <c r="A39" s="178" t="s">
        <v>152</v>
      </c>
      <c r="B39" s="178"/>
      <c r="C39" s="178"/>
      <c r="D39" s="178"/>
      <c r="E39" s="178"/>
      <c r="F39" s="178"/>
      <c r="G39" s="178"/>
      <c r="H39" s="178"/>
      <c r="I39" s="178"/>
      <c r="J39" s="178"/>
    </row>
    <row r="40" spans="1:10" x14ac:dyDescent="0.2">
      <c r="A40" s="179" t="s">
        <v>158</v>
      </c>
      <c r="B40" s="178"/>
      <c r="C40" s="178"/>
      <c r="D40" s="178"/>
      <c r="E40" s="178"/>
      <c r="F40" s="178"/>
      <c r="G40" s="178"/>
      <c r="H40" s="178"/>
      <c r="I40" s="178"/>
      <c r="J40" s="178"/>
    </row>
    <row r="41" spans="1:10" ht="15.75" x14ac:dyDescent="0.25">
      <c r="A41" s="2"/>
    </row>
  </sheetData>
  <mergeCells count="8">
    <mergeCell ref="A39:J39"/>
    <mergeCell ref="A40:J40"/>
    <mergeCell ref="A13:J20"/>
    <mergeCell ref="A33:J33"/>
    <mergeCell ref="A35:J35"/>
    <mergeCell ref="A36:J36"/>
    <mergeCell ref="A37:J37"/>
    <mergeCell ref="A38:J38"/>
  </mergeCells>
  <hyperlinks>
    <hyperlink ref="A39" r:id="rId1"/>
    <hyperlink ref="A40" r:id="rId2" display="mailto:healthstats@health.state.mn.us"/>
  </hyperlinks>
  <pageMargins left="0.75" right="0.75" top="0.5" bottom="0.5" header="0.5" footer="0.5"/>
  <pageSetup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J224"/>
  <sheetViews>
    <sheetView showGridLines="0" zoomScaleNormal="100" zoomScaleSheetLayoutView="70" workbookViewId="0"/>
  </sheetViews>
  <sheetFormatPr defaultRowHeight="12.75" x14ac:dyDescent="0.2"/>
  <sheetData>
    <row r="2" spans="1:10" ht="18.75" customHeight="1" x14ac:dyDescent="0.2">
      <c r="B2" s="7"/>
      <c r="C2" s="7"/>
      <c r="D2" s="7"/>
      <c r="E2" s="7"/>
      <c r="F2" s="7"/>
      <c r="G2" s="7"/>
      <c r="H2" s="7"/>
    </row>
    <row r="3" spans="1:10" ht="18.75" customHeight="1" x14ac:dyDescent="0.2">
      <c r="B3" s="7"/>
      <c r="C3" s="7"/>
      <c r="D3" s="7"/>
      <c r="E3" s="7"/>
      <c r="F3" s="7"/>
      <c r="G3" s="7"/>
      <c r="H3" s="7"/>
    </row>
    <row r="4" spans="1:10" ht="18.75" customHeight="1" x14ac:dyDescent="0.2">
      <c r="B4" s="7"/>
      <c r="C4" s="7"/>
      <c r="D4" s="7"/>
      <c r="E4" s="7"/>
      <c r="F4" s="7"/>
      <c r="G4" s="7"/>
      <c r="H4" s="7"/>
    </row>
    <row r="5" spans="1:10" ht="18.75" x14ac:dyDescent="0.2">
      <c r="B5" s="7"/>
    </row>
    <row r="7" spans="1:10" ht="15.75" x14ac:dyDescent="0.25">
      <c r="A7" s="3"/>
    </row>
    <row r="8" spans="1:10" s="15" customFormat="1" ht="15.75" x14ac:dyDescent="0.25">
      <c r="A8" s="36" t="s">
        <v>194</v>
      </c>
    </row>
    <row r="9" spans="1:10" ht="15.75" x14ac:dyDescent="0.25">
      <c r="A9" s="4"/>
    </row>
    <row r="10" spans="1:10" ht="15.75" x14ac:dyDescent="0.25">
      <c r="A10" s="4"/>
    </row>
    <row r="11" spans="1:10" ht="15.75" x14ac:dyDescent="0.25">
      <c r="A11" s="4"/>
    </row>
    <row r="12" spans="1:10" ht="15.75" x14ac:dyDescent="0.25">
      <c r="A12" s="4"/>
    </row>
    <row r="13" spans="1:10" ht="15.75" x14ac:dyDescent="0.25">
      <c r="A13" s="4"/>
      <c r="J13" s="11"/>
    </row>
    <row r="14" spans="1:10" ht="15" x14ac:dyDescent="0.2">
      <c r="A14" s="5"/>
    </row>
    <row r="15" spans="1:10" ht="15.75" x14ac:dyDescent="0.25">
      <c r="A15" s="3"/>
    </row>
    <row r="17" spans="1:2" ht="15.75" x14ac:dyDescent="0.25">
      <c r="A17" s="3"/>
    </row>
    <row r="19" spans="1:2" ht="15.75" x14ac:dyDescent="0.25">
      <c r="A19" s="4"/>
    </row>
    <row r="20" spans="1:2" ht="15.75" x14ac:dyDescent="0.25">
      <c r="A20" s="3"/>
    </row>
    <row r="21" spans="1:2" ht="15.75" x14ac:dyDescent="0.2">
      <c r="A21" s="8"/>
      <c r="B21" s="184"/>
    </row>
    <row r="22" spans="1:2" ht="15.75" x14ac:dyDescent="0.2">
      <c r="A22" s="8"/>
      <c r="B22" s="184"/>
    </row>
    <row r="23" spans="1:2" ht="15.75" x14ac:dyDescent="0.2">
      <c r="A23" s="8"/>
      <c r="B23" s="184"/>
    </row>
    <row r="24" spans="1:2" ht="15.75" x14ac:dyDescent="0.2">
      <c r="A24" s="8"/>
      <c r="B24" s="184"/>
    </row>
    <row r="25" spans="1:2" ht="15.75" x14ac:dyDescent="0.2">
      <c r="A25" s="8"/>
      <c r="B25" s="184"/>
    </row>
    <row r="26" spans="1:2" ht="15.75" x14ac:dyDescent="0.25">
      <c r="A26" s="3"/>
    </row>
    <row r="27" spans="1:2" ht="15.75" x14ac:dyDescent="0.25">
      <c r="A27" s="4"/>
    </row>
    <row r="28" spans="1:2" ht="15.75" x14ac:dyDescent="0.25">
      <c r="A28" s="3"/>
    </row>
    <row r="29" spans="1:2" ht="15.75" x14ac:dyDescent="0.25">
      <c r="A29" s="3"/>
    </row>
    <row r="30" spans="1:2" ht="15.75" x14ac:dyDescent="0.25">
      <c r="A30" s="3"/>
    </row>
    <row r="31" spans="1:2" ht="15.75" x14ac:dyDescent="0.25">
      <c r="A31" s="3"/>
    </row>
    <row r="32" spans="1:2"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4"/>
    </row>
    <row r="42" spans="1:1" ht="15.75" x14ac:dyDescent="0.25">
      <c r="A42" s="3"/>
    </row>
    <row r="43" spans="1:1" ht="15.75" x14ac:dyDescent="0.25">
      <c r="A43" s="4"/>
    </row>
    <row r="44" spans="1:1" ht="15.75" x14ac:dyDescent="0.25">
      <c r="A44" s="3"/>
    </row>
    <row r="45" spans="1:1" ht="15.75" x14ac:dyDescent="0.25">
      <c r="A45" s="3"/>
    </row>
    <row r="46" spans="1:1" ht="15.75" x14ac:dyDescent="0.25">
      <c r="A46" s="4"/>
    </row>
    <row r="47" spans="1:1" ht="15.75" x14ac:dyDescent="0.25">
      <c r="A47" s="3"/>
    </row>
    <row r="48" spans="1:1" ht="15.75" x14ac:dyDescent="0.25">
      <c r="A48" s="3"/>
    </row>
    <row r="49" spans="1:10" ht="15.75" x14ac:dyDescent="0.25">
      <c r="A49" s="3"/>
    </row>
    <row r="50" spans="1:10" ht="15.75" x14ac:dyDescent="0.25">
      <c r="A50" s="3"/>
    </row>
    <row r="51" spans="1:10" ht="15.75" x14ac:dyDescent="0.25">
      <c r="A51" s="4"/>
    </row>
    <row r="52" spans="1:10" ht="15.75" x14ac:dyDescent="0.25">
      <c r="A52" s="3"/>
    </row>
    <row r="53" spans="1:10" ht="15.75" x14ac:dyDescent="0.25">
      <c r="A53" s="3"/>
    </row>
    <row r="54" spans="1:10" ht="15.75" x14ac:dyDescent="0.25">
      <c r="A54" s="3"/>
    </row>
    <row r="55" spans="1:10" ht="15.75" x14ac:dyDescent="0.2">
      <c r="A55" s="8"/>
      <c r="B55" s="184"/>
      <c r="C55" s="9"/>
      <c r="D55" s="9"/>
    </row>
    <row r="56" spans="1:10" ht="15.75" x14ac:dyDescent="0.2">
      <c r="A56" s="8"/>
      <c r="B56" s="184"/>
      <c r="C56" s="9"/>
      <c r="D56" s="9"/>
    </row>
    <row r="57" spans="1:10" ht="15.75" x14ac:dyDescent="0.2">
      <c r="A57" s="8"/>
      <c r="B57" s="184"/>
      <c r="C57" s="9"/>
      <c r="D57" s="9"/>
    </row>
    <row r="58" spans="1:10" ht="15.75" x14ac:dyDescent="0.2">
      <c r="A58" s="8"/>
      <c r="B58" s="184"/>
      <c r="C58" s="9"/>
      <c r="D58" s="9"/>
    </row>
    <row r="59" spans="1:10" ht="15.75" x14ac:dyDescent="0.2">
      <c r="A59" s="8"/>
      <c r="B59" s="184"/>
      <c r="C59" s="9"/>
      <c r="D59" s="9"/>
      <c r="J59" s="11"/>
    </row>
    <row r="60" spans="1:10" ht="15.75" x14ac:dyDescent="0.25">
      <c r="A60" s="10"/>
      <c r="B60" s="9"/>
      <c r="C60" s="9"/>
      <c r="D60" s="9"/>
    </row>
    <row r="61" spans="1:10" ht="15.75" x14ac:dyDescent="0.25">
      <c r="A61" s="10"/>
      <c r="B61" s="9"/>
      <c r="C61" s="9"/>
      <c r="D61" s="9"/>
    </row>
    <row r="62" spans="1:10" ht="15.75" x14ac:dyDescent="0.25">
      <c r="A62" s="10"/>
      <c r="B62" s="9"/>
      <c r="C62" s="9"/>
      <c r="D62" s="9"/>
    </row>
    <row r="63" spans="1:10" ht="15.75" x14ac:dyDescent="0.2">
      <c r="A63" s="8"/>
      <c r="B63" s="184"/>
      <c r="C63" s="9"/>
      <c r="D63" s="9"/>
    </row>
    <row r="64" spans="1:10" ht="15.75" x14ac:dyDescent="0.2">
      <c r="A64" s="8"/>
      <c r="B64" s="184"/>
      <c r="C64" s="9"/>
      <c r="D64" s="9"/>
    </row>
    <row r="65" spans="1:4" ht="15.75" x14ac:dyDescent="0.2">
      <c r="A65" s="8"/>
      <c r="B65" s="184"/>
      <c r="C65" s="9"/>
      <c r="D65" s="9"/>
    </row>
    <row r="66" spans="1:4" ht="15.75" x14ac:dyDescent="0.2">
      <c r="A66" s="8"/>
      <c r="B66" s="184"/>
      <c r="C66" s="9"/>
      <c r="D66" s="9"/>
    </row>
    <row r="67" spans="1:4" ht="15.75" x14ac:dyDescent="0.2">
      <c r="A67" s="8"/>
      <c r="B67" s="184"/>
      <c r="C67" s="9"/>
      <c r="D67" s="9"/>
    </row>
    <row r="68" spans="1:4" ht="15.75" x14ac:dyDescent="0.2">
      <c r="A68" s="8"/>
      <c r="B68" s="184"/>
      <c r="C68" s="9"/>
      <c r="D68" s="9"/>
    </row>
    <row r="69" spans="1:4" ht="15.75" x14ac:dyDescent="0.25">
      <c r="A69" s="3"/>
    </row>
    <row r="70" spans="1:4" ht="15.75" x14ac:dyDescent="0.25">
      <c r="A70" s="3"/>
    </row>
    <row r="71" spans="1:4" ht="15.75" x14ac:dyDescent="0.25">
      <c r="A71" s="3"/>
    </row>
    <row r="72" spans="1:4" x14ac:dyDescent="0.2">
      <c r="A72" s="6"/>
    </row>
    <row r="73" spans="1:4" x14ac:dyDescent="0.2">
      <c r="A73" s="6"/>
    </row>
    <row r="74" spans="1:4" x14ac:dyDescent="0.2">
      <c r="A74" s="6"/>
    </row>
    <row r="75" spans="1:4" x14ac:dyDescent="0.2">
      <c r="A75" s="6"/>
    </row>
    <row r="76" spans="1:4" x14ac:dyDescent="0.2">
      <c r="A76" s="6"/>
    </row>
    <row r="77" spans="1:4" x14ac:dyDescent="0.2">
      <c r="A77" s="6"/>
    </row>
    <row r="78" spans="1:4" x14ac:dyDescent="0.2">
      <c r="A78" s="6"/>
    </row>
    <row r="79" spans="1:4" x14ac:dyDescent="0.2">
      <c r="A79" s="6"/>
    </row>
    <row r="80" spans="1:4" x14ac:dyDescent="0.2">
      <c r="A80" s="6"/>
    </row>
    <row r="81" spans="1:1" ht="15.75" x14ac:dyDescent="0.2">
      <c r="A81" s="34"/>
    </row>
    <row r="82" spans="1:1" ht="15.75" x14ac:dyDescent="0.2">
      <c r="A82" s="35"/>
    </row>
    <row r="112" spans="10:10" x14ac:dyDescent="0.2">
      <c r="J112" s="11"/>
    </row>
    <row r="116" spans="10:10" x14ac:dyDescent="0.2">
      <c r="J116" s="11"/>
    </row>
    <row r="168" spans="10:10" x14ac:dyDescent="0.2">
      <c r="J168" s="11">
        <v>5</v>
      </c>
    </row>
    <row r="172" spans="10:10" ht="14.25" customHeight="1" x14ac:dyDescent="0.2"/>
    <row r="224" spans="10:10" x14ac:dyDescent="0.2">
      <c r="J224" s="11"/>
    </row>
  </sheetData>
  <mergeCells count="3">
    <mergeCell ref="B63:B68"/>
    <mergeCell ref="B21:B25"/>
    <mergeCell ref="B55:B59"/>
  </mergeCells>
  <phoneticPr fontId="3" type="noConversion"/>
  <pageMargins left="0.75" right="0.75" top="0.5" bottom="0.5" header="0.5" footer="0.5"/>
  <pageSetup orientation="portrait" r:id="rId1"/>
  <headerFooter alignWithMargins="0"/>
  <rowBreaks count="5" manualBreakCount="5">
    <brk id="34" max="16383" man="1"/>
    <brk id="78" max="16383" man="1"/>
    <brk id="132" max="16383" man="1"/>
    <brk id="171" max="16383" man="1"/>
    <brk id="2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4"/>
  </sheetPr>
  <dimension ref="A2:AZ430"/>
  <sheetViews>
    <sheetView showGridLines="0" tabSelected="1" topLeftCell="A82" zoomScaleNormal="100" zoomScaleSheetLayoutView="100" zoomScalePageLayoutView="55" workbookViewId="0">
      <selection activeCell="D109" sqref="D109"/>
    </sheetView>
  </sheetViews>
  <sheetFormatPr defaultRowHeight="12.75" x14ac:dyDescent="0.2"/>
  <cols>
    <col min="1" max="1" width="39.6640625" style="15" customWidth="1"/>
    <col min="2" max="2" width="10.1640625" style="17" customWidth="1"/>
    <col min="3" max="3" width="10" style="17" customWidth="1"/>
    <col min="4" max="4" width="11.6640625" style="17" customWidth="1"/>
    <col min="5" max="5" width="11.1640625" style="17" customWidth="1"/>
    <col min="6" max="6" width="10" style="17" customWidth="1"/>
    <col min="7" max="7" width="1.6640625" style="17" customWidth="1"/>
    <col min="8" max="8" width="10.33203125" style="17" customWidth="1"/>
    <col min="9" max="9" width="11.1640625" style="17" customWidth="1"/>
    <col min="10" max="10" width="8.83203125" style="17" customWidth="1"/>
    <col min="11" max="11" width="9.1640625" style="17" customWidth="1"/>
    <col min="12" max="12" width="8.6640625" style="17" customWidth="1"/>
    <col min="13" max="15" width="9.33203125" style="15"/>
    <col min="16" max="16" width="0" style="15" hidden="1" customWidth="1"/>
    <col min="17" max="17" width="8.1640625" style="15" hidden="1" customWidth="1"/>
    <col min="18" max="18" width="0" hidden="1" customWidth="1"/>
    <col min="19" max="52" width="0" style="15" hidden="1" customWidth="1"/>
    <col min="53" max="16384" width="9.33203125" style="15"/>
  </cols>
  <sheetData>
    <row r="2" spans="1:12" x14ac:dyDescent="0.2">
      <c r="A2" s="191" t="s">
        <v>480</v>
      </c>
      <c r="B2" s="192"/>
      <c r="C2" s="192"/>
      <c r="D2" s="192"/>
      <c r="E2" s="192"/>
      <c r="F2" s="192"/>
      <c r="G2" s="192"/>
      <c r="H2" s="192"/>
      <c r="I2" s="192"/>
      <c r="J2" s="192"/>
      <c r="K2" s="192"/>
      <c r="L2" s="192"/>
    </row>
    <row r="3" spans="1:12" x14ac:dyDescent="0.2">
      <c r="A3" s="192"/>
      <c r="B3" s="192"/>
      <c r="C3" s="192"/>
      <c r="D3" s="192"/>
      <c r="E3" s="192"/>
      <c r="F3" s="192"/>
      <c r="G3" s="192"/>
      <c r="H3" s="192"/>
      <c r="I3" s="192"/>
      <c r="J3" s="192"/>
      <c r="K3" s="192"/>
      <c r="L3" s="192"/>
    </row>
    <row r="4" spans="1:12" x14ac:dyDescent="0.2">
      <c r="A4" s="192"/>
      <c r="B4" s="192"/>
      <c r="C4" s="192"/>
      <c r="D4" s="192"/>
      <c r="E4" s="192"/>
      <c r="F4" s="192"/>
      <c r="G4" s="192"/>
      <c r="H4" s="192"/>
      <c r="I4" s="192"/>
      <c r="J4" s="192"/>
      <c r="K4" s="192"/>
      <c r="L4" s="192"/>
    </row>
    <row r="5" spans="1:12" x14ac:dyDescent="0.2">
      <c r="A5" s="192"/>
      <c r="B5" s="192"/>
      <c r="C5" s="192"/>
      <c r="D5" s="192"/>
      <c r="E5" s="192"/>
      <c r="F5" s="192"/>
      <c r="G5" s="192"/>
      <c r="H5" s="192"/>
      <c r="I5" s="192"/>
      <c r="J5" s="192"/>
      <c r="K5" s="192"/>
      <c r="L5" s="192"/>
    </row>
    <row r="6" spans="1:12" x14ac:dyDescent="0.2">
      <c r="A6" s="192"/>
      <c r="B6" s="192"/>
      <c r="C6" s="192"/>
      <c r="D6" s="192"/>
      <c r="E6" s="192"/>
      <c r="F6" s="192"/>
      <c r="G6" s="192"/>
      <c r="H6" s="192"/>
      <c r="I6" s="192"/>
      <c r="J6" s="192"/>
      <c r="K6" s="192"/>
      <c r="L6" s="192"/>
    </row>
    <row r="7" spans="1:12" x14ac:dyDescent="0.2">
      <c r="A7" s="192"/>
      <c r="B7" s="192"/>
      <c r="C7" s="192"/>
      <c r="D7" s="192"/>
      <c r="E7" s="192"/>
      <c r="F7" s="192"/>
      <c r="G7" s="192"/>
      <c r="H7" s="192"/>
      <c r="I7" s="192"/>
      <c r="J7" s="192"/>
      <c r="K7" s="192"/>
      <c r="L7" s="192"/>
    </row>
    <row r="8" spans="1:12" x14ac:dyDescent="0.2">
      <c r="A8" s="192"/>
      <c r="B8" s="192"/>
      <c r="C8" s="192"/>
      <c r="D8" s="192"/>
      <c r="E8" s="192"/>
      <c r="F8" s="192"/>
      <c r="G8" s="192"/>
      <c r="H8" s="192"/>
      <c r="I8" s="192"/>
      <c r="J8" s="192"/>
      <c r="K8" s="192"/>
      <c r="L8" s="192"/>
    </row>
    <row r="9" spans="1:12" x14ac:dyDescent="0.2">
      <c r="A9" s="192"/>
      <c r="B9" s="192"/>
      <c r="C9" s="192"/>
      <c r="D9" s="192"/>
      <c r="E9" s="192"/>
      <c r="F9" s="192"/>
      <c r="G9" s="192"/>
      <c r="H9" s="192"/>
      <c r="I9" s="192"/>
      <c r="J9" s="192"/>
      <c r="K9" s="192"/>
      <c r="L9" s="192"/>
    </row>
    <row r="10" spans="1:12" x14ac:dyDescent="0.2">
      <c r="A10" s="192"/>
      <c r="B10" s="192"/>
      <c r="C10" s="192"/>
      <c r="D10" s="192"/>
      <c r="E10" s="192"/>
      <c r="F10" s="192"/>
      <c r="G10" s="192"/>
      <c r="H10" s="192"/>
      <c r="I10" s="192"/>
      <c r="J10" s="192"/>
      <c r="K10" s="192"/>
      <c r="L10" s="192"/>
    </row>
    <row r="11" spans="1:12" x14ac:dyDescent="0.2">
      <c r="A11" s="193"/>
      <c r="B11" s="193"/>
      <c r="C11" s="193"/>
      <c r="D11" s="193"/>
      <c r="E11" s="193"/>
      <c r="F11" s="193"/>
      <c r="G11" s="193"/>
      <c r="H11" s="193"/>
      <c r="I11" s="193"/>
      <c r="J11" s="193"/>
      <c r="K11" s="193"/>
      <c r="L11" s="193"/>
    </row>
    <row r="12" spans="1:12" ht="14.25" customHeight="1" x14ac:dyDescent="0.2">
      <c r="A12" s="26"/>
      <c r="B12" s="26"/>
      <c r="C12" s="26"/>
      <c r="D12" s="26"/>
      <c r="E12" s="26"/>
      <c r="F12" s="26"/>
      <c r="G12" s="26"/>
      <c r="H12" s="26"/>
      <c r="I12" s="26"/>
      <c r="J12" s="26"/>
      <c r="K12" s="26"/>
      <c r="L12" s="26"/>
    </row>
    <row r="13" spans="1:12" ht="26.25" customHeight="1" x14ac:dyDescent="0.2">
      <c r="A13" s="30" t="s">
        <v>522</v>
      </c>
      <c r="B13" s="30"/>
      <c r="C13" s="30"/>
      <c r="D13" s="30"/>
      <c r="E13" s="33"/>
    </row>
    <row r="14" spans="1:12" ht="12.75" customHeight="1" x14ac:dyDescent="0.3">
      <c r="B14" s="31"/>
    </row>
    <row r="15" spans="1:12" ht="15.75" customHeight="1" x14ac:dyDescent="0.3">
      <c r="B15" s="29"/>
    </row>
    <row r="16" spans="1:12" ht="20.25" customHeight="1" x14ac:dyDescent="0.25">
      <c r="A16" s="194" t="s">
        <v>171</v>
      </c>
      <c r="B16" s="197"/>
      <c r="C16" s="197"/>
      <c r="D16" s="197"/>
      <c r="E16" s="198"/>
    </row>
    <row r="17" spans="1:11" ht="6.75" customHeight="1" x14ac:dyDescent="0.2">
      <c r="A17"/>
      <c r="B17"/>
      <c r="C17"/>
      <c r="D17"/>
      <c r="E17"/>
    </row>
    <row r="18" spans="1:11" ht="21.75" customHeight="1" x14ac:dyDescent="0.25">
      <c r="A18" s="194" t="s">
        <v>171</v>
      </c>
      <c r="B18" s="195"/>
      <c r="C18" s="195"/>
      <c r="D18" s="195"/>
      <c r="E18" s="196"/>
    </row>
    <row r="19" spans="1:11" ht="9" customHeight="1" x14ac:dyDescent="0.2">
      <c r="A19"/>
      <c r="B19"/>
      <c r="C19"/>
      <c r="D19"/>
      <c r="E19"/>
    </row>
    <row r="20" spans="1:11" ht="21" customHeight="1" x14ac:dyDescent="0.25">
      <c r="A20" s="194" t="s">
        <v>171</v>
      </c>
      <c r="B20" s="195"/>
      <c r="C20" s="195"/>
      <c r="D20" s="195"/>
      <c r="E20" s="196"/>
    </row>
    <row r="21" spans="1:11" ht="7.5" customHeight="1" x14ac:dyDescent="0.2">
      <c r="A21"/>
      <c r="B21"/>
      <c r="C21"/>
      <c r="D21"/>
      <c r="E21"/>
    </row>
    <row r="22" spans="1:11" ht="20.25" customHeight="1" x14ac:dyDescent="0.25">
      <c r="A22" s="194" t="s">
        <v>171</v>
      </c>
      <c r="B22" s="195"/>
      <c r="C22" s="195"/>
      <c r="D22" s="195"/>
      <c r="E22" s="196"/>
      <c r="F22"/>
      <c r="G22"/>
      <c r="H22"/>
      <c r="I22"/>
      <c r="J22"/>
      <c r="K22"/>
    </row>
    <row r="23" spans="1:11" x14ac:dyDescent="0.2">
      <c r="A23"/>
      <c r="B23"/>
      <c r="C23"/>
      <c r="D23"/>
      <c r="E23"/>
      <c r="F23"/>
      <c r="G23"/>
      <c r="H23"/>
      <c r="I23"/>
      <c r="J23"/>
      <c r="K23"/>
    </row>
    <row r="24" spans="1:11" ht="21.75" customHeight="1" x14ac:dyDescent="0.25">
      <c r="A24" s="194" t="s">
        <v>171</v>
      </c>
      <c r="B24" s="195"/>
      <c r="C24" s="195"/>
      <c r="D24" s="195"/>
      <c r="E24" s="196"/>
      <c r="F24" s="32"/>
      <c r="G24" s="32"/>
      <c r="H24" s="32"/>
      <c r="I24" s="32"/>
      <c r="J24" s="32"/>
      <c r="K24" s="32"/>
    </row>
    <row r="25" spans="1:11" x14ac:dyDescent="0.2">
      <c r="A25"/>
      <c r="B25"/>
      <c r="C25"/>
      <c r="D25"/>
      <c r="E25"/>
      <c r="F25" s="32"/>
      <c r="G25" s="32"/>
      <c r="H25" s="32"/>
      <c r="I25" s="32"/>
      <c r="J25" s="32"/>
      <c r="K25" s="32"/>
    </row>
    <row r="26" spans="1:11" ht="23.25" customHeight="1" x14ac:dyDescent="0.25">
      <c r="A26" s="194" t="s">
        <v>171</v>
      </c>
      <c r="B26" s="195"/>
      <c r="C26" s="195"/>
      <c r="D26" s="195"/>
      <c r="E26" s="196"/>
      <c r="F26" s="32"/>
      <c r="G26" s="32"/>
      <c r="H26" s="32"/>
      <c r="I26" s="32"/>
      <c r="J26" s="32"/>
      <c r="K26" s="32"/>
    </row>
    <row r="27" spans="1:11" ht="15.75" customHeight="1" x14ac:dyDescent="0.3">
      <c r="B27" s="31"/>
      <c r="F27" s="32"/>
      <c r="G27" s="32"/>
      <c r="H27" s="32"/>
      <c r="I27" s="32"/>
      <c r="J27" s="32"/>
      <c r="K27" s="32"/>
    </row>
    <row r="28" spans="1:11" ht="11.25" customHeight="1" x14ac:dyDescent="0.3">
      <c r="A28" s="31"/>
      <c r="B28" s="31"/>
      <c r="F28" s="32"/>
      <c r="G28" s="32"/>
      <c r="H28" s="32"/>
      <c r="I28" s="32"/>
      <c r="J28" s="32"/>
      <c r="K28" s="32"/>
    </row>
    <row r="29" spans="1:11" ht="20.25" x14ac:dyDescent="0.3">
      <c r="A29" s="25"/>
      <c r="B29" s="25"/>
      <c r="F29" s="32"/>
      <c r="G29" s="32"/>
      <c r="H29" s="32"/>
      <c r="I29" s="32"/>
      <c r="J29" s="32"/>
      <c r="K29" s="32"/>
    </row>
    <row r="30" spans="1:11" ht="20.25" x14ac:dyDescent="0.3">
      <c r="B30" s="31"/>
    </row>
    <row r="31" spans="1:11" ht="20.25" x14ac:dyDescent="0.3">
      <c r="A31" s="31"/>
      <c r="B31" s="31"/>
      <c r="H31" s="170" t="s">
        <v>483</v>
      </c>
    </row>
    <row r="32" spans="1:11" ht="13.5" customHeight="1" x14ac:dyDescent="0.3">
      <c r="A32" s="25"/>
      <c r="B32" s="25"/>
      <c r="H32" s="33" t="s">
        <v>150</v>
      </c>
    </row>
    <row r="33" spans="1:24" ht="15.75" customHeight="1" x14ac:dyDescent="0.3">
      <c r="B33" s="31"/>
      <c r="C33" s="31"/>
      <c r="D33" s="31"/>
      <c r="E33" s="31"/>
      <c r="H33" s="33" t="s">
        <v>176</v>
      </c>
    </row>
    <row r="34" spans="1:24" ht="12.75" customHeight="1" x14ac:dyDescent="0.2">
      <c r="A34" s="190" t="s">
        <v>54</v>
      </c>
      <c r="B34" s="190"/>
      <c r="C34" s="190"/>
      <c r="D34" s="190"/>
      <c r="E34" s="190"/>
      <c r="F34" s="190"/>
      <c r="G34" s="190"/>
      <c r="H34" s="190"/>
      <c r="I34" s="190"/>
      <c r="J34" s="190"/>
      <c r="K34" s="190"/>
      <c r="L34" s="190"/>
    </row>
    <row r="35" spans="1:24" ht="14.25" x14ac:dyDescent="0.2">
      <c r="A35" s="117"/>
      <c r="B35" s="187" t="s">
        <v>484</v>
      </c>
      <c r="C35" s="187"/>
      <c r="D35" s="187"/>
      <c r="E35" s="187"/>
      <c r="F35" s="187"/>
      <c r="G35" s="119"/>
      <c r="H35" s="187" t="s">
        <v>485</v>
      </c>
      <c r="I35" s="187"/>
      <c r="J35" s="187"/>
      <c r="K35" s="187"/>
      <c r="L35" s="187"/>
    </row>
    <row r="36" spans="1:24" ht="24" x14ac:dyDescent="0.2">
      <c r="A36" s="118"/>
      <c r="B36" s="120">
        <v>2007</v>
      </c>
      <c r="C36" s="120">
        <v>2008</v>
      </c>
      <c r="D36" s="120">
        <v>2009</v>
      </c>
      <c r="E36" s="120">
        <v>2010</v>
      </c>
      <c r="F36" s="120">
        <v>2011</v>
      </c>
      <c r="G36" s="120"/>
      <c r="H36" s="121" t="s">
        <v>32</v>
      </c>
      <c r="I36" s="121" t="s">
        <v>43</v>
      </c>
      <c r="J36" s="121" t="s">
        <v>44</v>
      </c>
      <c r="K36" s="121" t="s">
        <v>35</v>
      </c>
      <c r="L36" s="121" t="s">
        <v>58</v>
      </c>
    </row>
    <row r="37" spans="1:24" ht="15.75" customHeight="1" x14ac:dyDescent="0.2">
      <c r="A37" s="117" t="s">
        <v>29</v>
      </c>
      <c r="B37" s="122">
        <f>'Template IF 2'!C3</f>
        <v>5197621</v>
      </c>
      <c r="C37" s="122">
        <f>'Template IF 2'!D3</f>
        <v>5220393</v>
      </c>
      <c r="D37" s="122">
        <f>'Template IF 2'!E3</f>
        <v>5266214</v>
      </c>
      <c r="E37" s="122">
        <f>'Template IF 2'!F3</f>
        <v>5303925</v>
      </c>
      <c r="F37" s="122">
        <f>'Template IF 2'!G3</f>
        <v>5344861</v>
      </c>
      <c r="G37" s="119"/>
      <c r="H37" s="123">
        <f>'Template IF 2'!H3</f>
        <v>4645546</v>
      </c>
      <c r="I37" s="123">
        <f>'Template IF 2'!I3</f>
        <v>286301</v>
      </c>
      <c r="J37" s="123">
        <f>'Template IF 2'!J3</f>
        <v>68412</v>
      </c>
      <c r="K37" s="123">
        <f>'Template IF 2'!K3</f>
        <v>228506</v>
      </c>
      <c r="L37" s="123">
        <f>'Template IF 2'!L3</f>
        <v>259297</v>
      </c>
    </row>
    <row r="38" spans="1:24" ht="15.75" customHeight="1" x14ac:dyDescent="0.2">
      <c r="A38" s="117" t="str">
        <f>A16</f>
        <v>None</v>
      </c>
      <c r="B38" s="122" t="e">
        <f>VLOOKUP($A16,'Template IF 2'!$B$3:$HH$112,2,FALSE)</f>
        <v>#N/A</v>
      </c>
      <c r="C38" s="124" t="e">
        <f>VLOOKUP($A16,'Template IF 2'!$B$3:$HH$112,3,FALSE)</f>
        <v>#N/A</v>
      </c>
      <c r="D38" s="124" t="e">
        <f>VLOOKUP($A16,'Template IF 2'!$B$3:$HH$112,4,FALSE)</f>
        <v>#N/A</v>
      </c>
      <c r="E38" s="124" t="e">
        <f>VLOOKUP($A16,'Template IF 2'!$B$3:$HH$112,5,FALSE)</f>
        <v>#N/A</v>
      </c>
      <c r="F38" s="124" t="e">
        <f>VLOOKUP($A16,'Template IF 2'!$B$3:$HH$112,6,FALSE)</f>
        <v>#N/A</v>
      </c>
      <c r="G38" s="119"/>
      <c r="H38" s="124" t="e">
        <f>VLOOKUP($A16,'Template IF 2'!$B$3:$HH$112,7,FALSE)</f>
        <v>#N/A</v>
      </c>
      <c r="I38" s="124" t="e">
        <f>VLOOKUP($A16,'Template IF 2'!$B$3:$HH$112,8,FALSE)</f>
        <v>#N/A</v>
      </c>
      <c r="J38" s="124" t="e">
        <f>VLOOKUP($A16,'Template IF 2'!$B$3:$HH$112,9,FALSE)</f>
        <v>#N/A</v>
      </c>
      <c r="K38" s="124" t="e">
        <f>VLOOKUP($A16,'Template IF 2'!$B$3:$HH$112,10,FALSE)</f>
        <v>#N/A</v>
      </c>
      <c r="L38" s="124" t="e">
        <f>VLOOKUP($A16,'Template IF 2'!$B$3:$HH$112,11,FALSE)</f>
        <v>#N/A</v>
      </c>
    </row>
    <row r="39" spans="1:24" ht="15.75" customHeight="1" x14ac:dyDescent="0.2">
      <c r="A39" s="117" t="str">
        <f>A18</f>
        <v>None</v>
      </c>
      <c r="B39" s="122" t="e">
        <f>VLOOKUP($A18,'Template IF 2'!$B$3:$HH$112,2,FALSE)</f>
        <v>#N/A</v>
      </c>
      <c r="C39" s="124" t="e">
        <f>VLOOKUP($A18,'Template IF 2'!$B$3:$HH$112,3,FALSE)</f>
        <v>#N/A</v>
      </c>
      <c r="D39" s="124" t="e">
        <f>VLOOKUP($A18,'Template IF 2'!$B$3:$HH$112,4,FALSE)</f>
        <v>#N/A</v>
      </c>
      <c r="E39" s="124" t="e">
        <f>VLOOKUP($A18,'Template IF 2'!$B$3:$HH$112,5,FALSE)</f>
        <v>#N/A</v>
      </c>
      <c r="F39" s="124" t="e">
        <f>VLOOKUP($A18,'Template IF 2'!$B$3:$HH$112,6,FALSE)</f>
        <v>#N/A</v>
      </c>
      <c r="G39" s="119"/>
      <c r="H39" s="124" t="e">
        <f>VLOOKUP($A18,'Template IF 2'!$B$3:$HH$112,7,FALSE)</f>
        <v>#N/A</v>
      </c>
      <c r="I39" s="124" t="e">
        <f>VLOOKUP($A18,'Template IF 2'!$B$3:$HH$112,8,FALSE)</f>
        <v>#N/A</v>
      </c>
      <c r="J39" s="124" t="e">
        <f>VLOOKUP($A18,'Template IF 2'!$B$3:$HH$112,9,FALSE)</f>
        <v>#N/A</v>
      </c>
      <c r="K39" s="124" t="e">
        <f>VLOOKUP($A18,'Template IF 2'!$B$3:$HH$112,10,FALSE)</f>
        <v>#N/A</v>
      </c>
      <c r="L39" s="124" t="e">
        <f>VLOOKUP($A18,'Template IF 2'!$B$3:$HH$112,11,FALSE)</f>
        <v>#N/A</v>
      </c>
    </row>
    <row r="40" spans="1:24" ht="15.75" customHeight="1" x14ac:dyDescent="0.2">
      <c r="A40" s="117" t="str">
        <f>A20</f>
        <v>None</v>
      </c>
      <c r="B40" s="122" t="e">
        <f>VLOOKUP($A20,'Template IF 2'!$B$3:$HH$112,2,FALSE)</f>
        <v>#N/A</v>
      </c>
      <c r="C40" s="124" t="e">
        <f>VLOOKUP($A20,'Template IF 2'!$B$3:$HH$112,3,FALSE)</f>
        <v>#N/A</v>
      </c>
      <c r="D40" s="124" t="e">
        <f>VLOOKUP($A20,'Template IF 2'!$B$3:$HH$112,4,FALSE)</f>
        <v>#N/A</v>
      </c>
      <c r="E40" s="124" t="e">
        <f>VLOOKUP($A20,'Template IF 2'!$B$3:$HH$112,5,FALSE)</f>
        <v>#N/A</v>
      </c>
      <c r="F40" s="124" t="e">
        <f>VLOOKUP($A20,'Template IF 2'!$B$3:$HH$112,6,FALSE)</f>
        <v>#N/A</v>
      </c>
      <c r="G40" s="119"/>
      <c r="H40" s="124" t="e">
        <f>VLOOKUP($A20,'Template IF 2'!$B$3:$HH$112,7,FALSE)</f>
        <v>#N/A</v>
      </c>
      <c r="I40" s="124" t="e">
        <f>VLOOKUP($A20,'Template IF 2'!$B$3:$HH$112,8,FALSE)</f>
        <v>#N/A</v>
      </c>
      <c r="J40" s="124" t="e">
        <f>VLOOKUP($A20,'Template IF 2'!$B$3:$HH$112,9,FALSE)</f>
        <v>#N/A</v>
      </c>
      <c r="K40" s="124" t="e">
        <f>VLOOKUP($A20,'Template IF 2'!$B$3:$HH$112,10,FALSE)</f>
        <v>#N/A</v>
      </c>
      <c r="L40" s="124" t="e">
        <f>VLOOKUP($A20,'Template IF 2'!$B$3:$HH$112,11,FALSE)</f>
        <v>#N/A</v>
      </c>
    </row>
    <row r="41" spans="1:24" ht="15.75" customHeight="1" x14ac:dyDescent="0.2">
      <c r="A41" s="117" t="str">
        <f>A22</f>
        <v>None</v>
      </c>
      <c r="B41" s="122" t="e">
        <f>VLOOKUP($A22,'Template IF 2'!$B$3:$HH$112,2,FALSE)</f>
        <v>#N/A</v>
      </c>
      <c r="C41" s="124" t="e">
        <f>VLOOKUP($A22,'Template IF 2'!$B$3:$HH$112,3,FALSE)</f>
        <v>#N/A</v>
      </c>
      <c r="D41" s="124" t="e">
        <f>VLOOKUP($A22,'Template IF 2'!$B$3:$HH$112,4,FALSE)</f>
        <v>#N/A</v>
      </c>
      <c r="E41" s="124" t="e">
        <f>VLOOKUP($A22,'Template IF 2'!$B$3:$HH$112,5,FALSE)</f>
        <v>#N/A</v>
      </c>
      <c r="F41" s="124" t="e">
        <f>VLOOKUP($A22,'Template IF 2'!$B$3:$HH$112,6,FALSE)</f>
        <v>#N/A</v>
      </c>
      <c r="G41" s="119"/>
      <c r="H41" s="124" t="e">
        <f>VLOOKUP($A22,'Template IF 2'!$B$3:$HH$112,7,FALSE)</f>
        <v>#N/A</v>
      </c>
      <c r="I41" s="124" t="e">
        <f>VLOOKUP($A22,'Template IF 2'!$B$3:$HH$112,8,FALSE)</f>
        <v>#N/A</v>
      </c>
      <c r="J41" s="124" t="e">
        <f>VLOOKUP($A22,'Template IF 2'!$B$3:$HH$112,9,FALSE)</f>
        <v>#N/A</v>
      </c>
      <c r="K41" s="124" t="e">
        <f>VLOOKUP($A22,'Template IF 2'!$B$3:$HH$112,10,FALSE)</f>
        <v>#N/A</v>
      </c>
      <c r="L41" s="124" t="e">
        <f>VLOOKUP($A22,'Template IF 2'!$B$3:$HH$112,11,FALSE)</f>
        <v>#N/A</v>
      </c>
    </row>
    <row r="42" spans="1:24" ht="15.75" customHeight="1" x14ac:dyDescent="0.2">
      <c r="A42" s="117" t="str">
        <f>A24</f>
        <v>None</v>
      </c>
      <c r="B42" s="122" t="e">
        <f>VLOOKUP($A24,'Template IF 2'!$B$3:$HH$112,2,FALSE)</f>
        <v>#N/A</v>
      </c>
      <c r="C42" s="124" t="e">
        <f>VLOOKUP($A24,'Template IF 2'!$B$3:$HH$112,3,FALSE)</f>
        <v>#N/A</v>
      </c>
      <c r="D42" s="124" t="e">
        <f>VLOOKUP($A24,'Template IF 2'!$B$3:$HH$112,4,FALSE)</f>
        <v>#N/A</v>
      </c>
      <c r="E42" s="124" t="e">
        <f>VLOOKUP($A24,'Template IF 2'!$B$3:$HH$112,5,FALSE)</f>
        <v>#N/A</v>
      </c>
      <c r="F42" s="124" t="e">
        <f>VLOOKUP($A24,'Template IF 2'!$B$3:$HH$112,6,FALSE)</f>
        <v>#N/A</v>
      </c>
      <c r="G42" s="119"/>
      <c r="H42" s="124" t="e">
        <f>VLOOKUP($A24,'Template IF 2'!$B$3:$HH$112,7,FALSE)</f>
        <v>#N/A</v>
      </c>
      <c r="I42" s="124" t="e">
        <f>VLOOKUP($A24,'Template IF 2'!$B$3:$HH$112,8,FALSE)</f>
        <v>#N/A</v>
      </c>
      <c r="J42" s="124" t="e">
        <f>VLOOKUP($A24,'Template IF 2'!$B$3:$HH$112,9,FALSE)</f>
        <v>#N/A</v>
      </c>
      <c r="K42" s="124" t="e">
        <f>VLOOKUP($A24,'Template IF 2'!$B$3:$HH$112,10,FALSE)</f>
        <v>#N/A</v>
      </c>
      <c r="L42" s="124" t="e">
        <f>VLOOKUP($A24,'Template IF 2'!$B$3:$HH$112,11,FALSE)</f>
        <v>#N/A</v>
      </c>
    </row>
    <row r="43" spans="1:24" ht="15.75" customHeight="1" x14ac:dyDescent="0.2">
      <c r="A43" s="118" t="str">
        <f>A26</f>
        <v>None</v>
      </c>
      <c r="B43" s="125" t="e">
        <f>VLOOKUP($A26,'Template IF 2'!$B$3:$HH$112,2,FALSE)</f>
        <v>#N/A</v>
      </c>
      <c r="C43" s="126" t="e">
        <f>VLOOKUP($A26,'Template IF 2'!$B$3:$HH$112,3,FALSE)</f>
        <v>#N/A</v>
      </c>
      <c r="D43" s="126" t="e">
        <f>VLOOKUP($A26,'Template IF 2'!$B$3:$HH$112,4,FALSE)</f>
        <v>#N/A</v>
      </c>
      <c r="E43" s="126" t="e">
        <f>VLOOKUP($A26,'Template IF 2'!$B$3:$HH$112,5,FALSE)</f>
        <v>#N/A</v>
      </c>
      <c r="F43" s="126" t="e">
        <f>VLOOKUP($A26,'Template IF 2'!$B$3:$HH$112,6,FALSE)</f>
        <v>#N/A</v>
      </c>
      <c r="G43" s="120"/>
      <c r="H43" s="126" t="e">
        <f>VLOOKUP($A26,'Template IF 2'!$B$3:$HH$112,7,FALSE)</f>
        <v>#N/A</v>
      </c>
      <c r="I43" s="126" t="e">
        <f>VLOOKUP($A26,'Template IF 2'!$B$3:$HH$112,8,FALSE)</f>
        <v>#N/A</v>
      </c>
      <c r="J43" s="126" t="e">
        <f>VLOOKUP($A26,'Template IF 2'!$B$3:$HH$112,9,FALSE)</f>
        <v>#N/A</v>
      </c>
      <c r="K43" s="126" t="e">
        <f>VLOOKUP($A26,'Template IF 2'!$B$3:$HH$112,10,FALSE)</f>
        <v>#N/A</v>
      </c>
      <c r="L43" s="126" t="e">
        <f>VLOOKUP($A26,'Template IF 2'!$B$3:$HH$112,11,FALSE)</f>
        <v>#N/A</v>
      </c>
    </row>
    <row r="44" spans="1:24" ht="15.75" customHeight="1" x14ac:dyDescent="0.2">
      <c r="A44" s="117"/>
      <c r="B44" s="119"/>
      <c r="C44" s="119"/>
      <c r="D44" s="119"/>
      <c r="E44" s="119"/>
      <c r="F44" s="119"/>
      <c r="G44" s="119"/>
      <c r="H44" s="127"/>
      <c r="I44" s="119"/>
      <c r="J44" s="119"/>
      <c r="K44" s="119" t="s">
        <v>59</v>
      </c>
      <c r="L44" s="119"/>
    </row>
    <row r="45" spans="1:24" ht="15.75" customHeight="1" x14ac:dyDescent="0.2">
      <c r="A45" s="117"/>
      <c r="B45" s="119"/>
      <c r="C45" s="119"/>
      <c r="D45" s="119"/>
      <c r="E45" s="119"/>
      <c r="F45" s="119"/>
      <c r="G45" s="119"/>
      <c r="H45" s="185" t="s">
        <v>486</v>
      </c>
      <c r="I45" s="185"/>
      <c r="J45" s="185"/>
      <c r="K45" s="185"/>
      <c r="L45" s="185"/>
    </row>
    <row r="46" spans="1:24" ht="15.75" customHeight="1" x14ac:dyDescent="0.2">
      <c r="A46" s="117"/>
      <c r="B46" s="187" t="s">
        <v>487</v>
      </c>
      <c r="C46" s="187"/>
      <c r="D46" s="187"/>
      <c r="E46" s="187"/>
      <c r="F46" s="187"/>
      <c r="G46" s="119"/>
      <c r="H46" s="188"/>
      <c r="I46" s="188"/>
      <c r="J46" s="188"/>
      <c r="K46" s="188"/>
      <c r="L46" s="188"/>
    </row>
    <row r="47" spans="1:24" ht="15.75" customHeight="1" x14ac:dyDescent="0.2">
      <c r="A47" s="118"/>
      <c r="B47" s="120">
        <v>2007</v>
      </c>
      <c r="C47" s="120">
        <v>2008</v>
      </c>
      <c r="D47" s="120">
        <v>2009</v>
      </c>
      <c r="E47" s="120">
        <v>2010</v>
      </c>
      <c r="F47" s="120">
        <v>2011</v>
      </c>
      <c r="G47" s="120"/>
      <c r="H47" s="120">
        <v>2007</v>
      </c>
      <c r="I47" s="120">
        <v>2008</v>
      </c>
      <c r="J47" s="120">
        <v>2009</v>
      </c>
      <c r="K47" s="120">
        <v>2010</v>
      </c>
      <c r="L47" s="120">
        <v>2011</v>
      </c>
      <c r="X47"/>
    </row>
    <row r="48" spans="1:24" ht="15.75" customHeight="1" x14ac:dyDescent="0.2">
      <c r="A48" s="117" t="s">
        <v>29</v>
      </c>
      <c r="B48" s="123">
        <f>'Template IF 2'!M3</f>
        <v>2080877</v>
      </c>
      <c r="C48" s="123">
        <f>'Template IF 2'!N3</f>
        <v>2095574</v>
      </c>
      <c r="D48" s="123">
        <f>'Template IF 2'!O3</f>
        <v>2108843</v>
      </c>
      <c r="E48" s="123">
        <f>'Template IF 2'!P3</f>
        <v>2087227</v>
      </c>
      <c r="F48" s="123">
        <f>'Template IF 2'!Q3</f>
        <v>2101295</v>
      </c>
      <c r="G48" s="119"/>
      <c r="H48" s="128">
        <f>'Template IF 2'!R3</f>
        <v>18.04227264529024</v>
      </c>
      <c r="I48" s="128">
        <f>'Template IF 2'!S3</f>
        <v>18.405817030301797</v>
      </c>
      <c r="J48" s="128">
        <f>'Template IF 2'!T3</f>
        <v>18.90554594234591</v>
      </c>
      <c r="K48" s="128">
        <f>'Template IF 2'!U3</f>
        <v>19.202697908766517</v>
      </c>
      <c r="L48" s="128">
        <f>'Template IF 2'!V3</f>
        <v>19.592109307625496</v>
      </c>
      <c r="M48" s="24"/>
      <c r="N48" s="24"/>
      <c r="O48" s="24"/>
      <c r="P48" s="24"/>
      <c r="Q48" s="24"/>
      <c r="S48" s="24"/>
      <c r="T48" s="24"/>
      <c r="U48" s="24"/>
      <c r="V48" s="24"/>
      <c r="W48" s="24"/>
    </row>
    <row r="49" spans="1:24" ht="15.75" customHeight="1" x14ac:dyDescent="0.2">
      <c r="A49" s="117" t="str">
        <f>A16</f>
        <v>None</v>
      </c>
      <c r="B49" s="124" t="e">
        <f>VLOOKUP($A16,'Template IF 2'!$B$3:$HH$112,12,FALSE)</f>
        <v>#N/A</v>
      </c>
      <c r="C49" s="124" t="e">
        <f>VLOOKUP($A16,'Template IF 2'!$B$3:$HH$112,13,FALSE)</f>
        <v>#N/A</v>
      </c>
      <c r="D49" s="124" t="e">
        <f>VLOOKUP($A16,'Template IF 2'!$B$3:$HH$112,14,FALSE)</f>
        <v>#N/A</v>
      </c>
      <c r="E49" s="124" t="e">
        <f>VLOOKUP($A16,'Template IF 2'!$B$3:$HH$112,15,FALSE)</f>
        <v>#N/A</v>
      </c>
      <c r="F49" s="124" t="e">
        <f>VLOOKUP($A16,'Template IF 2'!$B$3:$HH$112,16,FALSE)</f>
        <v>#N/A</v>
      </c>
      <c r="G49" s="119"/>
      <c r="H49" s="129" t="e">
        <f>VLOOKUP($A16,'Template IF 2'!$B$3:$HH$112,17,FALSE)</f>
        <v>#N/A</v>
      </c>
      <c r="I49" s="129" t="e">
        <f>VLOOKUP($A16,'Template IF 2'!$B$3:$HH$112,18,FALSE)</f>
        <v>#N/A</v>
      </c>
      <c r="J49" s="129" t="e">
        <f>VLOOKUP($A16,'Template IF 2'!$B$3:$HH$112,19,FALSE)</f>
        <v>#N/A</v>
      </c>
      <c r="K49" s="129" t="e">
        <f>VLOOKUP($A16,'Template IF 2'!$B$3:$HH$112,20,FALSE)</f>
        <v>#N/A</v>
      </c>
      <c r="L49" s="129" t="e">
        <f>VLOOKUP($A16,'Template IF 2'!$B$3:$HH$112,21,FALSE)</f>
        <v>#N/A</v>
      </c>
      <c r="M49" s="24"/>
      <c r="N49" s="24"/>
      <c r="O49" s="24"/>
      <c r="P49" s="24"/>
      <c r="Q49" s="24"/>
      <c r="S49" s="24"/>
      <c r="T49" s="24"/>
      <c r="U49" s="24"/>
      <c r="V49" s="24"/>
      <c r="W49" s="24"/>
      <c r="X49" s="24"/>
    </row>
    <row r="50" spans="1:24" ht="15.75" customHeight="1" x14ac:dyDescent="0.2">
      <c r="A50" s="117" t="str">
        <f>A18</f>
        <v>None</v>
      </c>
      <c r="B50" s="124" t="e">
        <f>VLOOKUP($A18,'Template IF 2'!$B$3:$HH$112,12,FALSE)</f>
        <v>#N/A</v>
      </c>
      <c r="C50" s="124" t="e">
        <f>VLOOKUP($A18,'Template IF 2'!$B$3:$HH$112,13,FALSE)</f>
        <v>#N/A</v>
      </c>
      <c r="D50" s="124" t="e">
        <f>VLOOKUP($A18,'Template IF 2'!$B$3:$HH$112,14,FALSE)</f>
        <v>#N/A</v>
      </c>
      <c r="E50" s="124" t="e">
        <f>VLOOKUP($A18,'Template IF 2'!$B$3:$HH$112,15,FALSE)</f>
        <v>#N/A</v>
      </c>
      <c r="F50" s="124" t="e">
        <f>VLOOKUP($A18,'Template IF 2'!$B$3:$HH$112,16,FALSE)</f>
        <v>#N/A</v>
      </c>
      <c r="G50" s="119"/>
      <c r="H50" s="129" t="e">
        <f>VLOOKUP($A18,'Template IF 2'!$B$3:$HH$112,17,FALSE)</f>
        <v>#N/A</v>
      </c>
      <c r="I50" s="129" t="e">
        <f>VLOOKUP($A18,'Template IF 2'!$B$3:$HH$112,18,FALSE)</f>
        <v>#N/A</v>
      </c>
      <c r="J50" s="129" t="e">
        <f>VLOOKUP($A18,'Template IF 2'!$B$3:$HH$112,19,FALSE)</f>
        <v>#N/A</v>
      </c>
      <c r="K50" s="129" t="e">
        <f>VLOOKUP($A18,'Template IF 2'!$B$3:$HH$112,20,FALSE)</f>
        <v>#N/A</v>
      </c>
      <c r="L50" s="129" t="e">
        <f>VLOOKUP($A18,'Template IF 2'!$B$3:$HH$112,21,FALSE)</f>
        <v>#N/A</v>
      </c>
    </row>
    <row r="51" spans="1:24" ht="15.75" customHeight="1" x14ac:dyDescent="0.2">
      <c r="A51" s="117" t="str">
        <f>A20</f>
        <v>None</v>
      </c>
      <c r="B51" s="124" t="e">
        <f>VLOOKUP($A20,'Template IF 2'!$B$3:$HH$112,12,FALSE)</f>
        <v>#N/A</v>
      </c>
      <c r="C51" s="124" t="e">
        <f>VLOOKUP($A20,'Template IF 2'!$B$3:$HH$112,13,FALSE)</f>
        <v>#N/A</v>
      </c>
      <c r="D51" s="124" t="e">
        <f>VLOOKUP($A20,'Template IF 2'!$B$3:$HH$112,14,FALSE)</f>
        <v>#N/A</v>
      </c>
      <c r="E51" s="124" t="e">
        <f>VLOOKUP($A20,'Template IF 2'!$B$3:$HH$112,15,FALSE)</f>
        <v>#N/A</v>
      </c>
      <c r="F51" s="124" t="e">
        <f>VLOOKUP($A20,'Template IF 2'!$B$3:$HH$112,16,FALSE)</f>
        <v>#N/A</v>
      </c>
      <c r="G51" s="119"/>
      <c r="H51" s="129" t="e">
        <f>VLOOKUP($A20,'Template IF 2'!$B$3:$HH$112,17,FALSE)</f>
        <v>#N/A</v>
      </c>
      <c r="I51" s="129" t="e">
        <f>VLOOKUP($A20,'Template IF 2'!$B$3:$HH$112,18,FALSE)</f>
        <v>#N/A</v>
      </c>
      <c r="J51" s="129" t="e">
        <f>VLOOKUP($A20,'Template IF 2'!$B$3:$HH$112,19,FALSE)</f>
        <v>#N/A</v>
      </c>
      <c r="K51" s="129" t="e">
        <f>VLOOKUP($A20,'Template IF 2'!$B$3:$HH$112,20,FALSE)</f>
        <v>#N/A</v>
      </c>
      <c r="L51" s="129" t="e">
        <f>VLOOKUP($A20,'Template IF 2'!$B$3:$HH$112,21,FALSE)</f>
        <v>#N/A</v>
      </c>
    </row>
    <row r="52" spans="1:24" ht="15.75" customHeight="1" x14ac:dyDescent="0.2">
      <c r="A52" s="117" t="str">
        <f>A22</f>
        <v>None</v>
      </c>
      <c r="B52" s="124" t="e">
        <f>VLOOKUP($A22,'Template IF 2'!$B$3:$HH$112,12,FALSE)</f>
        <v>#N/A</v>
      </c>
      <c r="C52" s="124" t="e">
        <f>VLOOKUP($A22,'Template IF 2'!$B$3:$HH$112,13,FALSE)</f>
        <v>#N/A</v>
      </c>
      <c r="D52" s="124" t="e">
        <f>VLOOKUP($A22,'Template IF 2'!$B$3:$HH$112,14,FALSE)</f>
        <v>#N/A</v>
      </c>
      <c r="E52" s="124" t="e">
        <f>VLOOKUP($A22,'Template IF 2'!$B$3:$HH$112,15,FALSE)</f>
        <v>#N/A</v>
      </c>
      <c r="F52" s="124" t="e">
        <f>VLOOKUP($A22,'Template IF 2'!$B$3:$HH$112,16,FALSE)</f>
        <v>#N/A</v>
      </c>
      <c r="G52" s="119"/>
      <c r="H52" s="129" t="e">
        <f>VLOOKUP($A22,'Template IF 2'!$B$3:$HH$112,17,FALSE)</f>
        <v>#N/A</v>
      </c>
      <c r="I52" s="129" t="e">
        <f>VLOOKUP($A22,'Template IF 2'!$B$3:$HH$112,18,FALSE)</f>
        <v>#N/A</v>
      </c>
      <c r="J52" s="129" t="e">
        <f>VLOOKUP($A22,'Template IF 2'!$B$3:$HH$112,19,FALSE)</f>
        <v>#N/A</v>
      </c>
      <c r="K52" s="129" t="e">
        <f>VLOOKUP($A22,'Template IF 2'!$B$3:$HH$112,20,FALSE)</f>
        <v>#N/A</v>
      </c>
      <c r="L52" s="129" t="e">
        <f>VLOOKUP($A22,'Template IF 2'!$B$3:$HH$112,21,FALSE)</f>
        <v>#N/A</v>
      </c>
    </row>
    <row r="53" spans="1:24" ht="15.75" customHeight="1" x14ac:dyDescent="0.2">
      <c r="A53" s="117" t="str">
        <f>A24</f>
        <v>None</v>
      </c>
      <c r="B53" s="124" t="e">
        <f>VLOOKUP($A24,'Template IF 2'!$B$3:$HH$112,12,FALSE)</f>
        <v>#N/A</v>
      </c>
      <c r="C53" s="124" t="e">
        <f>VLOOKUP($A24,'Template IF 2'!$B$3:$HH$112,13,FALSE)</f>
        <v>#N/A</v>
      </c>
      <c r="D53" s="124" t="e">
        <f>VLOOKUP($A24,'Template IF 2'!$B$3:$HH$112,14,FALSE)</f>
        <v>#N/A</v>
      </c>
      <c r="E53" s="124" t="e">
        <f>VLOOKUP($A24,'Template IF 2'!$B$3:$HH$112,15,FALSE)</f>
        <v>#N/A</v>
      </c>
      <c r="F53" s="124" t="e">
        <f>VLOOKUP($A24,'Template IF 2'!$B$3:$HH$112,16,FALSE)</f>
        <v>#N/A</v>
      </c>
      <c r="G53" s="119"/>
      <c r="H53" s="129" t="e">
        <f>VLOOKUP($A24,'Template IF 2'!$B$3:$HH$112,17,FALSE)</f>
        <v>#N/A</v>
      </c>
      <c r="I53" s="129" t="e">
        <f>VLOOKUP($A24,'Template IF 2'!$B$3:$HH$112,18,FALSE)</f>
        <v>#N/A</v>
      </c>
      <c r="J53" s="129" t="e">
        <f>VLOOKUP($A24,'Template IF 2'!$B$3:$HH$112,19,FALSE)</f>
        <v>#N/A</v>
      </c>
      <c r="K53" s="129" t="e">
        <f>VLOOKUP($A24,'Template IF 2'!$B$3:$HH$112,20,FALSE)</f>
        <v>#N/A</v>
      </c>
      <c r="L53" s="129" t="e">
        <f>VLOOKUP($A24,'Template IF 2'!$B$3:$HH$112,21,FALSE)</f>
        <v>#N/A</v>
      </c>
    </row>
    <row r="54" spans="1:24" ht="15.75" customHeight="1" x14ac:dyDescent="0.2">
      <c r="A54" s="118" t="str">
        <f>A26</f>
        <v>None</v>
      </c>
      <c r="B54" s="126" t="e">
        <f>VLOOKUP($A26,'Template IF 2'!$B$3:$HH$112,12,FALSE)</f>
        <v>#N/A</v>
      </c>
      <c r="C54" s="126" t="e">
        <f>VLOOKUP($A26,'Template IF 2'!$B$3:$HH$112,13,FALSE)</f>
        <v>#N/A</v>
      </c>
      <c r="D54" s="126" t="e">
        <f>VLOOKUP($A26,'Template IF 2'!$B$3:$HH$112,14,FALSE)</f>
        <v>#N/A</v>
      </c>
      <c r="E54" s="126" t="e">
        <f>VLOOKUP($A26,'Template IF 2'!$B$3:$HH$112,15,FALSE)</f>
        <v>#N/A</v>
      </c>
      <c r="F54" s="126" t="e">
        <f>VLOOKUP($A26,'Template IF 2'!$B$3:$HH$112,16,FALSE)</f>
        <v>#N/A</v>
      </c>
      <c r="G54" s="120"/>
      <c r="H54" s="130" t="e">
        <f>VLOOKUP($A26,'Template IF 2'!$B$3:$HH$112,17,FALSE)</f>
        <v>#N/A</v>
      </c>
      <c r="I54" s="130" t="e">
        <f>VLOOKUP($A26,'Template IF 2'!$B$3:$HH$112,18,FALSE)</f>
        <v>#N/A</v>
      </c>
      <c r="J54" s="130" t="e">
        <f>VLOOKUP($A26,'Template IF 2'!$B$3:$HH$112,19,FALSE)</f>
        <v>#N/A</v>
      </c>
      <c r="K54" s="130" t="e">
        <f>VLOOKUP($A26,'Template IF 2'!$B$3:$HH$112,20,FALSE)</f>
        <v>#N/A</v>
      </c>
      <c r="L54" s="130" t="e">
        <f>VLOOKUP($A26,'Template IF 2'!$B$3:$HH$112,21,FALSE)</f>
        <v>#N/A</v>
      </c>
    </row>
    <row r="55" spans="1:24" ht="15.75" customHeight="1" x14ac:dyDescent="0.2">
      <c r="A55" s="131"/>
      <c r="B55" s="119"/>
      <c r="C55" s="119"/>
      <c r="D55" s="119"/>
      <c r="E55" s="119"/>
      <c r="F55" s="119"/>
      <c r="G55" s="119"/>
      <c r="H55" s="132"/>
      <c r="I55" s="132"/>
      <c r="J55" s="132"/>
      <c r="K55" s="132"/>
      <c r="L55" s="132"/>
    </row>
    <row r="56" spans="1:24" ht="15.75" customHeight="1" x14ac:dyDescent="0.2">
      <c r="A56" s="117"/>
      <c r="B56" s="185" t="s">
        <v>488</v>
      </c>
      <c r="C56" s="185"/>
      <c r="D56" s="185"/>
      <c r="E56" s="185"/>
      <c r="F56" s="185"/>
      <c r="G56" s="119"/>
      <c r="H56" s="185" t="s">
        <v>489</v>
      </c>
      <c r="I56" s="185"/>
      <c r="J56" s="185"/>
      <c r="K56" s="185"/>
      <c r="L56" s="185"/>
    </row>
    <row r="57" spans="1:24" ht="15.75" customHeight="1" x14ac:dyDescent="0.2">
      <c r="A57" s="117"/>
      <c r="B57" s="188"/>
      <c r="C57" s="188"/>
      <c r="D57" s="188"/>
      <c r="E57" s="188"/>
      <c r="F57" s="188"/>
      <c r="G57" s="119"/>
      <c r="H57" s="188"/>
      <c r="I57" s="188"/>
      <c r="J57" s="188"/>
      <c r="K57" s="188"/>
      <c r="L57" s="188"/>
    </row>
    <row r="58" spans="1:24" ht="15.75" customHeight="1" x14ac:dyDescent="0.2">
      <c r="A58" s="118"/>
      <c r="B58" s="120">
        <v>2007</v>
      </c>
      <c r="C58" s="120">
        <v>2008</v>
      </c>
      <c r="D58" s="120">
        <v>2009</v>
      </c>
      <c r="E58" s="120">
        <v>2010</v>
      </c>
      <c r="F58" s="120">
        <v>2011</v>
      </c>
      <c r="G58" s="120"/>
      <c r="H58" s="120">
        <v>2007</v>
      </c>
      <c r="I58" s="120">
        <v>2008</v>
      </c>
      <c r="J58" s="120">
        <v>2009</v>
      </c>
      <c r="K58" s="120">
        <v>2010</v>
      </c>
      <c r="L58" s="120">
        <v>2011</v>
      </c>
    </row>
    <row r="59" spans="1:24" ht="15.75" customHeight="1" x14ac:dyDescent="0.2">
      <c r="A59" s="117" t="s">
        <v>29</v>
      </c>
      <c r="B59" s="128">
        <f>'Template IF 2'!W3</f>
        <v>29.355616104577891</v>
      </c>
      <c r="C59" s="128">
        <f>'Template IF 2'!X3</f>
        <v>29.300242876124123</v>
      </c>
      <c r="D59" s="128">
        <f>'Template IF 2'!Y3</f>
        <v>29.458821686574556</v>
      </c>
      <c r="E59" s="128">
        <f>'Template IF 2'!Z3</f>
        <v>29.891927356383359</v>
      </c>
      <c r="F59" s="128">
        <f>'Template IF 2'!AA3</f>
        <v>29.626864692420845</v>
      </c>
      <c r="G59" s="119"/>
      <c r="H59" s="128">
        <f>'Template IF 2'!AB3</f>
        <v>47.39788874986813</v>
      </c>
      <c r="I59" s="128">
        <f>'Template IF 2'!AC3</f>
        <v>47.706059906425921</v>
      </c>
      <c r="J59" s="128">
        <f>'Template IF 2'!AD3</f>
        <v>48.364367628920469</v>
      </c>
      <c r="K59" s="128">
        <f>'Template IF 2'!AE3</f>
        <v>49.094625265149872</v>
      </c>
      <c r="L59" s="128">
        <f>'Template IF 2'!AF3</f>
        <v>49.218974000046344</v>
      </c>
      <c r="M59" s="24"/>
      <c r="N59" s="24"/>
      <c r="O59" s="24"/>
      <c r="P59" s="24"/>
      <c r="Q59" s="24"/>
      <c r="S59" s="24"/>
      <c r="T59" s="24"/>
      <c r="U59" s="24"/>
      <c r="V59" s="24"/>
      <c r="W59" s="24"/>
    </row>
    <row r="60" spans="1:24" ht="15.75" customHeight="1" x14ac:dyDescent="0.2">
      <c r="A60" s="117" t="str">
        <f>A16</f>
        <v>None</v>
      </c>
      <c r="B60" s="129" t="e">
        <f>VLOOKUP($A16,'Template IF 2'!$B$3:$HH$112,22,FALSE)</f>
        <v>#N/A</v>
      </c>
      <c r="C60" s="129" t="e">
        <f>VLOOKUP($A16,'Template IF 2'!$B$3:$HH$112,23,FALSE)</f>
        <v>#N/A</v>
      </c>
      <c r="D60" s="129" t="e">
        <f>VLOOKUP($A16,'Template IF 2'!$B$3:$HH$112,24,FALSE)</f>
        <v>#N/A</v>
      </c>
      <c r="E60" s="129" t="e">
        <f>VLOOKUP($A16,'Template IF 2'!$B$3:$HH$112,25,FALSE)</f>
        <v>#N/A</v>
      </c>
      <c r="F60" s="129" t="e">
        <f>VLOOKUP($A16,'Template IF 2'!$B$3:$HH$112,26,FALSE)</f>
        <v>#N/A</v>
      </c>
      <c r="G60" s="119"/>
      <c r="H60" s="129" t="e">
        <f>VLOOKUP($A16,'Template IF 2'!$B$3:$HH$112,27,FALSE)</f>
        <v>#N/A</v>
      </c>
      <c r="I60" s="129" t="e">
        <f>VLOOKUP($A16,'Template IF 2'!$B$3:$HH$112,28,FALSE)</f>
        <v>#N/A</v>
      </c>
      <c r="J60" s="129" t="e">
        <f>VLOOKUP($A16,'Template IF 2'!$B$3:$HH$112,29,FALSE)</f>
        <v>#N/A</v>
      </c>
      <c r="K60" s="129" t="e">
        <f>VLOOKUP($A16,'Template IF 2'!$B$3:$HH$112,30,FALSE)</f>
        <v>#N/A</v>
      </c>
      <c r="L60" s="129" t="e">
        <f>VLOOKUP($A16,'Template IF 2'!$B$3:$HH$112,31,FALSE)</f>
        <v>#N/A</v>
      </c>
      <c r="M60" s="24"/>
      <c r="N60" s="24"/>
      <c r="O60" s="24"/>
      <c r="P60" s="24"/>
      <c r="Q60" s="24"/>
      <c r="S60" s="24"/>
      <c r="T60" s="24"/>
      <c r="U60" s="24"/>
      <c r="V60" s="24"/>
      <c r="X60" s="24"/>
    </row>
    <row r="61" spans="1:24" ht="15.75" customHeight="1" x14ac:dyDescent="0.2">
      <c r="A61" s="117" t="str">
        <f>A18</f>
        <v>None</v>
      </c>
      <c r="B61" s="129" t="e">
        <f>VLOOKUP($A18,'Template IF 2'!$B$3:$HH$112,22,FALSE)</f>
        <v>#N/A</v>
      </c>
      <c r="C61" s="129" t="e">
        <f>VLOOKUP($A18,'Template IF 2'!$B$3:$HH$112,23,FALSE)</f>
        <v>#N/A</v>
      </c>
      <c r="D61" s="129" t="e">
        <f>VLOOKUP($A18,'Template IF 2'!$B$3:$HH$112,24,FALSE)</f>
        <v>#N/A</v>
      </c>
      <c r="E61" s="129" t="e">
        <f>VLOOKUP($A18,'Template IF 2'!$B$3:$HH$112,25,FALSE)</f>
        <v>#N/A</v>
      </c>
      <c r="F61" s="129" t="e">
        <f>VLOOKUP($A18,'Template IF 2'!$B$3:$HH$112,26,FALSE)</f>
        <v>#N/A</v>
      </c>
      <c r="G61" s="119"/>
      <c r="H61" s="129" t="e">
        <f>VLOOKUP($A18,'Template IF 2'!$B$3:$HH$112,27,FALSE)</f>
        <v>#N/A</v>
      </c>
      <c r="I61" s="129" t="e">
        <f>VLOOKUP($A18,'Template IF 2'!$B$3:$HH$112,28,FALSE)</f>
        <v>#N/A</v>
      </c>
      <c r="J61" s="129" t="e">
        <f>VLOOKUP($A18,'Template IF 2'!$B$3:$HH$112,29,FALSE)</f>
        <v>#N/A</v>
      </c>
      <c r="K61" s="129" t="e">
        <f>VLOOKUP($A18,'Template IF 2'!$B$3:$HH$112,30,FALSE)</f>
        <v>#N/A</v>
      </c>
      <c r="L61" s="129" t="e">
        <f>VLOOKUP($A18,'Template IF 2'!$B$3:$HH$112,31,FALSE)</f>
        <v>#N/A</v>
      </c>
    </row>
    <row r="62" spans="1:24" ht="15.75" customHeight="1" x14ac:dyDescent="0.2">
      <c r="A62" s="117" t="str">
        <f>A20</f>
        <v>None</v>
      </c>
      <c r="B62" s="129" t="e">
        <f>VLOOKUP($A20,'Template IF 2'!$B$3:$HH$112,22,FALSE)</f>
        <v>#N/A</v>
      </c>
      <c r="C62" s="129" t="e">
        <f>VLOOKUP($A20,'Template IF 2'!$B$3:$HH$112,23,FALSE)</f>
        <v>#N/A</v>
      </c>
      <c r="D62" s="129" t="e">
        <f>VLOOKUP($A20,'Template IF 2'!$B$3:$HH$112,24,FALSE)</f>
        <v>#N/A</v>
      </c>
      <c r="E62" s="129" t="e">
        <f>VLOOKUP($A20,'Template IF 2'!$B$3:$HH$112,25,FALSE)</f>
        <v>#N/A</v>
      </c>
      <c r="F62" s="129" t="e">
        <f>VLOOKUP($A20,'Template IF 2'!$B$3:$HH$112,26,FALSE)</f>
        <v>#N/A</v>
      </c>
      <c r="G62" s="119"/>
      <c r="H62" s="129" t="e">
        <f>VLOOKUP($A20,'Template IF 2'!$B$3:$HH$112,27,FALSE)</f>
        <v>#N/A</v>
      </c>
      <c r="I62" s="129" t="e">
        <f>VLOOKUP($A20,'Template IF 2'!$B$3:$HH$112,28,FALSE)</f>
        <v>#N/A</v>
      </c>
      <c r="J62" s="129" t="e">
        <f>VLOOKUP($A20,'Template IF 2'!$B$3:$HH$112,29,FALSE)</f>
        <v>#N/A</v>
      </c>
      <c r="K62" s="129" t="e">
        <f>VLOOKUP($A20,'Template IF 2'!$B$3:$HH$112,30,FALSE)</f>
        <v>#N/A</v>
      </c>
      <c r="L62" s="129" t="e">
        <f>VLOOKUP($A20,'Template IF 2'!$B$3:$HH$112,31,FALSE)</f>
        <v>#N/A</v>
      </c>
    </row>
    <row r="63" spans="1:24" ht="15.75" customHeight="1" x14ac:dyDescent="0.2">
      <c r="A63" s="117" t="str">
        <f>A22</f>
        <v>None</v>
      </c>
      <c r="B63" s="129" t="e">
        <f>VLOOKUP($A22,'Template IF 2'!$B$3:$HH$112,22,FALSE)</f>
        <v>#N/A</v>
      </c>
      <c r="C63" s="129" t="e">
        <f>VLOOKUP($A22,'Template IF 2'!$B$3:$HH$112,23,FALSE)</f>
        <v>#N/A</v>
      </c>
      <c r="D63" s="129" t="e">
        <f>VLOOKUP($A22,'Template IF 2'!$B$3:$HH$112,24,FALSE)</f>
        <v>#N/A</v>
      </c>
      <c r="E63" s="129" t="e">
        <f>VLOOKUP($A22,'Template IF 2'!$B$3:$HH$112,25,FALSE)</f>
        <v>#N/A</v>
      </c>
      <c r="F63" s="129" t="e">
        <f>VLOOKUP($A22,'Template IF 2'!$B$3:$HH$112,26,FALSE)</f>
        <v>#N/A</v>
      </c>
      <c r="G63" s="119"/>
      <c r="H63" s="129" t="e">
        <f>VLOOKUP($A22,'Template IF 2'!$B$3:$HH$112,27,FALSE)</f>
        <v>#N/A</v>
      </c>
      <c r="I63" s="129" t="e">
        <f>VLOOKUP($A22,'Template IF 2'!$B$3:$HH$112,28,FALSE)</f>
        <v>#N/A</v>
      </c>
      <c r="J63" s="129" t="e">
        <f>VLOOKUP($A22,'Template IF 2'!$B$3:$HH$112,29,FALSE)</f>
        <v>#N/A</v>
      </c>
      <c r="K63" s="129" t="e">
        <f>VLOOKUP($A22,'Template IF 2'!$B$3:$HH$112,30,FALSE)</f>
        <v>#N/A</v>
      </c>
      <c r="L63" s="129" t="e">
        <f>VLOOKUP($A22,'Template IF 2'!$B$3:$HH$112,31,FALSE)</f>
        <v>#N/A</v>
      </c>
    </row>
    <row r="64" spans="1:24" ht="15.75" customHeight="1" x14ac:dyDescent="0.2">
      <c r="A64" s="117" t="str">
        <f>A24</f>
        <v>None</v>
      </c>
      <c r="B64" s="129" t="e">
        <f>VLOOKUP($A24,'Template IF 2'!$B$3:$HH$112,22,FALSE)</f>
        <v>#N/A</v>
      </c>
      <c r="C64" s="129" t="e">
        <f>VLOOKUP($A24,'Template IF 2'!$B$3:$HH$112,23,FALSE)</f>
        <v>#N/A</v>
      </c>
      <c r="D64" s="129" t="e">
        <f>VLOOKUP($A24,'Template IF 2'!$B$3:$HH$112,24,FALSE)</f>
        <v>#N/A</v>
      </c>
      <c r="E64" s="129" t="e">
        <f>VLOOKUP($A24,'Template IF 2'!$B$3:$HH$112,25,FALSE)</f>
        <v>#N/A</v>
      </c>
      <c r="F64" s="129" t="e">
        <f>VLOOKUP($A24,'Template IF 2'!$B$3:$HH$112,26,FALSE)</f>
        <v>#N/A</v>
      </c>
      <c r="G64" s="119"/>
      <c r="H64" s="129" t="e">
        <f>VLOOKUP($A24,'Template IF 2'!$B$3:$HH$112,27,FALSE)</f>
        <v>#N/A</v>
      </c>
      <c r="I64" s="129" t="e">
        <f>VLOOKUP($A24,'Template IF 2'!$B$3:$HH$112,28,FALSE)</f>
        <v>#N/A</v>
      </c>
      <c r="J64" s="129" t="e">
        <f>VLOOKUP($A24,'Template IF 2'!$B$3:$HH$112,29,FALSE)</f>
        <v>#N/A</v>
      </c>
      <c r="K64" s="129" t="e">
        <f>VLOOKUP($A24,'Template IF 2'!$B$3:$HH$112,30,FALSE)</f>
        <v>#N/A</v>
      </c>
      <c r="L64" s="129" t="e">
        <f>VLOOKUP($A24,'Template IF 2'!$B$3:$HH$112,31,FALSE)</f>
        <v>#N/A</v>
      </c>
    </row>
    <row r="65" spans="1:12" ht="15.75" customHeight="1" x14ac:dyDescent="0.2">
      <c r="A65" s="118" t="str">
        <f>A26</f>
        <v>None</v>
      </c>
      <c r="B65" s="130" t="e">
        <f>VLOOKUP($A26,'Template IF 2'!$B$3:$HH$112,22,FALSE)</f>
        <v>#N/A</v>
      </c>
      <c r="C65" s="130" t="e">
        <f>VLOOKUP($A26,'Template IF 2'!$B$3:$HH$112,23,FALSE)</f>
        <v>#N/A</v>
      </c>
      <c r="D65" s="130" t="e">
        <f>VLOOKUP($A26,'Template IF 2'!$B$3:$HH$112,24,FALSE)</f>
        <v>#N/A</v>
      </c>
      <c r="E65" s="130" t="e">
        <f>VLOOKUP($A26,'Template IF 2'!$B$3:$HH$112,25,FALSE)</f>
        <v>#N/A</v>
      </c>
      <c r="F65" s="130" t="e">
        <f>VLOOKUP($A26,'Template IF 2'!$B$3:$HH$112,26,FALSE)</f>
        <v>#N/A</v>
      </c>
      <c r="G65" s="120"/>
      <c r="H65" s="130" t="e">
        <f>VLOOKUP($A26,'Template IF 2'!$B$3:$HH$112,27,FALSE)</f>
        <v>#N/A</v>
      </c>
      <c r="I65" s="130" t="e">
        <f>VLOOKUP($A26,'Template IF 2'!$B$3:$HH$112,28,FALSE)</f>
        <v>#N/A</v>
      </c>
      <c r="J65" s="130" t="e">
        <f>VLOOKUP($A26,'Template IF 2'!$B$3:$HH$112,29,FALSE)</f>
        <v>#N/A</v>
      </c>
      <c r="K65" s="130" t="e">
        <f>VLOOKUP($A26,'Template IF 2'!$B$3:$HH$112,30,FALSE)</f>
        <v>#N/A</v>
      </c>
      <c r="L65" s="130" t="e">
        <f>VLOOKUP($A26,'Template IF 2'!$B$3:$HH$112,31,FALSE)</f>
        <v>#N/A</v>
      </c>
    </row>
    <row r="66" spans="1:12" ht="15.75" customHeight="1" x14ac:dyDescent="0.2">
      <c r="A66" s="117"/>
      <c r="B66" s="129"/>
      <c r="C66" s="129"/>
      <c r="D66" s="129"/>
      <c r="E66" s="129"/>
      <c r="F66" s="129"/>
      <c r="G66" s="119"/>
      <c r="H66" s="129"/>
      <c r="I66" s="129"/>
      <c r="J66" s="129"/>
      <c r="K66" s="129"/>
      <c r="L66" s="129"/>
    </row>
    <row r="67" spans="1:12" ht="17.25" customHeight="1" x14ac:dyDescent="0.2">
      <c r="A67" s="190" t="s">
        <v>163</v>
      </c>
      <c r="B67" s="190"/>
      <c r="C67" s="190"/>
      <c r="D67" s="190"/>
      <c r="E67" s="190"/>
      <c r="F67" s="190"/>
      <c r="G67" s="190"/>
      <c r="H67" s="190"/>
      <c r="I67" s="190"/>
      <c r="J67" s="190"/>
      <c r="K67" s="190"/>
      <c r="L67" s="190"/>
    </row>
    <row r="68" spans="1:12" x14ac:dyDescent="0.2">
      <c r="A68" s="117"/>
      <c r="B68" s="133"/>
      <c r="C68" s="133"/>
      <c r="D68" s="133"/>
      <c r="E68" s="133"/>
      <c r="F68" s="133"/>
      <c r="G68" s="119"/>
      <c r="H68" s="119"/>
      <c r="I68" s="119"/>
      <c r="J68" s="119"/>
      <c r="K68" s="119"/>
      <c r="L68" s="119"/>
    </row>
    <row r="69" spans="1:12" x14ac:dyDescent="0.2">
      <c r="A69" s="117"/>
      <c r="B69" s="119"/>
      <c r="C69" s="119"/>
      <c r="D69" s="119"/>
      <c r="E69" s="119"/>
      <c r="F69" s="119"/>
      <c r="G69" s="119"/>
      <c r="H69" s="185" t="s">
        <v>490</v>
      </c>
      <c r="I69" s="186"/>
      <c r="J69" s="186"/>
      <c r="K69" s="186"/>
      <c r="L69" s="186"/>
    </row>
    <row r="70" spans="1:12" ht="15" customHeight="1" x14ac:dyDescent="0.2">
      <c r="A70" s="117"/>
      <c r="B70" s="187" t="s">
        <v>491</v>
      </c>
      <c r="C70" s="187"/>
      <c r="D70" s="187"/>
      <c r="E70" s="187"/>
      <c r="F70" s="187"/>
      <c r="G70" s="119"/>
      <c r="H70" s="187"/>
      <c r="I70" s="187"/>
      <c r="J70" s="187"/>
      <c r="K70" s="187"/>
      <c r="L70" s="187"/>
    </row>
    <row r="71" spans="1:12" ht="15" customHeight="1" x14ac:dyDescent="0.2">
      <c r="A71" s="118"/>
      <c r="B71" s="120">
        <v>2007</v>
      </c>
      <c r="C71" s="120">
        <v>2008</v>
      </c>
      <c r="D71" s="120">
        <v>2009</v>
      </c>
      <c r="E71" s="120">
        <v>2010</v>
      </c>
      <c r="F71" s="120">
        <v>2011</v>
      </c>
      <c r="G71" s="120"/>
      <c r="H71" s="120">
        <v>2007</v>
      </c>
      <c r="I71" s="120">
        <v>2008</v>
      </c>
      <c r="J71" s="120">
        <v>2009</v>
      </c>
      <c r="K71" s="120">
        <v>2010</v>
      </c>
      <c r="L71" s="120">
        <v>2011</v>
      </c>
    </row>
    <row r="72" spans="1:12" ht="15.75" customHeight="1" x14ac:dyDescent="0.2">
      <c r="A72" s="117" t="s">
        <v>29</v>
      </c>
      <c r="B72" s="132">
        <f>'Template IF 2'!AG3</f>
        <v>4.5999999999999996</v>
      </c>
      <c r="C72" s="132">
        <f>'Template IF 2'!AH3</f>
        <v>5.4</v>
      </c>
      <c r="D72" s="132">
        <f>'Template IF 2'!AI3</f>
        <v>8.1</v>
      </c>
      <c r="E72" s="132">
        <f>'Template IF 2'!AJ3</f>
        <v>7.3</v>
      </c>
      <c r="F72" s="132">
        <f>'Template IF 2'!AK3</f>
        <v>6.4</v>
      </c>
      <c r="G72" s="127"/>
      <c r="H72" s="134">
        <f>'Template IF 2'!AL3</f>
        <v>126086.41666666667</v>
      </c>
      <c r="I72" s="134">
        <f>'Template IF 2'!AM3</f>
        <v>134859.24999999997</v>
      </c>
      <c r="J72" s="134">
        <f>'Template IF 2'!AN3</f>
        <v>169710.66666666669</v>
      </c>
      <c r="K72" s="134">
        <f>'Template IF 2'!AO3</f>
        <v>134859.24999999997</v>
      </c>
      <c r="L72" s="134">
        <f>'Template IF 2'!AP3</f>
        <v>237131.91666666669</v>
      </c>
    </row>
    <row r="73" spans="1:12" ht="15.75" customHeight="1" x14ac:dyDescent="0.2">
      <c r="A73" s="117" t="str">
        <f>A16</f>
        <v>None</v>
      </c>
      <c r="B73" s="135" t="e">
        <f>VLOOKUP($A16,'Template IF 2'!$B$3:$HH$112,32,FALSE)</f>
        <v>#N/A</v>
      </c>
      <c r="C73" s="135" t="e">
        <f>VLOOKUP($A16,'Template IF 2'!$B$3:$HH$112,33,FALSE)</f>
        <v>#N/A</v>
      </c>
      <c r="D73" s="135" t="e">
        <f>VLOOKUP($A16,'Template IF 2'!$B$3:$HH$112,34,FALSE)</f>
        <v>#N/A</v>
      </c>
      <c r="E73" s="135" t="e">
        <f>VLOOKUP($A16,'Template IF 2'!$B$3:$HH$112,35,FALSE)</f>
        <v>#N/A</v>
      </c>
      <c r="F73" s="135" t="e">
        <f>VLOOKUP($A16,'Template IF 2'!$B$3:$HH$112,36,FALSE)</f>
        <v>#N/A</v>
      </c>
      <c r="G73" s="127"/>
      <c r="H73" s="136" t="e">
        <f>VLOOKUP($A16,'Template IF 2'!$B$3:$HH$112,37,FALSE)</f>
        <v>#N/A</v>
      </c>
      <c r="I73" s="136" t="e">
        <f>VLOOKUP($A16,'Template IF 2'!$B$3:$HH$112,38,FALSE)</f>
        <v>#N/A</v>
      </c>
      <c r="J73" s="136" t="e">
        <f>VLOOKUP($A16,'Template IF 2'!$B$3:$HH$112,39,FALSE)</f>
        <v>#N/A</v>
      </c>
      <c r="K73" s="136" t="e">
        <f>VLOOKUP($A16,'Template IF 2'!$B$3:$HH$112,40,FALSE)</f>
        <v>#N/A</v>
      </c>
      <c r="L73" s="136" t="e">
        <f>VLOOKUP($A16,'Template IF 2'!$B$3:$HH$112,41,FALSE)</f>
        <v>#N/A</v>
      </c>
    </row>
    <row r="74" spans="1:12" ht="15.75" customHeight="1" x14ac:dyDescent="0.2">
      <c r="A74" s="117" t="str">
        <f>A18</f>
        <v>None</v>
      </c>
      <c r="B74" s="135" t="e">
        <f>VLOOKUP($A18,'Template IF 2'!$B$3:$HH$112,32,FALSE)</f>
        <v>#N/A</v>
      </c>
      <c r="C74" s="135" t="e">
        <f>VLOOKUP($A18,'Template IF 2'!$B$3:$HH$112,33,FALSE)</f>
        <v>#N/A</v>
      </c>
      <c r="D74" s="135" t="e">
        <f>VLOOKUP($A18,'Template IF 2'!$B$3:$HH$112,34,FALSE)</f>
        <v>#N/A</v>
      </c>
      <c r="E74" s="135" t="e">
        <f>VLOOKUP($A18,'Template IF 2'!$B$3:$HH$112,35,FALSE)</f>
        <v>#N/A</v>
      </c>
      <c r="F74" s="135" t="e">
        <f>VLOOKUP($A18,'Template IF 2'!$B$3:$HH$112,36,FALSE)</f>
        <v>#N/A</v>
      </c>
      <c r="G74" s="119"/>
      <c r="H74" s="136" t="e">
        <f>VLOOKUP($A18,'Template IF 2'!$B$3:$HH$112,37,FALSE)</f>
        <v>#N/A</v>
      </c>
      <c r="I74" s="136" t="e">
        <f>VLOOKUP($A18,'Template IF 2'!$B$3:$HH$112,38,FALSE)</f>
        <v>#N/A</v>
      </c>
      <c r="J74" s="136" t="e">
        <f>VLOOKUP($A18,'Template IF 2'!$B$3:$HH$112,39,FALSE)</f>
        <v>#N/A</v>
      </c>
      <c r="K74" s="136" t="e">
        <f>VLOOKUP($A18,'Template IF 2'!$B$3:$HH$112,40,FALSE)</f>
        <v>#N/A</v>
      </c>
      <c r="L74" s="136" t="e">
        <f>VLOOKUP($A18,'Template IF 2'!$B$3:$HH$112,41,FALSE)</f>
        <v>#N/A</v>
      </c>
    </row>
    <row r="75" spans="1:12" ht="15.75" customHeight="1" x14ac:dyDescent="0.2">
      <c r="A75" s="117" t="str">
        <f>A20</f>
        <v>None</v>
      </c>
      <c r="B75" s="135" t="e">
        <f>VLOOKUP($A20,'Template IF 2'!$B$3:$HH$112,32,FALSE)</f>
        <v>#N/A</v>
      </c>
      <c r="C75" s="135" t="e">
        <f>VLOOKUP($A20,'Template IF 2'!$B$3:$HH$112,33,FALSE)</f>
        <v>#N/A</v>
      </c>
      <c r="D75" s="135" t="e">
        <f>VLOOKUP($A20,'Template IF 2'!$B$3:$HH$112,34,FALSE)</f>
        <v>#N/A</v>
      </c>
      <c r="E75" s="135" t="e">
        <f>VLOOKUP($A20,'Template IF 2'!$B$3:$HH$112,35,FALSE)</f>
        <v>#N/A</v>
      </c>
      <c r="F75" s="135" t="e">
        <f>VLOOKUP($A20,'Template IF 2'!$B$3:$HH$112,36,FALSE)</f>
        <v>#N/A</v>
      </c>
      <c r="G75" s="119"/>
      <c r="H75" s="136" t="e">
        <f>VLOOKUP($A20,'Template IF 2'!$B$3:$HH$112,37,FALSE)</f>
        <v>#N/A</v>
      </c>
      <c r="I75" s="136" t="e">
        <f>VLOOKUP($A20,'Template IF 2'!$B$3:$HH$112,38,FALSE)</f>
        <v>#N/A</v>
      </c>
      <c r="J75" s="136" t="e">
        <f>VLOOKUP($A20,'Template IF 2'!$B$3:$HH$112,39,FALSE)</f>
        <v>#N/A</v>
      </c>
      <c r="K75" s="136" t="e">
        <f>VLOOKUP($A20,'Template IF 2'!$B$3:$HH$112,40,FALSE)</f>
        <v>#N/A</v>
      </c>
      <c r="L75" s="136" t="e">
        <f>VLOOKUP($A20,'Template IF 2'!$B$3:$HH$112,41,FALSE)</f>
        <v>#N/A</v>
      </c>
    </row>
    <row r="76" spans="1:12" ht="15.75" customHeight="1" x14ac:dyDescent="0.2">
      <c r="A76" s="117" t="str">
        <f>A22</f>
        <v>None</v>
      </c>
      <c r="B76" s="135" t="e">
        <f>VLOOKUP($A22,'Template IF 2'!$B$3:$HH$112,32,FALSE)</f>
        <v>#N/A</v>
      </c>
      <c r="C76" s="135" t="e">
        <f>VLOOKUP($A22,'Template IF 2'!$B$3:$HH$112,33,FALSE)</f>
        <v>#N/A</v>
      </c>
      <c r="D76" s="135" t="e">
        <f>VLOOKUP($A22,'Template IF 2'!$B$3:$HH$112,34,FALSE)</f>
        <v>#N/A</v>
      </c>
      <c r="E76" s="135" t="e">
        <f>VLOOKUP($A22,'Template IF 2'!$B$3:$HH$112,35,FALSE)</f>
        <v>#N/A</v>
      </c>
      <c r="F76" s="135" t="e">
        <f>VLOOKUP($A22,'Template IF 2'!$B$3:$HH$112,36,FALSE)</f>
        <v>#N/A</v>
      </c>
      <c r="G76" s="119"/>
      <c r="H76" s="136" t="e">
        <f>VLOOKUP($A22,'Template IF 2'!$B$3:$HH$112,37,FALSE)</f>
        <v>#N/A</v>
      </c>
      <c r="I76" s="136" t="e">
        <f>VLOOKUP($A22,'Template IF 2'!$B$3:$HH$112,38,FALSE)</f>
        <v>#N/A</v>
      </c>
      <c r="J76" s="136" t="e">
        <f>VLOOKUP($A22,'Template IF 2'!$B$3:$HH$112,39,FALSE)</f>
        <v>#N/A</v>
      </c>
      <c r="K76" s="136" t="e">
        <f>VLOOKUP($A22,'Template IF 2'!$B$3:$HH$112,40,FALSE)</f>
        <v>#N/A</v>
      </c>
      <c r="L76" s="136" t="e">
        <f>VLOOKUP($A22,'Template IF 2'!$B$3:$HH$112,41,FALSE)</f>
        <v>#N/A</v>
      </c>
    </row>
    <row r="77" spans="1:12" ht="15.75" customHeight="1" x14ac:dyDescent="0.2">
      <c r="A77" s="117" t="str">
        <f>A24</f>
        <v>None</v>
      </c>
      <c r="B77" s="135" t="e">
        <f>VLOOKUP($A24,'Template IF 2'!$B$3:$HH$112,32,FALSE)</f>
        <v>#N/A</v>
      </c>
      <c r="C77" s="135" t="e">
        <f>VLOOKUP($A24,'Template IF 2'!$B$3:$HH$112,33,FALSE)</f>
        <v>#N/A</v>
      </c>
      <c r="D77" s="135" t="e">
        <f>VLOOKUP($A24,'Template IF 2'!$B$3:$HH$112,34,FALSE)</f>
        <v>#N/A</v>
      </c>
      <c r="E77" s="135" t="e">
        <f>VLOOKUP($A24,'Template IF 2'!$B$3:$HH$112,35,FALSE)</f>
        <v>#N/A</v>
      </c>
      <c r="F77" s="135" t="e">
        <f>VLOOKUP($A24,'Template IF 2'!$B$3:$HH$112,36,FALSE)</f>
        <v>#N/A</v>
      </c>
      <c r="G77" s="119"/>
      <c r="H77" s="136" t="e">
        <f>VLOOKUP($A24,'Template IF 2'!$B$3:$HH$112,37,FALSE)</f>
        <v>#N/A</v>
      </c>
      <c r="I77" s="136" t="e">
        <f>VLOOKUP($A24,'Template IF 2'!$B$3:$HH$112,38,FALSE)</f>
        <v>#N/A</v>
      </c>
      <c r="J77" s="136" t="e">
        <f>VLOOKUP($A24,'Template IF 2'!$B$3:$HH$112,39,FALSE)</f>
        <v>#N/A</v>
      </c>
      <c r="K77" s="136" t="e">
        <f>VLOOKUP($A24,'Template IF 2'!$B$3:$HH$112,40,FALSE)</f>
        <v>#N/A</v>
      </c>
      <c r="L77" s="136" t="e">
        <f>VLOOKUP($A24,'Template IF 2'!$B$3:$HH$112,41,FALSE)</f>
        <v>#N/A</v>
      </c>
    </row>
    <row r="78" spans="1:12" ht="15.75" customHeight="1" x14ac:dyDescent="0.2">
      <c r="A78" s="118" t="str">
        <f>A26</f>
        <v>None</v>
      </c>
      <c r="B78" s="137" t="e">
        <f>VLOOKUP($A26,'Template IF 2'!$B$3:$HH$112,32,FALSE)</f>
        <v>#N/A</v>
      </c>
      <c r="C78" s="137" t="e">
        <f>VLOOKUP($A26,'Template IF 2'!$B$3:$HH$112,33,FALSE)</f>
        <v>#N/A</v>
      </c>
      <c r="D78" s="137" t="e">
        <f>VLOOKUP($A26,'Template IF 2'!$B$3:$HH$112,34,FALSE)</f>
        <v>#N/A</v>
      </c>
      <c r="E78" s="137" t="e">
        <f>VLOOKUP($A26,'Template IF 2'!$B$3:$HH$112,35,FALSE)</f>
        <v>#N/A</v>
      </c>
      <c r="F78" s="137" t="e">
        <f>VLOOKUP($A26,'Template IF 2'!$B$3:$HH$112,36,FALSE)</f>
        <v>#N/A</v>
      </c>
      <c r="G78" s="138"/>
      <c r="H78" s="126" t="e">
        <f>VLOOKUP($A26,'Template IF 2'!$B$3:$HH$112,37,FALSE)</f>
        <v>#N/A</v>
      </c>
      <c r="I78" s="126" t="e">
        <f>VLOOKUP($A26,'Template IF 2'!$B$3:$HH$112,38,FALSE)</f>
        <v>#N/A</v>
      </c>
      <c r="J78" s="126" t="e">
        <f>VLOOKUP($A26,'Template IF 2'!$B$3:$HH$112,39,FALSE)</f>
        <v>#N/A</v>
      </c>
      <c r="K78" s="126" t="e">
        <f>VLOOKUP($A26,'Template IF 2'!$B$3:$HH$112,40,FALSE)</f>
        <v>#N/A</v>
      </c>
      <c r="L78" s="126" t="e">
        <f>VLOOKUP($A26,'Template IF 2'!$B$3:$HH$112,41,FALSE)</f>
        <v>#N/A</v>
      </c>
    </row>
    <row r="79" spans="1:12" ht="15.75" customHeight="1" x14ac:dyDescent="0.2">
      <c r="A79" s="117"/>
      <c r="B79" s="119"/>
      <c r="C79" s="119"/>
      <c r="D79" s="119"/>
      <c r="E79" s="119"/>
      <c r="F79" s="119"/>
      <c r="G79" s="119"/>
      <c r="H79" s="127"/>
      <c r="I79" s="127"/>
      <c r="J79" s="127"/>
      <c r="K79" s="127"/>
      <c r="L79" s="127"/>
    </row>
    <row r="80" spans="1:12" ht="15.75" customHeight="1" x14ac:dyDescent="0.2">
      <c r="A80" s="117"/>
      <c r="B80" s="187" t="s">
        <v>492</v>
      </c>
      <c r="C80" s="187"/>
      <c r="D80" s="187"/>
      <c r="E80" s="187"/>
      <c r="F80" s="187"/>
      <c r="G80" s="119"/>
      <c r="H80" s="187" t="s">
        <v>493</v>
      </c>
      <c r="I80" s="187"/>
      <c r="J80" s="187"/>
      <c r="K80" s="187"/>
      <c r="L80" s="187"/>
    </row>
    <row r="81" spans="1:12" ht="15.75" customHeight="1" x14ac:dyDescent="0.2">
      <c r="A81" s="118"/>
      <c r="B81" s="120">
        <v>2007</v>
      </c>
      <c r="C81" s="120">
        <v>2008</v>
      </c>
      <c r="D81" s="120">
        <v>2009</v>
      </c>
      <c r="E81" s="120">
        <v>2010</v>
      </c>
      <c r="F81" s="120">
        <v>2011</v>
      </c>
      <c r="G81" s="119"/>
      <c r="H81" s="120">
        <v>2007</v>
      </c>
      <c r="I81" s="120">
        <v>2008</v>
      </c>
      <c r="J81" s="120">
        <v>2009</v>
      </c>
      <c r="K81" s="120">
        <v>2010</v>
      </c>
      <c r="L81" s="120">
        <v>2011</v>
      </c>
    </row>
    <row r="82" spans="1:12" ht="15.75" customHeight="1" x14ac:dyDescent="0.2">
      <c r="A82" s="117" t="s">
        <v>29</v>
      </c>
      <c r="B82" s="139">
        <f>'Template IF 2'!AQ3</f>
        <v>45176.550155979414</v>
      </c>
      <c r="C82" s="139">
        <f>'Template IF 2'!AR3</f>
        <v>45411.790826107353</v>
      </c>
      <c r="D82" s="139">
        <f>'Template IF 2'!AS3</f>
        <v>42935.940007852143</v>
      </c>
      <c r="E82" s="139">
        <f>'Template IF 2'!AT3</f>
        <v>43870.692385097878</v>
      </c>
      <c r="F82" s="139">
        <f>'Template IF 2'!AU3</f>
        <v>44559.7610489777</v>
      </c>
      <c r="G82" s="127"/>
      <c r="H82" s="140">
        <f>'Template IF 2'!AV3</f>
        <v>60388.172661592922</v>
      </c>
      <c r="I82" s="140">
        <f>'Template IF 2'!AW3</f>
        <v>59883.297501660454</v>
      </c>
      <c r="J82" s="140">
        <f>'Template IF 2'!AX3</f>
        <v>58317.829180980429</v>
      </c>
      <c r="K82" s="140">
        <f>'Template IF 2'!AY3</f>
        <v>57171.41127967128</v>
      </c>
      <c r="L82" s="140">
        <f>'Template IF 2'!AZ3</f>
        <v>56944</v>
      </c>
    </row>
    <row r="83" spans="1:12" ht="15.75" customHeight="1" x14ac:dyDescent="0.2">
      <c r="A83" s="117" t="str">
        <f>A16</f>
        <v>None</v>
      </c>
      <c r="B83" s="139" t="e">
        <f>VLOOKUP($A16,'Template IF 2'!$B$3:$HH$112,42,FALSE)</f>
        <v>#N/A</v>
      </c>
      <c r="C83" s="139" t="e">
        <f>VLOOKUP($A16,'Template IF 2'!$B$3:$HH$112,43,FALSE)</f>
        <v>#N/A</v>
      </c>
      <c r="D83" s="139" t="e">
        <f>VLOOKUP($A16,'Template IF 2'!$B$3:$HH$112,44,FALSE)</f>
        <v>#N/A</v>
      </c>
      <c r="E83" s="139" t="e">
        <f>VLOOKUP($A16,'Template IF 2'!$B$3:$HH$112,45,FALSE)</f>
        <v>#N/A</v>
      </c>
      <c r="F83" s="139" t="e">
        <f>VLOOKUP($A16,'Template IF 2'!$B$3:$HH$112,46,FALSE)</f>
        <v>#N/A</v>
      </c>
      <c r="G83" s="127"/>
      <c r="H83" s="140" t="e">
        <f>VLOOKUP($A16,'Template IF 2'!$B$3:$HH$112,47,FALSE)</f>
        <v>#N/A</v>
      </c>
      <c r="I83" s="140" t="e">
        <f>VLOOKUP($A16,'Template IF 2'!$B$3:$HH$112,48,FALSE)</f>
        <v>#N/A</v>
      </c>
      <c r="J83" s="140" t="e">
        <f>VLOOKUP($A16,'Template IF 2'!$B$3:$HH$112,49,FALSE)</f>
        <v>#N/A</v>
      </c>
      <c r="K83" s="140" t="e">
        <f>VLOOKUP($A16,'Template IF 2'!$B$3:$HH$112,50,FALSE)</f>
        <v>#N/A</v>
      </c>
      <c r="L83" s="140" t="e">
        <f>VLOOKUP($A16,'Template IF 2'!$B$3:$HH$112,51,FALSE)</f>
        <v>#N/A</v>
      </c>
    </row>
    <row r="84" spans="1:12" ht="15.75" customHeight="1" x14ac:dyDescent="0.2">
      <c r="A84" s="117" t="str">
        <f>A18</f>
        <v>None</v>
      </c>
      <c r="B84" s="139" t="e">
        <f>VLOOKUP($A18,'Template IF 2'!$B$3:$HH$112,42,FALSE)</f>
        <v>#N/A</v>
      </c>
      <c r="C84" s="139" t="e">
        <f>VLOOKUP($A18,'Template IF 2'!$B$3:$HH$112,43,FALSE)</f>
        <v>#N/A</v>
      </c>
      <c r="D84" s="139" t="e">
        <f>VLOOKUP($A18,'Template IF 2'!$B$3:$HH$112,44,FALSE)</f>
        <v>#N/A</v>
      </c>
      <c r="E84" s="139" t="e">
        <f>VLOOKUP($A18,'Template IF 2'!$B$3:$HH$112,45,FALSE)</f>
        <v>#N/A</v>
      </c>
      <c r="F84" s="139" t="e">
        <f>VLOOKUP($A18,'Template IF 2'!$B$3:$HH$112,46,FALSE)</f>
        <v>#N/A</v>
      </c>
      <c r="G84" s="127"/>
      <c r="H84" s="140" t="e">
        <f>VLOOKUP($A18,'Template IF 2'!$B$3:$HH$112,47,FALSE)</f>
        <v>#N/A</v>
      </c>
      <c r="I84" s="140" t="e">
        <f>VLOOKUP($A18,'Template IF 2'!$B$3:$HH$112,48,FALSE)</f>
        <v>#N/A</v>
      </c>
      <c r="J84" s="140" t="e">
        <f>VLOOKUP($A18,'Template IF 2'!$B$3:$HH$112,49,FALSE)</f>
        <v>#N/A</v>
      </c>
      <c r="K84" s="140" t="e">
        <f>VLOOKUP($A18,'Template IF 2'!$B$3:$HH$112,50,FALSE)</f>
        <v>#N/A</v>
      </c>
      <c r="L84" s="140" t="e">
        <f>VLOOKUP($A18,'Template IF 2'!$B$3:$HH$112,51,FALSE)</f>
        <v>#N/A</v>
      </c>
    </row>
    <row r="85" spans="1:12" ht="15.75" customHeight="1" x14ac:dyDescent="0.2">
      <c r="A85" s="117" t="str">
        <f>A20</f>
        <v>None</v>
      </c>
      <c r="B85" s="139" t="e">
        <f>VLOOKUP($A20,'Template IF 2'!$B$3:$HH$112,42,FALSE)</f>
        <v>#N/A</v>
      </c>
      <c r="C85" s="139" t="e">
        <f>VLOOKUP($A20,'Template IF 2'!$B$3:$HH$112,43,FALSE)</f>
        <v>#N/A</v>
      </c>
      <c r="D85" s="139" t="e">
        <f>VLOOKUP($A20,'Template IF 2'!$B$3:$HH$112,44,FALSE)</f>
        <v>#N/A</v>
      </c>
      <c r="E85" s="139" t="e">
        <f>VLOOKUP($A20,'Template IF 2'!$B$3:$HH$112,45,FALSE)</f>
        <v>#N/A</v>
      </c>
      <c r="F85" s="139" t="e">
        <f>VLOOKUP($A20,'Template IF 2'!$B$3:$HH$112,46,FALSE)</f>
        <v>#N/A</v>
      </c>
      <c r="G85" s="127"/>
      <c r="H85" s="140" t="e">
        <f>VLOOKUP($A20,'Template IF 2'!$B$3:$HH$112,47,FALSE)</f>
        <v>#N/A</v>
      </c>
      <c r="I85" s="140" t="e">
        <f>VLOOKUP($A20,'Template IF 2'!$B$3:$HH$112,48,FALSE)</f>
        <v>#N/A</v>
      </c>
      <c r="J85" s="140" t="e">
        <f>VLOOKUP($A20,'Template IF 2'!$B$3:$HH$112,49,FALSE)</f>
        <v>#N/A</v>
      </c>
      <c r="K85" s="140" t="e">
        <f>VLOOKUP($A20,'Template IF 2'!$B$3:$HH$112,50,FALSE)</f>
        <v>#N/A</v>
      </c>
      <c r="L85" s="140" t="e">
        <f>VLOOKUP($A20,'Template IF 2'!$B$3:$HH$112,51,FALSE)</f>
        <v>#N/A</v>
      </c>
    </row>
    <row r="86" spans="1:12" ht="15.75" customHeight="1" x14ac:dyDescent="0.2">
      <c r="A86" s="117" t="str">
        <f>A22</f>
        <v>None</v>
      </c>
      <c r="B86" s="139" t="e">
        <f>VLOOKUP($A22,'Template IF 2'!$B$3:$HH$112,42,FALSE)</f>
        <v>#N/A</v>
      </c>
      <c r="C86" s="139" t="e">
        <f>VLOOKUP($A22,'Template IF 2'!$B$3:$HH$112,43,FALSE)</f>
        <v>#N/A</v>
      </c>
      <c r="D86" s="139" t="e">
        <f>VLOOKUP($A22,'Template IF 2'!$B$3:$HH$112,44,FALSE)</f>
        <v>#N/A</v>
      </c>
      <c r="E86" s="139" t="e">
        <f>VLOOKUP($A22,'Template IF 2'!$B$3:$HH$112,45,FALSE)</f>
        <v>#N/A</v>
      </c>
      <c r="F86" s="139" t="e">
        <f>VLOOKUP($A22,'Template IF 2'!$B$3:$HH$112,46,FALSE)</f>
        <v>#N/A</v>
      </c>
      <c r="G86" s="127"/>
      <c r="H86" s="141" t="e">
        <f>VLOOKUP($A22,'Template IF 2'!$B$3:$HH$112,47,FALSE)</f>
        <v>#N/A</v>
      </c>
      <c r="I86" s="141" t="e">
        <f>VLOOKUP($A22,'Template IF 2'!$B$3:$HH$112,48,FALSE)</f>
        <v>#N/A</v>
      </c>
      <c r="J86" s="140" t="e">
        <f>VLOOKUP($A22,'Template IF 2'!$B$3:$HH$112,49,FALSE)</f>
        <v>#N/A</v>
      </c>
      <c r="K86" s="140" t="e">
        <f>VLOOKUP($A22,'Template IF 2'!$B$3:$HH$112,50,FALSE)</f>
        <v>#N/A</v>
      </c>
      <c r="L86" s="140" t="e">
        <f>VLOOKUP($A22,'Template IF 2'!$B$3:$HH$112,51,FALSE)</f>
        <v>#N/A</v>
      </c>
    </row>
    <row r="87" spans="1:12" ht="15.75" customHeight="1" x14ac:dyDescent="0.2">
      <c r="A87" s="117" t="str">
        <f>A24</f>
        <v>None</v>
      </c>
      <c r="B87" s="139" t="e">
        <f>VLOOKUP($A24,'Template IF 2'!$B$3:$HH$112,42,FALSE)</f>
        <v>#N/A</v>
      </c>
      <c r="C87" s="139" t="e">
        <f>VLOOKUP($A24,'Template IF 2'!$B$3:$HH$112,43,FALSE)</f>
        <v>#N/A</v>
      </c>
      <c r="D87" s="139" t="e">
        <f>VLOOKUP($A24,'Template IF 2'!$B$3:$HH$112,44,FALSE)</f>
        <v>#N/A</v>
      </c>
      <c r="E87" s="139" t="e">
        <f>VLOOKUP($A24,'Template IF 2'!$B$3:$HH$112,45,FALSE)</f>
        <v>#N/A</v>
      </c>
      <c r="F87" s="139" t="e">
        <f>VLOOKUP($A24,'Template IF 2'!$B$3:$HH$112,46,FALSE)</f>
        <v>#N/A</v>
      </c>
      <c r="G87" s="127"/>
      <c r="H87" s="141" t="e">
        <f>VLOOKUP($A24,'Template IF 2'!$B$3:$HH$112,47,FALSE)</f>
        <v>#N/A</v>
      </c>
      <c r="I87" s="141" t="e">
        <f>VLOOKUP($A24,'Template IF 2'!$B$3:$HH$112,48,FALSE)</f>
        <v>#N/A</v>
      </c>
      <c r="J87" s="140" t="e">
        <f>VLOOKUP($A24,'Template IF 2'!$B$3:$HH$112,49,FALSE)</f>
        <v>#N/A</v>
      </c>
      <c r="K87" s="140" t="e">
        <f>VLOOKUP($A24,'Template IF 2'!$B$3:$HH$112,50,FALSE)</f>
        <v>#N/A</v>
      </c>
      <c r="L87" s="140" t="e">
        <f>VLOOKUP($A24,'Template IF 2'!$B$3:$HH$112,51,FALSE)</f>
        <v>#N/A</v>
      </c>
    </row>
    <row r="88" spans="1:12" ht="15.75" customHeight="1" x14ac:dyDescent="0.2">
      <c r="A88" s="118" t="str">
        <f>A26</f>
        <v>None</v>
      </c>
      <c r="B88" s="142" t="e">
        <f>VLOOKUP($A26,'Template IF 2'!$B$3:$HH$112,42,FALSE)</f>
        <v>#N/A</v>
      </c>
      <c r="C88" s="142" t="e">
        <f>VLOOKUP($A26,'Template IF 2'!$B$3:$HH$112,43,FALSE)</f>
        <v>#N/A</v>
      </c>
      <c r="D88" s="142" t="e">
        <f>VLOOKUP($A26,'Template IF 2'!$B$3:$HH$112,44,FALSE)</f>
        <v>#N/A</v>
      </c>
      <c r="E88" s="142" t="e">
        <f>VLOOKUP($A26,'Template IF 2'!$B$3:$HH$112,45,FALSE)</f>
        <v>#N/A</v>
      </c>
      <c r="F88" s="142" t="e">
        <f>VLOOKUP($A26,'Template IF 2'!$B$3:$HH$112,46,FALSE)</f>
        <v>#N/A</v>
      </c>
      <c r="G88" s="127"/>
      <c r="H88" s="125" t="e">
        <f>VLOOKUP($A26,'Template IF 2'!$B$3:$HH$112,47,FALSE)</f>
        <v>#N/A</v>
      </c>
      <c r="I88" s="125" t="e">
        <f>VLOOKUP($A26,'Template IF 2'!$B$3:$HH$112,48,FALSE)</f>
        <v>#N/A</v>
      </c>
      <c r="J88" s="142" t="e">
        <f>VLOOKUP($A26,'Template IF 2'!$B$3:$HH$112,49,FALSE)</f>
        <v>#N/A</v>
      </c>
      <c r="K88" s="142" t="e">
        <f>VLOOKUP($A26,'Template IF 2'!$B$3:$HH$112,50,FALSE)</f>
        <v>#N/A</v>
      </c>
      <c r="L88" s="142" t="e">
        <f>VLOOKUP($A26,'Template IF 2'!$B$3:$HH$112,51,FALSE)</f>
        <v>#N/A</v>
      </c>
    </row>
    <row r="89" spans="1:12" ht="12.75" customHeight="1" x14ac:dyDescent="0.2">
      <c r="A89" s="131"/>
      <c r="B89" s="134"/>
      <c r="C89" s="134"/>
      <c r="D89" s="134"/>
      <c r="E89" s="134"/>
      <c r="F89" s="134"/>
      <c r="G89" s="119"/>
      <c r="H89" s="117" t="s">
        <v>179</v>
      </c>
      <c r="I89" s="134"/>
      <c r="J89" s="134"/>
      <c r="K89" s="134"/>
      <c r="L89" s="134"/>
    </row>
    <row r="90" spans="1:12" ht="14.25" x14ac:dyDescent="0.2">
      <c r="A90" s="117"/>
      <c r="B90" s="187" t="s">
        <v>494</v>
      </c>
      <c r="C90" s="187"/>
      <c r="D90" s="187"/>
      <c r="E90" s="187"/>
      <c r="F90" s="187"/>
      <c r="G90" s="119"/>
      <c r="H90" s="187" t="s">
        <v>495</v>
      </c>
      <c r="I90" s="187"/>
      <c r="J90" s="187"/>
      <c r="K90" s="187"/>
      <c r="L90" s="187"/>
    </row>
    <row r="91" spans="1:12" x14ac:dyDescent="0.2">
      <c r="A91" s="118"/>
      <c r="B91" s="120">
        <v>2007</v>
      </c>
      <c r="C91" s="120">
        <v>2008</v>
      </c>
      <c r="D91" s="120">
        <v>2009</v>
      </c>
      <c r="E91" s="120">
        <v>2010</v>
      </c>
      <c r="F91" s="120">
        <v>2011</v>
      </c>
      <c r="G91" s="119"/>
      <c r="H91" s="120">
        <v>2007</v>
      </c>
      <c r="I91" s="120">
        <v>2008</v>
      </c>
      <c r="J91" s="120">
        <v>2009</v>
      </c>
      <c r="K91" s="120">
        <v>2010</v>
      </c>
      <c r="L91" s="120">
        <v>2011</v>
      </c>
    </row>
    <row r="92" spans="1:12" ht="15.75" customHeight="1" x14ac:dyDescent="0.2">
      <c r="A92" s="117" t="s">
        <v>29</v>
      </c>
      <c r="B92" s="143">
        <f>'Template IF 2'!BA3</f>
        <v>9.4998192127147938</v>
      </c>
      <c r="C92" s="143">
        <f>'Template IF 2'!BB3</f>
        <v>9.62031204909146</v>
      </c>
      <c r="D92" s="143">
        <f>'Template IF 2'!BC3</f>
        <v>10.873109199822638</v>
      </c>
      <c r="E92" s="143">
        <f>'Template IF 2'!BD3</f>
        <v>11.47544174337067</v>
      </c>
      <c r="F92" s="143">
        <f>'Template IF 2'!BE3</f>
        <v>11.81764463946117</v>
      </c>
      <c r="G92" s="129"/>
      <c r="H92" s="143">
        <f>'Template IF 2'!BF3</f>
        <v>11.941743194622052</v>
      </c>
      <c r="I92" s="143">
        <f>'Template IF 2'!BG3</f>
        <v>11.402595156967484</v>
      </c>
      <c r="J92" s="144">
        <f>'Template IF 2'!BH3</f>
        <v>13.880229458334476</v>
      </c>
      <c r="K92" s="144">
        <f>'Template IF 2'!BI3</f>
        <v>15.017250168944953</v>
      </c>
      <c r="L92" s="144">
        <f>'Template IF 2'!BJ3</f>
        <v>15.262407516987487</v>
      </c>
    </row>
    <row r="93" spans="1:12" ht="15.75" customHeight="1" x14ac:dyDescent="0.2">
      <c r="A93" s="117" t="str">
        <f>A16</f>
        <v>None</v>
      </c>
      <c r="B93" s="143" t="e">
        <f>VLOOKUP($A16,'Template IF 2'!$B$3:$HH$112,52,FALSE)</f>
        <v>#N/A</v>
      </c>
      <c r="C93" s="143" t="e">
        <f>VLOOKUP($A16,'Template IF 2'!$B$3:$HH$112,53,FALSE)</f>
        <v>#N/A</v>
      </c>
      <c r="D93" s="143" t="e">
        <f>VLOOKUP($A16,'Template IF 2'!$B$3:$HH$112,54,FALSE)</f>
        <v>#N/A</v>
      </c>
      <c r="E93" s="143" t="e">
        <f>VLOOKUP($A16,'Template IF 2'!$B$3:$HH$112,55,FALSE)</f>
        <v>#N/A</v>
      </c>
      <c r="F93" s="143" t="e">
        <f>VLOOKUP($A16,'Template IF 2'!$B$3:$HH$112,56,FALSE)</f>
        <v>#N/A</v>
      </c>
      <c r="G93" s="129"/>
      <c r="H93" s="143" t="e">
        <f>VLOOKUP($A16,'Template IF 2'!$B$3:$HH$112,57,FALSE)</f>
        <v>#N/A</v>
      </c>
      <c r="I93" s="143" t="e">
        <f>VLOOKUP($A16,'Template IF 2'!$B$3:$HH$112,58,FALSE)</f>
        <v>#N/A</v>
      </c>
      <c r="J93" s="129" t="e">
        <f>VLOOKUP($A16,'Template IF 2'!$B$3:$HH$112,59,FALSE)</f>
        <v>#N/A</v>
      </c>
      <c r="K93" s="129" t="e">
        <f>VLOOKUP($A16,'Template IF 2'!$B$3:$HH$112,60,FALSE)</f>
        <v>#N/A</v>
      </c>
      <c r="L93" s="129" t="e">
        <f>VLOOKUP($A16,'Template IF 2'!$B$3:$HH$112,61,FALSE)</f>
        <v>#N/A</v>
      </c>
    </row>
    <row r="94" spans="1:12" ht="15.75" customHeight="1" x14ac:dyDescent="0.2">
      <c r="A94" s="117" t="str">
        <f>A18</f>
        <v>None</v>
      </c>
      <c r="B94" s="143" t="e">
        <f>VLOOKUP($A18,'Template IF 2'!$B$3:$HH$112,52,FALSE)</f>
        <v>#N/A</v>
      </c>
      <c r="C94" s="143" t="e">
        <f>VLOOKUP($A18,'Template IF 2'!$B$3:$HH$112,53,FALSE)</f>
        <v>#N/A</v>
      </c>
      <c r="D94" s="143" t="e">
        <f>VLOOKUP($A18,'Template IF 2'!$B$3:$HH$112,54,FALSE)</f>
        <v>#N/A</v>
      </c>
      <c r="E94" s="143" t="e">
        <f>VLOOKUP($A18,'Template IF 2'!$B$3:$HH$112,55,FALSE)</f>
        <v>#N/A</v>
      </c>
      <c r="F94" s="143" t="e">
        <f>VLOOKUP($A18,'Template IF 2'!$B$3:$HH$112,56,FALSE)</f>
        <v>#N/A</v>
      </c>
      <c r="G94" s="129"/>
      <c r="H94" s="143" t="e">
        <f>VLOOKUP($A18,'Template IF 2'!$B$3:$HH$112,57,FALSE)</f>
        <v>#N/A</v>
      </c>
      <c r="I94" s="143" t="e">
        <f>VLOOKUP($A18,'Template IF 2'!$B$3:$HH$112,58,FALSE)</f>
        <v>#N/A</v>
      </c>
      <c r="J94" s="129" t="e">
        <f>VLOOKUP($A18,'Template IF 2'!$B$3:$HH$112,59,FALSE)</f>
        <v>#N/A</v>
      </c>
      <c r="K94" s="129" t="e">
        <f>VLOOKUP($A18,'Template IF 2'!$B$3:$HH$112,60,FALSE)</f>
        <v>#N/A</v>
      </c>
      <c r="L94" s="129" t="e">
        <f>VLOOKUP($A18,'Template IF 2'!$B$3:$HH$112,61,FALSE)</f>
        <v>#N/A</v>
      </c>
    </row>
    <row r="95" spans="1:12" ht="15.75" customHeight="1" x14ac:dyDescent="0.2">
      <c r="A95" s="117" t="str">
        <f>A20</f>
        <v>None</v>
      </c>
      <c r="B95" s="143" t="e">
        <f>VLOOKUP($A20,'Template IF 2'!$B$3:$HH$112,52,FALSE)</f>
        <v>#N/A</v>
      </c>
      <c r="C95" s="143" t="e">
        <f>VLOOKUP($A20,'Template IF 2'!$B$3:$HH$112,53,FALSE)</f>
        <v>#N/A</v>
      </c>
      <c r="D95" s="143" t="e">
        <f>VLOOKUP($A20,'Template IF 2'!$B$3:$HH$112,54,FALSE)</f>
        <v>#N/A</v>
      </c>
      <c r="E95" s="143" t="e">
        <f>VLOOKUP($A20,'Template IF 2'!$B$3:$HH$112,55,FALSE)</f>
        <v>#N/A</v>
      </c>
      <c r="F95" s="143" t="e">
        <f>VLOOKUP($A20,'Template IF 2'!$B$3:$HH$112,56,FALSE)</f>
        <v>#N/A</v>
      </c>
      <c r="G95" s="129"/>
      <c r="H95" s="143" t="e">
        <f>VLOOKUP($A20,'Template IF 2'!$B$3:$HH$112,57,FALSE)</f>
        <v>#N/A</v>
      </c>
      <c r="I95" s="143" t="e">
        <f>VLOOKUP($A20,'Template IF 2'!$B$3:$HH$112,58,FALSE)</f>
        <v>#N/A</v>
      </c>
      <c r="J95" s="129" t="e">
        <f>VLOOKUP($A20,'Template IF 2'!$B$3:$HH$112,59,FALSE)</f>
        <v>#N/A</v>
      </c>
      <c r="K95" s="129" t="e">
        <f>VLOOKUP($A20,'Template IF 2'!$B$3:$HH$112,60,FALSE)</f>
        <v>#N/A</v>
      </c>
      <c r="L95" s="129" t="e">
        <f>VLOOKUP($A20,'Template IF 2'!$B$3:$HH$112,61,FALSE)</f>
        <v>#N/A</v>
      </c>
    </row>
    <row r="96" spans="1:12" ht="15.75" customHeight="1" x14ac:dyDescent="0.2">
      <c r="A96" s="117" t="str">
        <f>A22</f>
        <v>None</v>
      </c>
      <c r="B96" s="143" t="e">
        <f>VLOOKUP($A22,'Template IF 2'!$B$3:$HH$112,52,FALSE)</f>
        <v>#N/A</v>
      </c>
      <c r="C96" s="143" t="e">
        <f>VLOOKUP($A22,'Template IF 2'!$B$3:$HH$112,53,FALSE)</f>
        <v>#N/A</v>
      </c>
      <c r="D96" s="143" t="e">
        <f>VLOOKUP($A22,'Template IF 2'!$B$3:$HH$112,54,FALSE)</f>
        <v>#N/A</v>
      </c>
      <c r="E96" s="143" t="e">
        <f>VLOOKUP($A22,'Template IF 2'!$B$3:$HH$112,55,FALSE)</f>
        <v>#N/A</v>
      </c>
      <c r="F96" s="143" t="e">
        <f>VLOOKUP($A22,'Template IF 2'!$B$3:$HH$112,56,FALSE)</f>
        <v>#N/A</v>
      </c>
      <c r="G96" s="129"/>
      <c r="H96" s="143" t="e">
        <f>VLOOKUP($A22,'Template IF 2'!$B$3:$HH$112,57,FALSE)</f>
        <v>#N/A</v>
      </c>
      <c r="I96" s="143" t="e">
        <f>VLOOKUP($A22,'Template IF 2'!$B$3:$HH$112,58,FALSE)</f>
        <v>#N/A</v>
      </c>
      <c r="J96" s="129" t="e">
        <f>VLOOKUP($A22,'Template IF 2'!$B$3:$HH$112,59,FALSE)</f>
        <v>#N/A</v>
      </c>
      <c r="K96" s="129" t="e">
        <f>VLOOKUP($A22,'Template IF 2'!$B$3:$HH$112,60,FALSE)</f>
        <v>#N/A</v>
      </c>
      <c r="L96" s="129" t="e">
        <f>VLOOKUP($A22,'Template IF 2'!$B$3:$HH$112,61,FALSE)</f>
        <v>#N/A</v>
      </c>
    </row>
    <row r="97" spans="1:27" ht="15.75" customHeight="1" x14ac:dyDescent="0.2">
      <c r="A97" s="117" t="str">
        <f>A24</f>
        <v>None</v>
      </c>
      <c r="B97" s="143" t="e">
        <f>VLOOKUP($A24,'Template IF 2'!$B$3:$HH$112,52,FALSE)</f>
        <v>#N/A</v>
      </c>
      <c r="C97" s="143" t="e">
        <f>VLOOKUP($A24,'Template IF 2'!$B$3:$HH$112,53,FALSE)</f>
        <v>#N/A</v>
      </c>
      <c r="D97" s="143" t="e">
        <f>VLOOKUP($A24,'Template IF 2'!$B$3:$HH$112,54,FALSE)</f>
        <v>#N/A</v>
      </c>
      <c r="E97" s="143" t="e">
        <f>VLOOKUP($A24,'Template IF 2'!$B$3:$HH$112,55,FALSE)</f>
        <v>#N/A</v>
      </c>
      <c r="F97" s="143" t="e">
        <f>VLOOKUP($A24,'Template IF 2'!$B$3:$HH$112,56,FALSE)</f>
        <v>#N/A</v>
      </c>
      <c r="G97" s="129"/>
      <c r="H97" s="143" t="e">
        <f>VLOOKUP($A24,'Template IF 2'!$B$3:$HH$112,57,FALSE)</f>
        <v>#N/A</v>
      </c>
      <c r="I97" s="143" t="e">
        <f>VLOOKUP($A24,'Template IF 2'!$B$3:$HH$112,58,FALSE)</f>
        <v>#N/A</v>
      </c>
      <c r="J97" s="129" t="e">
        <f>VLOOKUP($A24,'Template IF 2'!$B$3:$HH$112,59,FALSE)</f>
        <v>#N/A</v>
      </c>
      <c r="K97" s="129" t="e">
        <f>VLOOKUP($A24,'Template IF 2'!$B$3:$HH$112,60,FALSE)</f>
        <v>#N/A</v>
      </c>
      <c r="L97" s="129" t="e">
        <f>VLOOKUP($A24,'Template IF 2'!$B$3:$HH$112,61,FALSE)</f>
        <v>#N/A</v>
      </c>
    </row>
    <row r="98" spans="1:27" ht="15.75" customHeight="1" x14ac:dyDescent="0.2">
      <c r="A98" s="118" t="str">
        <f>A26</f>
        <v>None</v>
      </c>
      <c r="B98" s="145" t="e">
        <f>VLOOKUP($A26,'Template IF 2'!$B$3:$HH$112,52,FALSE)</f>
        <v>#N/A</v>
      </c>
      <c r="C98" s="145" t="e">
        <f>VLOOKUP($A26,'Template IF 2'!$B$3:$HH$112,53,FALSE)</f>
        <v>#N/A</v>
      </c>
      <c r="D98" s="145" t="e">
        <f>VLOOKUP($A26,'Template IF 2'!$B$3:$HH$112,54,FALSE)</f>
        <v>#N/A</v>
      </c>
      <c r="E98" s="145" t="e">
        <f>VLOOKUP($A26,'Template IF 2'!$B$3:$HH$112,55,FALSE)</f>
        <v>#N/A</v>
      </c>
      <c r="F98" s="145" t="e">
        <f>VLOOKUP($A26,'Template IF 2'!$B$3:$HH$112,56,FALSE)</f>
        <v>#N/A</v>
      </c>
      <c r="G98" s="129"/>
      <c r="H98" s="145" t="e">
        <f>VLOOKUP($A26,'Template IF 2'!$B$3:$HH$112,57,FALSE)</f>
        <v>#N/A</v>
      </c>
      <c r="I98" s="145" t="e">
        <f>VLOOKUP($A26,'Template IF 2'!$B$3:$HH$112,58,FALSE)</f>
        <v>#N/A</v>
      </c>
      <c r="J98" s="130" t="e">
        <f>VLOOKUP($A26,'Template IF 2'!$B$3:$HH$112,59,FALSE)</f>
        <v>#N/A</v>
      </c>
      <c r="K98" s="130" t="e">
        <f>VLOOKUP($A26,'Template IF 2'!$B$3:$HH$112,60,FALSE)</f>
        <v>#N/A</v>
      </c>
      <c r="L98" s="130" t="e">
        <f>VLOOKUP($A26,'Template IF 2'!$B$3:$HH$112,61,FALSE)</f>
        <v>#N/A</v>
      </c>
    </row>
    <row r="99" spans="1:27" ht="13.5" customHeight="1" x14ac:dyDescent="0.2">
      <c r="A99" s="117"/>
      <c r="B99" s="119"/>
      <c r="C99" s="119"/>
      <c r="D99" s="119"/>
      <c r="E99" s="119"/>
      <c r="F99" s="119"/>
      <c r="G99" s="119"/>
      <c r="H99" s="119"/>
      <c r="I99" s="119"/>
      <c r="J99" s="119"/>
      <c r="K99" s="119"/>
      <c r="L99" s="119"/>
    </row>
    <row r="100" spans="1:27" ht="14.25" x14ac:dyDescent="0.2">
      <c r="A100" s="189" t="s">
        <v>496</v>
      </c>
      <c r="B100" s="189"/>
      <c r="C100" s="189"/>
      <c r="D100" s="189"/>
      <c r="E100" s="189"/>
      <c r="F100" s="189"/>
      <c r="G100" s="189"/>
      <c r="H100" s="189"/>
      <c r="I100" s="189"/>
      <c r="J100" s="189"/>
      <c r="K100" s="189"/>
      <c r="L100" s="189"/>
    </row>
    <row r="101" spans="1:27" ht="8.25" customHeight="1" x14ac:dyDescent="0.2">
      <c r="A101" s="117"/>
      <c r="B101" s="119"/>
      <c r="C101" s="119"/>
      <c r="D101" s="119"/>
      <c r="E101" s="119"/>
      <c r="F101" s="119"/>
      <c r="G101" s="119"/>
      <c r="H101" s="119"/>
      <c r="I101" s="119"/>
      <c r="J101" s="119"/>
      <c r="K101" s="119"/>
      <c r="L101" s="119"/>
      <c r="S101"/>
      <c r="T101"/>
      <c r="U101"/>
      <c r="V101"/>
      <c r="W101"/>
      <c r="X101"/>
      <c r="Y101"/>
      <c r="Z101"/>
      <c r="AA101"/>
    </row>
    <row r="102" spans="1:27" x14ac:dyDescent="0.2">
      <c r="A102" s="117"/>
      <c r="B102" s="119"/>
      <c r="C102" s="119"/>
      <c r="D102" s="119"/>
      <c r="E102" s="119"/>
      <c r="F102" s="119"/>
      <c r="G102" s="119"/>
      <c r="H102" s="185" t="s">
        <v>164</v>
      </c>
      <c r="I102" s="186"/>
      <c r="J102" s="186"/>
      <c r="K102" s="186"/>
      <c r="L102" s="119"/>
      <c r="S102"/>
      <c r="T102"/>
      <c r="U102"/>
      <c r="V102"/>
      <c r="W102"/>
      <c r="X102"/>
      <c r="Y102"/>
      <c r="Z102"/>
      <c r="AA102"/>
    </row>
    <row r="103" spans="1:27" x14ac:dyDescent="0.2">
      <c r="A103" s="131"/>
      <c r="B103" s="187" t="s">
        <v>165</v>
      </c>
      <c r="C103" s="187"/>
      <c r="D103" s="187"/>
      <c r="E103" s="187"/>
      <c r="F103" s="119"/>
      <c r="G103" s="119"/>
      <c r="H103" s="187"/>
      <c r="I103" s="187"/>
      <c r="J103" s="187"/>
      <c r="K103" s="187"/>
      <c r="L103" s="119"/>
      <c r="S103"/>
      <c r="T103"/>
      <c r="U103"/>
      <c r="V103"/>
      <c r="W103"/>
      <c r="X103"/>
      <c r="Y103"/>
      <c r="Z103"/>
      <c r="AA103"/>
    </row>
    <row r="104" spans="1:27" x14ac:dyDescent="0.2">
      <c r="A104" s="118"/>
      <c r="B104" s="120" t="s">
        <v>157</v>
      </c>
      <c r="C104" s="120" t="s">
        <v>159</v>
      </c>
      <c r="D104" s="152" t="s">
        <v>160</v>
      </c>
      <c r="E104" s="152" t="s">
        <v>453</v>
      </c>
      <c r="F104" s="120"/>
      <c r="G104" s="120"/>
      <c r="H104" s="120" t="s">
        <v>157</v>
      </c>
      <c r="I104" s="120" t="s">
        <v>159</v>
      </c>
      <c r="J104" s="152" t="s">
        <v>160</v>
      </c>
      <c r="K104" s="152" t="s">
        <v>453</v>
      </c>
      <c r="L104" s="119"/>
      <c r="S104"/>
      <c r="T104"/>
      <c r="U104"/>
      <c r="V104"/>
      <c r="W104"/>
      <c r="X104"/>
      <c r="Y104"/>
      <c r="Z104"/>
      <c r="AA104"/>
    </row>
    <row r="105" spans="1:27" ht="15.75" customHeight="1" x14ac:dyDescent="0.2">
      <c r="A105" s="131" t="s">
        <v>29</v>
      </c>
      <c r="B105" s="134">
        <f>'Template IF 2'!BK3</f>
        <v>835934</v>
      </c>
      <c r="C105" s="134">
        <f>'Template IF 2'!BL3</f>
        <v>836630</v>
      </c>
      <c r="D105" s="134">
        <f>'Template IF 2'!BM3</f>
        <v>837640</v>
      </c>
      <c r="E105" s="134">
        <f>'Template IF 2'!BN3</f>
        <v>839426</v>
      </c>
      <c r="F105" s="146"/>
      <c r="G105" s="127"/>
      <c r="H105" s="132">
        <f>'Template IF 2'!BO3</f>
        <v>32.727823009950548</v>
      </c>
      <c r="I105" s="132">
        <f>'Template IF 2'!BP3</f>
        <v>35.487132902238741</v>
      </c>
      <c r="J105" s="132">
        <f>'Template IF 2'!BQ3</f>
        <v>36.566305334033714</v>
      </c>
      <c r="K105" s="132">
        <f>'Template IF 2'!BR3</f>
        <v>37.152887806667891</v>
      </c>
      <c r="L105" s="119"/>
      <c r="S105"/>
      <c r="T105"/>
      <c r="U105"/>
      <c r="V105"/>
      <c r="W105"/>
      <c r="X105"/>
      <c r="Y105"/>
      <c r="Z105"/>
      <c r="AA105"/>
    </row>
    <row r="106" spans="1:27" ht="15.75" customHeight="1" x14ac:dyDescent="0.2">
      <c r="A106" s="131" t="str">
        <f>A16</f>
        <v>None</v>
      </c>
      <c r="B106" s="134" t="e">
        <f>VLOOKUP($A16,'Template IF 2'!$B$3:$HH$112,62,FALSE)</f>
        <v>#N/A</v>
      </c>
      <c r="C106" s="134" t="e">
        <f>VLOOKUP($A16,'Template IF 2'!$B$3:$HH$112,63,FALSE)</f>
        <v>#N/A</v>
      </c>
      <c r="D106" s="134" t="e">
        <f>VLOOKUP($A16,'Template IF 2'!$B$3:$HH$112,64,FALSE)</f>
        <v>#N/A</v>
      </c>
      <c r="E106" s="134" t="e">
        <f>VLOOKUP($A16,'Template IF 2'!$B$3:$HH$112,65,FALSE)</f>
        <v>#N/A</v>
      </c>
      <c r="F106" s="146"/>
      <c r="G106" s="127"/>
      <c r="H106" s="147" t="e">
        <f>VLOOKUP($A16,'Template IF 2'!$B$3:$HH$112,66,FALSE)</f>
        <v>#N/A</v>
      </c>
      <c r="I106" s="147" t="e">
        <f>VLOOKUP($A16,'Template IF 2'!$B$3:$HH$112,67,FALSE)</f>
        <v>#N/A</v>
      </c>
      <c r="J106" s="147" t="e">
        <f>VLOOKUP($A16,'Template IF 2'!$B$3:$HH$112,68,FALSE)</f>
        <v>#N/A</v>
      </c>
      <c r="K106" s="148" t="e">
        <f>VLOOKUP($A16,'Template IF 2'!$B$3:$HH$112,69,FALSE)</f>
        <v>#N/A</v>
      </c>
      <c r="L106" s="119"/>
      <c r="S106"/>
      <c r="T106"/>
      <c r="U106"/>
      <c r="V106"/>
      <c r="W106"/>
      <c r="X106"/>
      <c r="Y106"/>
      <c r="Z106"/>
      <c r="AA106"/>
    </row>
    <row r="107" spans="1:27" ht="15.75" customHeight="1" x14ac:dyDescent="0.2">
      <c r="A107" s="131" t="str">
        <f>A18</f>
        <v>None</v>
      </c>
      <c r="B107" s="134" t="e">
        <f>VLOOKUP($A18,'Template IF 2'!$B$3:$HH$112,62,FALSE)</f>
        <v>#N/A</v>
      </c>
      <c r="C107" s="134" t="e">
        <f>VLOOKUP($A18,'Template IF 2'!$B$3:$HH$112,63,FALSE)</f>
        <v>#N/A</v>
      </c>
      <c r="D107" s="134" t="e">
        <f>VLOOKUP($A18,'Template IF 2'!$B$3:$HH$112,64,FALSE)</f>
        <v>#N/A</v>
      </c>
      <c r="E107" s="134" t="e">
        <f>VLOOKUP($A18,'Template IF 2'!$B$3:$HH$112,65,FALSE)</f>
        <v>#N/A</v>
      </c>
      <c r="F107" s="146"/>
      <c r="G107" s="127"/>
      <c r="H107" s="147" t="e">
        <f>VLOOKUP($A18,'Template IF 2'!$B$3:$HH$112,66,FALSE)</f>
        <v>#N/A</v>
      </c>
      <c r="I107" s="147" t="e">
        <f>VLOOKUP($A18,'Template IF 2'!$B$3:$HH$112,67,FALSE)</f>
        <v>#N/A</v>
      </c>
      <c r="J107" s="147" t="e">
        <f>VLOOKUP($A18,'Template IF 2'!$B$3:$HH$112,68,FALSE)</f>
        <v>#N/A</v>
      </c>
      <c r="K107" s="148" t="e">
        <f>VLOOKUP($A18,'Template IF 2'!$B$3:$HH$112,69,FALSE)</f>
        <v>#N/A</v>
      </c>
      <c r="L107" s="119"/>
      <c r="S107"/>
      <c r="T107"/>
      <c r="U107"/>
      <c r="V107"/>
      <c r="W107"/>
      <c r="X107"/>
      <c r="Y107"/>
      <c r="Z107"/>
      <c r="AA107"/>
    </row>
    <row r="108" spans="1:27" ht="15.75" customHeight="1" x14ac:dyDescent="0.2">
      <c r="A108" s="131" t="str">
        <f>A20</f>
        <v>None</v>
      </c>
      <c r="B108" s="134" t="e">
        <f>VLOOKUP($A20,'Template IF 2'!$B$3:$HH$112,62,FALSE)</f>
        <v>#N/A</v>
      </c>
      <c r="C108" s="134" t="e">
        <f>VLOOKUP($A20,'Template IF 2'!$B$3:$HH$112,63,FALSE)</f>
        <v>#N/A</v>
      </c>
      <c r="D108" s="134" t="e">
        <f>VLOOKUP($A20,'Template IF 2'!$B$3:$HH$112,64,FALSE)</f>
        <v>#N/A</v>
      </c>
      <c r="E108" s="134" t="e">
        <f>VLOOKUP($A20,'Template IF 2'!$B$3:$HH$112,65,FALSE)</f>
        <v>#N/A</v>
      </c>
      <c r="F108" s="146"/>
      <c r="G108" s="127"/>
      <c r="H108" s="147" t="e">
        <f>VLOOKUP($A20,'Template IF 2'!$B$3:$HH$112,66,FALSE)</f>
        <v>#N/A</v>
      </c>
      <c r="I108" s="147" t="e">
        <f>VLOOKUP($A20,'Template IF 2'!$B$3:$HH$112,67,FALSE)</f>
        <v>#N/A</v>
      </c>
      <c r="J108" s="147" t="e">
        <f>VLOOKUP($A20,'Template IF 2'!$B$3:$HH$112,68,FALSE)</f>
        <v>#N/A</v>
      </c>
      <c r="K108" s="148" t="e">
        <f>VLOOKUP($A20,'Template IF 2'!$B$3:$HH$112,69,FALSE)</f>
        <v>#N/A</v>
      </c>
      <c r="L108" s="119"/>
      <c r="S108"/>
      <c r="T108"/>
      <c r="U108"/>
      <c r="V108"/>
      <c r="W108"/>
      <c r="X108"/>
      <c r="Y108"/>
      <c r="Z108"/>
      <c r="AA108"/>
    </row>
    <row r="109" spans="1:27" ht="15.75" customHeight="1" x14ac:dyDescent="0.2">
      <c r="A109" s="131" t="str">
        <f>A22</f>
        <v>None</v>
      </c>
      <c r="B109" s="134" t="e">
        <f>VLOOKUP($A22,'Template IF 2'!$B$3:$HH$112,62,FALSE)</f>
        <v>#N/A</v>
      </c>
      <c r="C109" s="134" t="e">
        <f>VLOOKUP($A22,'Template IF 2'!$B$3:$HH$112,63,FALSE)</f>
        <v>#N/A</v>
      </c>
      <c r="D109" s="134" t="e">
        <f>VLOOKUP($A22,'Template IF 2'!$B$3:$HH$112,64,FALSE)</f>
        <v>#N/A</v>
      </c>
      <c r="E109" s="134" t="e">
        <f>VLOOKUP($A22,'Template IF 2'!$B$3:$HH$112,65,FALSE)</f>
        <v>#N/A</v>
      </c>
      <c r="F109" s="146"/>
      <c r="G109" s="127"/>
      <c r="H109" s="147" t="e">
        <f>VLOOKUP($A22,'Template IF 2'!$B$3:$HH$112,66,FALSE)</f>
        <v>#N/A</v>
      </c>
      <c r="I109" s="147" t="e">
        <f>VLOOKUP($A22,'Template IF 2'!$B$3:$HH$112,67,FALSE)</f>
        <v>#N/A</v>
      </c>
      <c r="J109" s="147" t="e">
        <f>VLOOKUP($A22,'Template IF 2'!$B$3:$HH$112,68,FALSE)</f>
        <v>#N/A</v>
      </c>
      <c r="K109" s="148" t="e">
        <f>VLOOKUP($A22,'Template IF 2'!$B$3:$HH$112,69,FALSE)</f>
        <v>#N/A</v>
      </c>
      <c r="L109" s="119"/>
      <c r="S109"/>
      <c r="T109"/>
      <c r="U109"/>
      <c r="V109"/>
      <c r="W109"/>
      <c r="X109"/>
      <c r="Y109"/>
      <c r="Z109"/>
      <c r="AA109"/>
    </row>
    <row r="110" spans="1:27" ht="15.75" customHeight="1" x14ac:dyDescent="0.2">
      <c r="A110" s="131" t="str">
        <f>A24</f>
        <v>None</v>
      </c>
      <c r="B110" s="134" t="e">
        <f>VLOOKUP($A24,'Template IF 2'!$B$3:$HH$112,62,FALSE)</f>
        <v>#N/A</v>
      </c>
      <c r="C110" s="134" t="e">
        <f>VLOOKUP($A24,'Template IF 2'!$B$3:$HH$112,63,FALSE)</f>
        <v>#N/A</v>
      </c>
      <c r="D110" s="134" t="e">
        <f>VLOOKUP($A24,'Template IF 2'!$B$3:$HH$112,64,FALSE)</f>
        <v>#N/A</v>
      </c>
      <c r="E110" s="134" t="e">
        <f>VLOOKUP($A24,'Template IF 2'!$B$3:$HH$112,65,FALSE)</f>
        <v>#N/A</v>
      </c>
      <c r="F110" s="146"/>
      <c r="G110" s="127"/>
      <c r="H110" s="147" t="e">
        <f>VLOOKUP($A24,'Template IF 2'!$B$3:$HH$112,66,FALSE)</f>
        <v>#N/A</v>
      </c>
      <c r="I110" s="147" t="e">
        <f>VLOOKUP($A24,'Template IF 2'!$B$3:$HH$112,67,FALSE)</f>
        <v>#N/A</v>
      </c>
      <c r="J110" s="147" t="e">
        <f>VLOOKUP($A24,'Template IF 2'!$B$3:$HH$112,68,FALSE)</f>
        <v>#N/A</v>
      </c>
      <c r="K110" s="148" t="e">
        <f>VLOOKUP($A24,'Template IF 2'!$B$3:$HH$112,69,FALSE)</f>
        <v>#N/A</v>
      </c>
      <c r="L110" s="119"/>
      <c r="S110"/>
      <c r="T110"/>
      <c r="U110"/>
      <c r="V110"/>
      <c r="W110"/>
      <c r="X110"/>
      <c r="Y110"/>
      <c r="Z110"/>
      <c r="AA110"/>
    </row>
    <row r="111" spans="1:27" ht="15.75" customHeight="1" x14ac:dyDescent="0.2">
      <c r="A111" s="118" t="str">
        <f>A26</f>
        <v>None</v>
      </c>
      <c r="B111" s="149" t="e">
        <f>VLOOKUP($A26,'Template IF 2'!$B$3:$HH$112,62,FALSE)</f>
        <v>#N/A</v>
      </c>
      <c r="C111" s="149" t="e">
        <f>VLOOKUP($A26,'Template IF 2'!$B$3:$HH$112,63,FALSE)</f>
        <v>#N/A</v>
      </c>
      <c r="D111" s="149" t="e">
        <f>VLOOKUP($A26,'Template IF 2'!$B$3:$HH$112,64,FALSE)</f>
        <v>#N/A</v>
      </c>
      <c r="E111" s="149" t="e">
        <f>VLOOKUP($A26,'Template IF 2'!$B$3:$HH$112,65,FALSE)</f>
        <v>#N/A</v>
      </c>
      <c r="F111" s="146"/>
      <c r="G111" s="127"/>
      <c r="H111" s="130" t="e">
        <f>VLOOKUP($A26,'Template IF 2'!$B$3:$HH$112,66,FALSE)</f>
        <v>#N/A</v>
      </c>
      <c r="I111" s="130" t="e">
        <f>VLOOKUP($A26,'Template IF 2'!$B$3:$HH$112,67,FALSE)</f>
        <v>#N/A</v>
      </c>
      <c r="J111" s="130" t="e">
        <f>VLOOKUP($A26,'Template IF 2'!$B$3:$HH$112,68,FALSE)</f>
        <v>#N/A</v>
      </c>
      <c r="K111" s="150" t="e">
        <f>VLOOKUP($A26,'Template IF 2'!$B$3:$HH$112,69,FALSE)</f>
        <v>#N/A</v>
      </c>
      <c r="L111" s="119"/>
      <c r="S111"/>
      <c r="T111"/>
      <c r="U111"/>
      <c r="V111"/>
      <c r="W111"/>
      <c r="X111"/>
      <c r="Y111"/>
      <c r="Z111"/>
      <c r="AA111"/>
    </row>
    <row r="112" spans="1:27" ht="3.75" customHeight="1" x14ac:dyDescent="0.2">
      <c r="A112" s="117"/>
      <c r="B112" s="123"/>
      <c r="C112" s="123"/>
      <c r="D112" s="123"/>
      <c r="E112" s="123"/>
      <c r="F112" s="119"/>
      <c r="G112" s="119"/>
      <c r="H112" s="119"/>
      <c r="I112" s="119"/>
      <c r="J112" s="119"/>
      <c r="K112" s="119"/>
      <c r="L112" s="119"/>
      <c r="S112"/>
      <c r="T112"/>
      <c r="U112"/>
      <c r="V112"/>
      <c r="W112"/>
      <c r="X112"/>
      <c r="Y112"/>
      <c r="Z112"/>
      <c r="AA112"/>
    </row>
    <row r="113" spans="1:27" ht="15.75" customHeight="1" x14ac:dyDescent="0.2">
      <c r="A113" s="117"/>
      <c r="B113" s="185" t="s">
        <v>166</v>
      </c>
      <c r="C113" s="186"/>
      <c r="D113" s="186"/>
      <c r="E113" s="186"/>
      <c r="F113" s="119"/>
      <c r="G113" s="119"/>
      <c r="H113" s="185" t="s">
        <v>167</v>
      </c>
      <c r="I113" s="186"/>
      <c r="J113" s="186"/>
      <c r="K113" s="186"/>
      <c r="L113" s="119"/>
      <c r="S113"/>
      <c r="T113"/>
      <c r="U113"/>
      <c r="V113"/>
      <c r="W113"/>
      <c r="X113"/>
      <c r="Y113"/>
      <c r="Z113"/>
      <c r="AA113"/>
    </row>
    <row r="114" spans="1:27" ht="15.75" customHeight="1" x14ac:dyDescent="0.2">
      <c r="A114" s="131"/>
      <c r="B114" s="187"/>
      <c r="C114" s="187"/>
      <c r="D114" s="187"/>
      <c r="E114" s="187"/>
      <c r="F114" s="119"/>
      <c r="G114" s="119"/>
      <c r="H114" s="187"/>
      <c r="I114" s="187"/>
      <c r="J114" s="187"/>
      <c r="K114" s="187"/>
      <c r="L114" s="119"/>
      <c r="S114"/>
      <c r="T114"/>
      <c r="U114"/>
      <c r="V114"/>
      <c r="W114"/>
      <c r="X114"/>
      <c r="Y114"/>
      <c r="Z114"/>
      <c r="AA114"/>
    </row>
    <row r="115" spans="1:27" ht="16.5" customHeight="1" x14ac:dyDescent="0.2">
      <c r="A115" s="118"/>
      <c r="B115" s="120" t="s">
        <v>157</v>
      </c>
      <c r="C115" s="120" t="s">
        <v>159</v>
      </c>
      <c r="D115" s="152" t="s">
        <v>160</v>
      </c>
      <c r="E115" s="152" t="s">
        <v>453</v>
      </c>
      <c r="F115" s="120"/>
      <c r="G115" s="120"/>
      <c r="H115" s="120" t="s">
        <v>157</v>
      </c>
      <c r="I115" s="120" t="s">
        <v>159</v>
      </c>
      <c r="J115" s="152" t="s">
        <v>160</v>
      </c>
      <c r="K115" s="152" t="s">
        <v>453</v>
      </c>
      <c r="L115" s="119"/>
      <c r="S115"/>
      <c r="T115"/>
      <c r="U115"/>
      <c r="V115"/>
      <c r="W115"/>
      <c r="X115"/>
      <c r="Y115"/>
      <c r="Z115"/>
      <c r="AA115"/>
    </row>
    <row r="116" spans="1:27" ht="15.75" customHeight="1" x14ac:dyDescent="0.2">
      <c r="A116" s="131" t="s">
        <v>29</v>
      </c>
      <c r="B116" s="132">
        <f>'Template IF 2'!BS3</f>
        <v>7.6293104479540252</v>
      </c>
      <c r="C116" s="132">
        <f>'Template IF 2'!BT3</f>
        <v>7.5757503316878427</v>
      </c>
      <c r="D116" s="132">
        <f>'Template IF 2'!BU3</f>
        <v>7.6561530012893364</v>
      </c>
      <c r="E116" s="132">
        <f>'Template IF 2'!BV3</f>
        <v>7.6984749102362802</v>
      </c>
      <c r="F116" s="127"/>
      <c r="G116" s="127"/>
      <c r="H116" s="132">
        <f>'Template IF 2'!BW3</f>
        <v>14.437503439266736</v>
      </c>
      <c r="I116" s="132">
        <f>'Template IF 2'!BX3</f>
        <v>14.608488818235061</v>
      </c>
      <c r="J116" s="132">
        <f>'Template IF 2'!BY3</f>
        <v>14.839071677570317</v>
      </c>
      <c r="K116" s="132">
        <f>'Template IF 2'!BZ3</f>
        <v>14.906853016227755</v>
      </c>
      <c r="L116" s="119"/>
      <c r="S116"/>
      <c r="T116"/>
      <c r="U116"/>
      <c r="V116"/>
      <c r="W116"/>
      <c r="X116"/>
      <c r="Y116"/>
      <c r="Z116"/>
      <c r="AA116"/>
    </row>
    <row r="117" spans="1:27" ht="15.75" customHeight="1" x14ac:dyDescent="0.2">
      <c r="A117" s="131" t="str">
        <f>A16</f>
        <v>None</v>
      </c>
      <c r="B117" s="148" t="e">
        <f>VLOOKUP($A16,'Template IF 2'!$B$3:$HH$112,70,FALSE)</f>
        <v>#N/A</v>
      </c>
      <c r="C117" s="148" t="e">
        <f>VLOOKUP($A16,'Template IF 2'!$B$3:$HH$112,71,FALSE)</f>
        <v>#N/A</v>
      </c>
      <c r="D117" s="148" t="e">
        <f>VLOOKUP($A16,'Template IF 2'!$B$3:$HH$112,72,FALSE)</f>
        <v>#N/A</v>
      </c>
      <c r="E117" s="151" t="e">
        <f>VLOOKUP($A16,'Template IF 2'!$B$3:$HH$112,73,FALSE)</f>
        <v>#N/A</v>
      </c>
      <c r="F117" s="127"/>
      <c r="G117" s="127"/>
      <c r="H117" s="129" t="e">
        <f>VLOOKUP($A16,'Template IF 2'!$B$3:$HH$112,74,FALSE)</f>
        <v>#N/A</v>
      </c>
      <c r="I117" s="129" t="e">
        <f>VLOOKUP($A16,'Template IF 2'!$B$3:$HH$112,75,FALSE)</f>
        <v>#N/A</v>
      </c>
      <c r="J117" s="129" t="e">
        <f>VLOOKUP($A16,'Template IF 2'!$B$3:$HH$112,76,FALSE)</f>
        <v>#N/A</v>
      </c>
      <c r="K117" s="129" t="e">
        <f>VLOOKUP($A16,'Template IF 2'!$B$3:$HH$112,77,FALSE)</f>
        <v>#N/A</v>
      </c>
      <c r="L117" s="119"/>
      <c r="M117" s="24"/>
      <c r="S117"/>
      <c r="T117"/>
      <c r="U117"/>
      <c r="V117"/>
      <c r="W117"/>
      <c r="X117"/>
      <c r="Y117"/>
      <c r="Z117"/>
      <c r="AA117"/>
    </row>
    <row r="118" spans="1:27" ht="15.75" customHeight="1" x14ac:dyDescent="0.2">
      <c r="A118" s="131" t="str">
        <f>A18</f>
        <v>None</v>
      </c>
      <c r="B118" s="148" t="e">
        <f>VLOOKUP($A18,'Template IF 2'!$B$3:$HH$112,70,FALSE)</f>
        <v>#N/A</v>
      </c>
      <c r="C118" s="148" t="e">
        <f>VLOOKUP($A18,'Template IF 2'!$B$3:$HH$112,71,FALSE)</f>
        <v>#N/A</v>
      </c>
      <c r="D118" s="148" t="e">
        <f>VLOOKUP($A18,'Template IF 2'!$B$3:$HH$112,72,FALSE)</f>
        <v>#N/A</v>
      </c>
      <c r="E118" s="151" t="e">
        <f>VLOOKUP($A18,'Template IF 2'!$B$3:$HH$112,73,FALSE)</f>
        <v>#N/A</v>
      </c>
      <c r="F118" s="127"/>
      <c r="G118" s="127"/>
      <c r="H118" s="129" t="e">
        <f>VLOOKUP($A18,'Template IF 2'!$B$3:$HH$112,74,FALSE)</f>
        <v>#N/A</v>
      </c>
      <c r="I118" s="129" t="e">
        <f>VLOOKUP($A18,'Template IF 2'!$B$3:$HH$112,75,FALSE)</f>
        <v>#N/A</v>
      </c>
      <c r="J118" s="129" t="e">
        <f>VLOOKUP($A18,'Template IF 2'!$B$3:$HH$112,76,FALSE)</f>
        <v>#N/A</v>
      </c>
      <c r="K118" s="129" t="e">
        <f>VLOOKUP($A18,'Template IF 2'!$B$3:$HH$112,77,FALSE)</f>
        <v>#N/A</v>
      </c>
      <c r="L118" s="119"/>
      <c r="M118" s="24"/>
      <c r="S118"/>
      <c r="T118"/>
      <c r="U118"/>
      <c r="V118"/>
      <c r="W118"/>
      <c r="X118"/>
      <c r="Y118"/>
      <c r="Z118"/>
      <c r="AA118"/>
    </row>
    <row r="119" spans="1:27" ht="15.75" customHeight="1" x14ac:dyDescent="0.2">
      <c r="A119" s="131" t="str">
        <f>A20</f>
        <v>None</v>
      </c>
      <c r="B119" s="148" t="e">
        <f>VLOOKUP($A20,'Template IF 2'!$B$3:$HH$112,70,FALSE)</f>
        <v>#N/A</v>
      </c>
      <c r="C119" s="148" t="e">
        <f>VLOOKUP($A20,'Template IF 2'!$B$3:$HH$112,71,FALSE)</f>
        <v>#N/A</v>
      </c>
      <c r="D119" s="148" t="e">
        <f>VLOOKUP($A20,'Template IF 2'!$B$3:$HH$112,72,FALSE)</f>
        <v>#N/A</v>
      </c>
      <c r="E119" s="151" t="e">
        <f>VLOOKUP($A20,'Template IF 2'!$B$3:$HH$112,73,FALSE)</f>
        <v>#N/A</v>
      </c>
      <c r="F119" s="127"/>
      <c r="G119" s="127"/>
      <c r="H119" s="129" t="e">
        <f>VLOOKUP($A20,'Template IF 2'!$B$3:$HH$112,74,FALSE)</f>
        <v>#N/A</v>
      </c>
      <c r="I119" s="129" t="e">
        <f>VLOOKUP($A20,'Template IF 2'!$B$3:$HH$112,75,FALSE)</f>
        <v>#N/A</v>
      </c>
      <c r="J119" s="129" t="e">
        <f>VLOOKUP($A20,'Template IF 2'!$B$3:$HH$112,76,FALSE)</f>
        <v>#N/A</v>
      </c>
      <c r="K119" s="129" t="e">
        <f>VLOOKUP($A20,'Template IF 2'!$B$3:$HH$112,77,FALSE)</f>
        <v>#N/A</v>
      </c>
      <c r="L119" s="119"/>
      <c r="S119"/>
      <c r="T119"/>
      <c r="U119"/>
      <c r="V119"/>
      <c r="W119"/>
      <c r="X119"/>
      <c r="Y119"/>
      <c r="Z119"/>
      <c r="AA119"/>
    </row>
    <row r="120" spans="1:27" ht="15.75" customHeight="1" x14ac:dyDescent="0.2">
      <c r="A120" s="131" t="str">
        <f>A22</f>
        <v>None</v>
      </c>
      <c r="B120" s="148" t="e">
        <f>VLOOKUP($A22,'Template IF 2'!$B$3:$HH$112,70,FALSE)</f>
        <v>#N/A</v>
      </c>
      <c r="C120" s="148" t="e">
        <f>VLOOKUP($A22,'Template IF 2'!$B$3:$HH$112,71,FALSE)</f>
        <v>#N/A</v>
      </c>
      <c r="D120" s="148" t="e">
        <f>VLOOKUP($A22,'Template IF 2'!$B$3:$HH$112,72,FALSE)</f>
        <v>#N/A</v>
      </c>
      <c r="E120" s="151" t="e">
        <f>VLOOKUP($A22,'Template IF 2'!$B$3:$HH$112,73,FALSE)</f>
        <v>#N/A</v>
      </c>
      <c r="F120" s="127"/>
      <c r="G120" s="127"/>
      <c r="H120" s="129" t="e">
        <f>VLOOKUP($A22,'Template IF 2'!$B$3:$HH$112,74,FALSE)</f>
        <v>#N/A</v>
      </c>
      <c r="I120" s="129" t="e">
        <f>VLOOKUP($A22,'Template IF 2'!$B$3:$HH$112,75,FALSE)</f>
        <v>#N/A</v>
      </c>
      <c r="J120" s="129" t="e">
        <f>VLOOKUP($A22,'Template IF 2'!$B$3:$HH$112,76,FALSE)</f>
        <v>#N/A</v>
      </c>
      <c r="K120" s="129" t="e">
        <f>VLOOKUP($A22,'Template IF 2'!$B$3:$HH$112,77,FALSE)</f>
        <v>#N/A</v>
      </c>
      <c r="L120" s="119"/>
      <c r="S120"/>
      <c r="T120"/>
      <c r="U120"/>
      <c r="V120"/>
      <c r="W120"/>
      <c r="X120"/>
      <c r="Y120"/>
      <c r="Z120"/>
      <c r="AA120"/>
    </row>
    <row r="121" spans="1:27" ht="15.75" customHeight="1" x14ac:dyDescent="0.2">
      <c r="A121" s="131" t="str">
        <f>A24</f>
        <v>None</v>
      </c>
      <c r="B121" s="148" t="e">
        <f>VLOOKUP($A24,'Template IF 2'!$B$3:$HH$112,70,FALSE)</f>
        <v>#N/A</v>
      </c>
      <c r="C121" s="148" t="e">
        <f>VLOOKUP($A24,'Template IF 2'!$B$3:$HH$112,71,FALSE)</f>
        <v>#N/A</v>
      </c>
      <c r="D121" s="148" t="e">
        <f>VLOOKUP($A24,'Template IF 2'!$B$3:$HH$112,72,FALSE)</f>
        <v>#N/A</v>
      </c>
      <c r="E121" s="151" t="e">
        <f>VLOOKUP($A24,'Template IF 2'!$B$3:$HH$112,73,FALSE)</f>
        <v>#N/A</v>
      </c>
      <c r="F121" s="127"/>
      <c r="G121" s="127"/>
      <c r="H121" s="129" t="e">
        <f>VLOOKUP($A24,'Template IF 2'!$B$3:$HH$112,74,FALSE)</f>
        <v>#N/A</v>
      </c>
      <c r="I121" s="129" t="e">
        <f>VLOOKUP($A24,'Template IF 2'!$B$3:$HH$112,75,FALSE)</f>
        <v>#N/A</v>
      </c>
      <c r="J121" s="129" t="e">
        <f>VLOOKUP($A24,'Template IF 2'!$B$3:$HH$112,76,FALSE)</f>
        <v>#N/A</v>
      </c>
      <c r="K121" s="129" t="e">
        <f>VLOOKUP($A24,'Template IF 2'!$B$3:$HH$112,77,FALSE)</f>
        <v>#N/A</v>
      </c>
      <c r="L121" s="119"/>
      <c r="S121"/>
      <c r="T121"/>
      <c r="U121"/>
      <c r="V121"/>
      <c r="W121"/>
      <c r="X121"/>
      <c r="Y121"/>
      <c r="Z121"/>
      <c r="AA121"/>
    </row>
    <row r="122" spans="1:27" ht="15.75" customHeight="1" x14ac:dyDescent="0.2">
      <c r="A122" s="118" t="str">
        <f>A26</f>
        <v>None</v>
      </c>
      <c r="B122" s="150" t="e">
        <f>VLOOKUP($A26,'Template IF 2'!$B$3:$HH$112,70,FALSE)</f>
        <v>#N/A</v>
      </c>
      <c r="C122" s="150" t="e">
        <f>VLOOKUP($A26,'Template IF 2'!$B$3:$HH$112,71,FALSE)</f>
        <v>#N/A</v>
      </c>
      <c r="D122" s="150" t="e">
        <f>VLOOKUP($A26,'Template IF 2'!$B$3:$HH$112,72,FALSE)</f>
        <v>#N/A</v>
      </c>
      <c r="E122" s="137" t="e">
        <f>VLOOKUP($A26,'Template IF 2'!$B$3:$HH$112,73,FALSE)</f>
        <v>#N/A</v>
      </c>
      <c r="F122" s="127"/>
      <c r="G122" s="127"/>
      <c r="H122" s="130" t="e">
        <f>VLOOKUP($A26,'Template IF 2'!$B$3:$HH$112,74,FALSE)</f>
        <v>#N/A</v>
      </c>
      <c r="I122" s="130" t="e">
        <f>VLOOKUP($A26,'Template IF 2'!$B$3:$HH$112,75,FALSE)</f>
        <v>#N/A</v>
      </c>
      <c r="J122" s="130" t="e">
        <f>VLOOKUP($A26,'Template IF 2'!$B$3:$HH$112,76,FALSE)</f>
        <v>#N/A</v>
      </c>
      <c r="K122" s="130" t="e">
        <f>VLOOKUP($A26,'Template IF 2'!$B$3:$HH$112,77,FALSE)</f>
        <v>#N/A</v>
      </c>
      <c r="L122" s="119"/>
      <c r="S122"/>
      <c r="T122"/>
      <c r="U122"/>
      <c r="V122"/>
      <c r="W122"/>
      <c r="X122"/>
      <c r="Y122"/>
      <c r="Z122"/>
      <c r="AA122"/>
    </row>
    <row r="123" spans="1:27" x14ac:dyDescent="0.2">
      <c r="A123" s="117"/>
      <c r="B123" s="185" t="s">
        <v>191</v>
      </c>
      <c r="C123" s="186"/>
      <c r="D123" s="186"/>
      <c r="E123" s="186"/>
      <c r="F123" s="119"/>
      <c r="G123" s="119"/>
      <c r="H123" s="185" t="s">
        <v>190</v>
      </c>
      <c r="I123" s="186"/>
      <c r="J123" s="186"/>
      <c r="K123" s="186"/>
      <c r="L123" s="119"/>
      <c r="S123"/>
      <c r="T123"/>
      <c r="U123"/>
      <c r="V123"/>
      <c r="W123"/>
      <c r="X123"/>
      <c r="Y123"/>
      <c r="Z123"/>
      <c r="AA123"/>
    </row>
    <row r="124" spans="1:27" x14ac:dyDescent="0.2">
      <c r="A124" s="131"/>
      <c r="B124" s="187"/>
      <c r="C124" s="187"/>
      <c r="D124" s="187"/>
      <c r="E124" s="187"/>
      <c r="F124" s="119"/>
      <c r="G124" s="119"/>
      <c r="H124" s="187"/>
      <c r="I124" s="187"/>
      <c r="J124" s="187"/>
      <c r="K124" s="187"/>
      <c r="L124" s="119"/>
      <c r="S124"/>
      <c r="T124"/>
      <c r="U124"/>
      <c r="V124"/>
      <c r="W124"/>
      <c r="X124"/>
      <c r="Y124"/>
      <c r="Z124"/>
      <c r="AA124"/>
    </row>
    <row r="125" spans="1:27" x14ac:dyDescent="0.2">
      <c r="A125" s="118"/>
      <c r="B125" s="120" t="s">
        <v>157</v>
      </c>
      <c r="C125" s="120" t="s">
        <v>159</v>
      </c>
      <c r="D125" s="152" t="s">
        <v>160</v>
      </c>
      <c r="E125" s="152" t="s">
        <v>453</v>
      </c>
      <c r="F125" s="119"/>
      <c r="G125" s="119"/>
      <c r="H125" s="120" t="s">
        <v>157</v>
      </c>
      <c r="I125" s="120" t="s">
        <v>159</v>
      </c>
      <c r="J125" s="152" t="s">
        <v>160</v>
      </c>
      <c r="K125" s="152" t="s">
        <v>453</v>
      </c>
      <c r="L125" s="119"/>
      <c r="S125"/>
      <c r="T125"/>
      <c r="U125"/>
      <c r="V125"/>
      <c r="W125"/>
      <c r="X125"/>
      <c r="Y125"/>
      <c r="Z125"/>
      <c r="AA125"/>
    </row>
    <row r="126" spans="1:27" ht="15.75" customHeight="1" x14ac:dyDescent="0.2">
      <c r="A126" s="131" t="s">
        <v>29</v>
      </c>
      <c r="B126" s="132">
        <f>'Template IF 2'!CA3</f>
        <v>74.807048791019</v>
      </c>
      <c r="C126" s="132">
        <f>'Template IF 2'!CB3</f>
        <v>75.848097788765273</v>
      </c>
      <c r="D126" s="153">
        <f>'Template IF 2'!CC3</f>
        <v>76.821750059683467</v>
      </c>
      <c r="E126" s="153">
        <f>'Template IF 2'!CD3</f>
        <v>77.55</v>
      </c>
      <c r="F126" s="119"/>
      <c r="G126" s="119"/>
      <c r="H126" s="132">
        <f>'Template IF 2'!CE3</f>
        <v>5.5389140759930919</v>
      </c>
      <c r="I126" s="132">
        <f>'Template IF 2'!CF3</f>
        <v>4.8605960719681365</v>
      </c>
      <c r="J126" s="153">
        <f>'Template IF 2'!CG3</f>
        <v>4.7760816750691628</v>
      </c>
      <c r="K126" s="154">
        <f>'Template IF 2'!CH3</f>
        <v>5.07</v>
      </c>
      <c r="L126" s="119"/>
      <c r="S126"/>
      <c r="T126"/>
      <c r="U126"/>
      <c r="V126"/>
      <c r="W126"/>
      <c r="X126"/>
      <c r="Y126"/>
      <c r="Z126"/>
      <c r="AA126"/>
    </row>
    <row r="127" spans="1:27" ht="15.75" customHeight="1" x14ac:dyDescent="0.2">
      <c r="A127" s="131" t="str">
        <f>A16</f>
        <v>None</v>
      </c>
      <c r="B127" s="129" t="e">
        <f>VLOOKUP($A16,'Template IF 2'!$B$3:$HH$112,78,FALSE)</f>
        <v>#N/A</v>
      </c>
      <c r="C127" s="129" t="e">
        <f>VLOOKUP($A16,'Template IF 2'!$B$3:$HH$112,79,FALSE)</f>
        <v>#N/A</v>
      </c>
      <c r="D127" s="155" t="e">
        <f>VLOOKUP($A16,'Template IF 2'!$B$3:$HH$112,80,FALSE)</f>
        <v>#N/A</v>
      </c>
      <c r="E127" s="155" t="e">
        <f>VLOOKUP($A16,'Template IF 2'!$B$3:$HH$112,81,FALSE)</f>
        <v>#N/A</v>
      </c>
      <c r="F127" s="147"/>
      <c r="G127" s="147"/>
      <c r="H127" s="129" t="e">
        <f>VLOOKUP($A16,'Template IF 2'!$B$3:$HH$112,82,FALSE)</f>
        <v>#N/A</v>
      </c>
      <c r="I127" s="129" t="e">
        <f>VLOOKUP($A16,'Template IF 2'!$B$3:$HH$112,83,FALSE)</f>
        <v>#N/A</v>
      </c>
      <c r="J127" s="155" t="e">
        <f>VLOOKUP($A16,'Template IF 2'!$B$3:$HH$112,84,FALSE)</f>
        <v>#N/A</v>
      </c>
      <c r="K127" s="154" t="e">
        <f>VLOOKUP($A16,'Template IF 2'!$B$3:$HH$112,85,FALSE)</f>
        <v>#N/A</v>
      </c>
      <c r="L127" s="119"/>
      <c r="S127"/>
      <c r="T127"/>
      <c r="U127"/>
      <c r="V127"/>
      <c r="W127"/>
      <c r="X127"/>
      <c r="Y127"/>
      <c r="Z127"/>
      <c r="AA127"/>
    </row>
    <row r="128" spans="1:27" ht="15.75" customHeight="1" x14ac:dyDescent="0.2">
      <c r="A128" s="131" t="str">
        <f>A18</f>
        <v>None</v>
      </c>
      <c r="B128" s="129" t="e">
        <f>VLOOKUP($A18,'Template IF 2'!$B$3:$HH$112,78,FALSE)</f>
        <v>#N/A</v>
      </c>
      <c r="C128" s="129" t="e">
        <f>VLOOKUP($A18,'Template IF 2'!$B$3:$HH$112,79,FALSE)</f>
        <v>#N/A</v>
      </c>
      <c r="D128" s="155" t="e">
        <f>VLOOKUP($A18,'Template IF 2'!$B$3:$HH$112,80,FALSE)</f>
        <v>#N/A</v>
      </c>
      <c r="E128" s="155" t="e">
        <f>VLOOKUP($A18,'Template IF 2'!$B$3:$HH$112,81,FALSE)</f>
        <v>#N/A</v>
      </c>
      <c r="F128" s="119"/>
      <c r="G128" s="119"/>
      <c r="H128" s="129" t="e">
        <f>VLOOKUP($A18,'Template IF 2'!$B$3:$HH$112,82,FALSE)</f>
        <v>#N/A</v>
      </c>
      <c r="I128" s="129" t="e">
        <f>VLOOKUP($A18,'Template IF 2'!$B$3:$HH$112,83,FALSE)</f>
        <v>#N/A</v>
      </c>
      <c r="J128" s="155" t="e">
        <f>VLOOKUP($A18,'Template IF 2'!$B$3:$HH$112,84,FALSE)</f>
        <v>#N/A</v>
      </c>
      <c r="K128" s="154" t="e">
        <f>VLOOKUP($A18,'Template IF 2'!$B$3:$HH$112,85,FALSE)</f>
        <v>#N/A</v>
      </c>
      <c r="L128" s="119"/>
      <c r="S128"/>
      <c r="T128"/>
      <c r="U128"/>
      <c r="V128"/>
      <c r="W128"/>
      <c r="X128"/>
      <c r="Y128"/>
      <c r="Z128"/>
      <c r="AA128"/>
    </row>
    <row r="129" spans="1:27" ht="15.75" customHeight="1" x14ac:dyDescent="0.2">
      <c r="A129" s="131" t="str">
        <f>A20</f>
        <v>None</v>
      </c>
      <c r="B129" s="129" t="e">
        <f>VLOOKUP($A20,'Template IF 2'!$B$3:$HH$112,78,FALSE)</f>
        <v>#N/A</v>
      </c>
      <c r="C129" s="129" t="e">
        <f>VLOOKUP($A20,'Template IF 2'!$B$3:$HH$112,79,FALSE)</f>
        <v>#N/A</v>
      </c>
      <c r="D129" s="155" t="e">
        <f>VLOOKUP($A20,'Template IF 2'!$B$3:$HH$112,80,FALSE)</f>
        <v>#N/A</v>
      </c>
      <c r="E129" s="155" t="e">
        <f>VLOOKUP($A20,'Template IF 2'!$B$3:$HH$112,81,FALSE)</f>
        <v>#N/A</v>
      </c>
      <c r="F129" s="119"/>
      <c r="G129" s="119"/>
      <c r="H129" s="129" t="e">
        <f>VLOOKUP($A20,'Template IF 2'!$B$3:$HH$112,82,FALSE)</f>
        <v>#N/A</v>
      </c>
      <c r="I129" s="129" t="e">
        <f>VLOOKUP($A20,'Template IF 2'!$B$3:$HH$112,83,FALSE)</f>
        <v>#N/A</v>
      </c>
      <c r="J129" s="155" t="e">
        <f>VLOOKUP($A20,'Template IF 2'!$B$3:$HH$112,84,FALSE)</f>
        <v>#N/A</v>
      </c>
      <c r="K129" s="154" t="e">
        <f>VLOOKUP($A20,'Template IF 2'!$B$3:$HH$112,85,FALSE)</f>
        <v>#N/A</v>
      </c>
      <c r="L129" s="119"/>
      <c r="S129"/>
      <c r="T129"/>
      <c r="U129"/>
      <c r="V129"/>
      <c r="W129"/>
      <c r="X129"/>
      <c r="Y129"/>
      <c r="Z129"/>
      <c r="AA129"/>
    </row>
    <row r="130" spans="1:27" ht="15.75" customHeight="1" x14ac:dyDescent="0.2">
      <c r="A130" s="131" t="str">
        <f>A22</f>
        <v>None</v>
      </c>
      <c r="B130" s="129" t="e">
        <f>VLOOKUP($A22,'Template IF 2'!$B$3:$HH$112,78,FALSE)</f>
        <v>#N/A</v>
      </c>
      <c r="C130" s="129" t="e">
        <f>VLOOKUP($A22,'Template IF 2'!$B$3:$HH$112,79,FALSE)</f>
        <v>#N/A</v>
      </c>
      <c r="D130" s="155" t="e">
        <f>VLOOKUP($A22,'Template IF 2'!$B$3:$HH$112,80,FALSE)</f>
        <v>#N/A</v>
      </c>
      <c r="E130" s="155" t="e">
        <f>VLOOKUP($A22,'Template IF 2'!$B$3:$HH$112,81,FALSE)</f>
        <v>#N/A</v>
      </c>
      <c r="F130" s="119"/>
      <c r="G130" s="119"/>
      <c r="H130" s="129" t="e">
        <f>VLOOKUP($A22,'Template IF 2'!$B$3:$HH$112,82,FALSE)</f>
        <v>#N/A</v>
      </c>
      <c r="I130" s="129" t="e">
        <f>VLOOKUP($A22,'Template IF 2'!$B$3:$HH$112,83,FALSE)</f>
        <v>#N/A</v>
      </c>
      <c r="J130" s="155" t="e">
        <f>VLOOKUP($A22,'Template IF 2'!$B$3:$HH$112,84,FALSE)</f>
        <v>#N/A</v>
      </c>
      <c r="K130" s="154" t="e">
        <f>VLOOKUP($A22,'Template IF 2'!$B$3:$HH$112,85,FALSE)</f>
        <v>#N/A</v>
      </c>
      <c r="L130" s="119"/>
      <c r="S130"/>
      <c r="T130"/>
      <c r="U130"/>
      <c r="V130"/>
      <c r="W130"/>
      <c r="X130"/>
      <c r="Y130"/>
      <c r="Z130"/>
      <c r="AA130"/>
    </row>
    <row r="131" spans="1:27" ht="15.75" customHeight="1" x14ac:dyDescent="0.2">
      <c r="A131" s="131" t="str">
        <f>A24</f>
        <v>None</v>
      </c>
      <c r="B131" s="129" t="e">
        <f>VLOOKUP($A24,'Template IF 2'!$B$3:$HH$112,78,FALSE)</f>
        <v>#N/A</v>
      </c>
      <c r="C131" s="129" t="e">
        <f>VLOOKUP($A24,'Template IF 2'!$B$3:$HH$112,79,FALSE)</f>
        <v>#N/A</v>
      </c>
      <c r="D131" s="155" t="e">
        <f>VLOOKUP($A24,'Template IF 2'!$B$3:$HH$112,80,FALSE)</f>
        <v>#N/A</v>
      </c>
      <c r="E131" s="155" t="e">
        <f>VLOOKUP($A24,'Template IF 2'!$B$3:$HH$112,81,FALSE)</f>
        <v>#N/A</v>
      </c>
      <c r="F131" s="119"/>
      <c r="G131" s="119"/>
      <c r="H131" s="129" t="e">
        <f>VLOOKUP($A24,'Template IF 2'!$B$3:$HH$112,82,FALSE)</f>
        <v>#N/A</v>
      </c>
      <c r="I131" s="129" t="e">
        <f>VLOOKUP($A24,'Template IF 2'!$B$3:$HH$112,83,FALSE)</f>
        <v>#N/A</v>
      </c>
      <c r="J131" s="155" t="e">
        <f>VLOOKUP($A24,'Template IF 2'!$B$3:$HH$112,84,FALSE)</f>
        <v>#N/A</v>
      </c>
      <c r="K131" s="154" t="e">
        <f>VLOOKUP($A24,'Template IF 2'!$B$3:$HH$112,85,FALSE)</f>
        <v>#N/A</v>
      </c>
      <c r="L131" s="119"/>
      <c r="S131"/>
      <c r="T131"/>
      <c r="U131"/>
      <c r="V131"/>
      <c r="W131"/>
      <c r="X131"/>
      <c r="Y131"/>
      <c r="Z131"/>
      <c r="AA131"/>
    </row>
    <row r="132" spans="1:27" ht="15.75" customHeight="1" x14ac:dyDescent="0.2">
      <c r="A132" s="118" t="str">
        <f>A26</f>
        <v>None</v>
      </c>
      <c r="B132" s="130" t="e">
        <f>VLOOKUP($A26,'Template IF 2'!$B$3:$HH$112,78,FALSE)</f>
        <v>#N/A</v>
      </c>
      <c r="C132" s="130" t="e">
        <f>VLOOKUP($A26,'Template IF 2'!$B$3:$HH$112,79,FALSE)</f>
        <v>#N/A</v>
      </c>
      <c r="D132" s="156" t="e">
        <f>VLOOKUP($A26,'Template IF 2'!$B$3:$HH$112,80,FALSE)</f>
        <v>#N/A</v>
      </c>
      <c r="E132" s="156" t="e">
        <f>VLOOKUP($A26,'Template IF 2'!$B$3:$HH$112,81,FALSE)</f>
        <v>#N/A</v>
      </c>
      <c r="F132" s="120"/>
      <c r="G132" s="120"/>
      <c r="H132" s="130" t="e">
        <f>VLOOKUP($A26,'Template IF 2'!$B$3:$HH$112,82,FALSE)</f>
        <v>#N/A</v>
      </c>
      <c r="I132" s="130" t="e">
        <f>VLOOKUP($A26,'Template IF 2'!$B$3:$HH$112,83,FALSE)</f>
        <v>#N/A</v>
      </c>
      <c r="J132" s="156" t="e">
        <f>VLOOKUP($A26,'Template IF 2'!$B$3:$HH$112,84,FALSE)</f>
        <v>#N/A</v>
      </c>
      <c r="K132" s="156" t="e">
        <f>VLOOKUP($A26,'Template IF 2'!$B$3:$HH$112,85,FALSE)</f>
        <v>#N/A</v>
      </c>
      <c r="L132" s="119"/>
      <c r="S132"/>
      <c r="T132"/>
      <c r="U132"/>
      <c r="V132"/>
      <c r="W132"/>
      <c r="X132"/>
      <c r="Y132"/>
      <c r="Z132"/>
      <c r="AA132"/>
    </row>
    <row r="133" spans="1:27" x14ac:dyDescent="0.2">
      <c r="A133" s="117" t="s">
        <v>179</v>
      </c>
      <c r="B133" s="119"/>
      <c r="C133" s="119"/>
      <c r="D133" s="119"/>
      <c r="E133" s="119"/>
      <c r="F133" s="119"/>
      <c r="G133" s="119"/>
      <c r="H133" s="119"/>
      <c r="I133" s="119"/>
      <c r="J133" s="119"/>
      <c r="K133" s="119"/>
      <c r="L133" s="119"/>
      <c r="S133"/>
      <c r="T133"/>
      <c r="U133"/>
      <c r="V133"/>
      <c r="W133"/>
      <c r="X133"/>
      <c r="Y133"/>
      <c r="Z133"/>
      <c r="AA133"/>
    </row>
    <row r="134" spans="1:27" ht="14.25" x14ac:dyDescent="0.2">
      <c r="A134" s="189" t="s">
        <v>497</v>
      </c>
      <c r="B134" s="189"/>
      <c r="C134" s="189"/>
      <c r="D134" s="189"/>
      <c r="E134" s="189"/>
      <c r="F134" s="189"/>
      <c r="G134" s="189"/>
      <c r="H134" s="189"/>
      <c r="I134" s="189"/>
      <c r="J134" s="189"/>
      <c r="K134" s="189"/>
      <c r="L134" s="189"/>
      <c r="S134"/>
      <c r="T134"/>
      <c r="U134"/>
      <c r="V134"/>
      <c r="W134"/>
      <c r="X134"/>
      <c r="Y134"/>
      <c r="Z134"/>
      <c r="AA134"/>
    </row>
    <row r="135" spans="1:27" x14ac:dyDescent="0.2">
      <c r="A135" s="117"/>
      <c r="B135" s="119"/>
      <c r="C135" s="119"/>
      <c r="D135" s="119"/>
      <c r="E135" s="119"/>
      <c r="F135" s="119"/>
      <c r="G135" s="119"/>
      <c r="H135" s="119"/>
      <c r="I135" s="119"/>
      <c r="J135" s="119"/>
      <c r="K135" s="119"/>
      <c r="L135" s="119"/>
      <c r="S135"/>
      <c r="T135"/>
      <c r="U135"/>
      <c r="V135"/>
      <c r="W135"/>
      <c r="X135"/>
      <c r="Y135"/>
      <c r="Z135"/>
      <c r="AA135"/>
    </row>
    <row r="136" spans="1:27" x14ac:dyDescent="0.2">
      <c r="A136" s="117"/>
      <c r="B136" s="119"/>
      <c r="C136" s="119"/>
      <c r="D136" s="119"/>
      <c r="E136" s="119"/>
      <c r="F136" s="119"/>
      <c r="G136" s="119"/>
      <c r="H136" s="119"/>
      <c r="I136" s="119"/>
      <c r="J136" s="119"/>
      <c r="K136" s="119"/>
      <c r="L136" s="119"/>
      <c r="S136"/>
      <c r="T136"/>
      <c r="U136"/>
      <c r="V136"/>
      <c r="W136"/>
      <c r="X136"/>
      <c r="Y136"/>
      <c r="Z136"/>
      <c r="AA136"/>
    </row>
    <row r="137" spans="1:27" x14ac:dyDescent="0.2">
      <c r="A137" s="117"/>
      <c r="B137" s="119"/>
      <c r="C137" s="119"/>
      <c r="D137" s="119"/>
      <c r="E137" s="119"/>
      <c r="F137" s="119"/>
      <c r="G137" s="119"/>
      <c r="H137" s="119"/>
      <c r="I137" s="119"/>
      <c r="J137" s="119"/>
      <c r="K137" s="119"/>
      <c r="L137" s="119"/>
      <c r="S137"/>
      <c r="T137"/>
      <c r="U137"/>
      <c r="V137"/>
      <c r="W137"/>
      <c r="X137"/>
      <c r="Y137"/>
      <c r="Z137"/>
      <c r="AA137"/>
    </row>
    <row r="138" spans="1:27" x14ac:dyDescent="0.2">
      <c r="A138" s="131"/>
      <c r="B138" s="187" t="s">
        <v>45</v>
      </c>
      <c r="C138" s="187"/>
      <c r="D138" s="187"/>
      <c r="E138" s="187"/>
      <c r="F138" s="157"/>
      <c r="G138" s="119"/>
      <c r="H138" s="187" t="s">
        <v>46</v>
      </c>
      <c r="I138" s="187"/>
      <c r="J138" s="187"/>
      <c r="K138" s="187"/>
      <c r="L138" s="157"/>
      <c r="S138"/>
      <c r="T138"/>
      <c r="U138"/>
      <c r="V138"/>
      <c r="W138"/>
      <c r="X138"/>
      <c r="Y138"/>
      <c r="Z138"/>
      <c r="AA138"/>
    </row>
    <row r="139" spans="1:27" x14ac:dyDescent="0.2">
      <c r="A139" s="118"/>
      <c r="B139" s="158" t="s">
        <v>455</v>
      </c>
      <c r="C139" s="158" t="s">
        <v>456</v>
      </c>
      <c r="D139" s="158" t="s">
        <v>457</v>
      </c>
      <c r="E139" s="158" t="s">
        <v>454</v>
      </c>
      <c r="F139" s="120"/>
      <c r="G139" s="120"/>
      <c r="H139" s="158" t="s">
        <v>455</v>
      </c>
      <c r="I139" s="158" t="s">
        <v>456</v>
      </c>
      <c r="J139" s="158" t="s">
        <v>457</v>
      </c>
      <c r="K139" s="158" t="s">
        <v>454</v>
      </c>
      <c r="L139" s="28"/>
      <c r="N139"/>
      <c r="O139"/>
      <c r="S139"/>
      <c r="T139"/>
      <c r="U139"/>
      <c r="V139"/>
      <c r="W139"/>
      <c r="X139"/>
      <c r="Y139"/>
      <c r="Z139"/>
      <c r="AA139"/>
    </row>
    <row r="140" spans="1:27" ht="14.1" customHeight="1" x14ac:dyDescent="0.2">
      <c r="A140" s="131" t="s">
        <v>29</v>
      </c>
      <c r="B140" s="134">
        <f>'Template IF 2'!CI3</f>
        <v>321455</v>
      </c>
      <c r="C140" s="134">
        <f>'Template IF 2'!CJ3</f>
        <v>329719</v>
      </c>
      <c r="D140" s="134">
        <f>'Template IF 2'!CK3</f>
        <v>353139</v>
      </c>
      <c r="E140" s="134">
        <f>'Template IF 2'!CL3</f>
        <v>353497</v>
      </c>
      <c r="F140" s="127"/>
      <c r="G140" s="127"/>
      <c r="H140" s="132">
        <f>'Template IF 2'!CM3</f>
        <v>14.071164799426533</v>
      </c>
      <c r="I140" s="132">
        <f>'Template IF 2'!CN3</f>
        <v>13.686687153312365</v>
      </c>
      <c r="J140" s="132">
        <f>'Template IF 2'!CO3</f>
        <v>13.859483963726307</v>
      </c>
      <c r="K140" s="132">
        <f>'Template IF 2'!CP3</f>
        <v>13.424099497307829</v>
      </c>
      <c r="L140" s="127"/>
      <c r="N140"/>
      <c r="O140"/>
      <c r="S140"/>
      <c r="T140"/>
      <c r="U140"/>
      <c r="V140"/>
      <c r="W140"/>
      <c r="X140"/>
      <c r="Y140"/>
      <c r="Z140"/>
      <c r="AA140"/>
    </row>
    <row r="141" spans="1:27" ht="14.1" customHeight="1" x14ac:dyDescent="0.2">
      <c r="A141" s="131" t="str">
        <f>A16</f>
        <v>None</v>
      </c>
      <c r="B141" s="134" t="e">
        <f>VLOOKUP($A16,'Template IF 2'!$B$3:$HH$112,86,FALSE)</f>
        <v>#N/A</v>
      </c>
      <c r="C141" s="134" t="e">
        <f>VLOOKUP($A16,'Template IF 2'!$B$3:$HH$112,87,FALSE)</f>
        <v>#N/A</v>
      </c>
      <c r="D141" s="134" t="e">
        <f>VLOOKUP($A16,'Template IF 2'!$B$3:$HH$112,88,FALSE)</f>
        <v>#N/A</v>
      </c>
      <c r="E141" s="134" t="e">
        <f>VLOOKUP($A16,'Template IF 2'!$B$3:$HH$112,89,FALSE)</f>
        <v>#N/A</v>
      </c>
      <c r="F141" s="127"/>
      <c r="G141" s="127"/>
      <c r="H141" s="148" t="e">
        <f>VLOOKUP($A16,'Template IF 2'!$B$3:$HH$112,90,FALSE)</f>
        <v>#N/A</v>
      </c>
      <c r="I141" s="148" t="e">
        <f>VLOOKUP($A16,'Template IF 2'!$B$3:$HH$112,91,FALSE)</f>
        <v>#N/A</v>
      </c>
      <c r="J141" s="148" t="e">
        <f>VLOOKUP($A16,'Template IF 2'!$B$3:$HH$112,92,FALSE)</f>
        <v>#N/A</v>
      </c>
      <c r="K141" s="148" t="e">
        <f>VLOOKUP($A16,'Template IF 2'!$B$3:$HH$112,93,FALSE)</f>
        <v>#N/A</v>
      </c>
      <c r="L141" s="127"/>
      <c r="S141"/>
      <c r="T141"/>
      <c r="U141"/>
      <c r="V141"/>
      <c r="W141"/>
      <c r="X141"/>
      <c r="Y141"/>
      <c r="Z141"/>
      <c r="AA141"/>
    </row>
    <row r="142" spans="1:27" ht="14.1" customHeight="1" x14ac:dyDescent="0.2">
      <c r="A142" s="131" t="str">
        <f>A18</f>
        <v>None</v>
      </c>
      <c r="B142" s="134" t="e">
        <f>VLOOKUP($A18,'Template IF 2'!$B$3:$HH$112,86,FALSE)</f>
        <v>#N/A</v>
      </c>
      <c r="C142" s="134" t="e">
        <f>VLOOKUP($A18,'Template IF 2'!$B$3:$HH$112,87,FALSE)</f>
        <v>#N/A</v>
      </c>
      <c r="D142" s="134" t="e">
        <f>VLOOKUP($A18,'Template IF 2'!$B$3:$HH$112,88,FALSE)</f>
        <v>#N/A</v>
      </c>
      <c r="E142" s="134" t="e">
        <f>VLOOKUP($A18,'Template IF 2'!$B$3:$HH$112,89,FALSE)</f>
        <v>#N/A</v>
      </c>
      <c r="F142" s="127"/>
      <c r="G142" s="127"/>
      <c r="H142" s="148" t="e">
        <f>VLOOKUP($A18,'Template IF 2'!$B$3:$HH$112,90,FALSE)</f>
        <v>#N/A</v>
      </c>
      <c r="I142" s="148" t="e">
        <f>VLOOKUP($A18,'Template IF 2'!$B$3:$HH$112,91,FALSE)</f>
        <v>#N/A</v>
      </c>
      <c r="J142" s="148" t="e">
        <f>VLOOKUP($A18,'Template IF 2'!$B$3:$HH$112,92,FALSE)</f>
        <v>#N/A</v>
      </c>
      <c r="K142" s="148" t="e">
        <f>VLOOKUP($A18,'Template IF 2'!$B$3:$HH$112,93,FALSE)</f>
        <v>#N/A</v>
      </c>
      <c r="L142" s="127"/>
      <c r="S142"/>
      <c r="T142"/>
      <c r="U142"/>
      <c r="V142"/>
      <c r="W142"/>
      <c r="X142"/>
      <c r="Y142"/>
      <c r="Z142"/>
      <c r="AA142"/>
    </row>
    <row r="143" spans="1:27" ht="14.1" customHeight="1" x14ac:dyDescent="0.2">
      <c r="A143" s="131" t="str">
        <f>A20</f>
        <v>None</v>
      </c>
      <c r="B143" s="134" t="e">
        <f>VLOOKUP($A20,'Template IF 2'!$B$3:$HH$112,86,FALSE)</f>
        <v>#N/A</v>
      </c>
      <c r="C143" s="134" t="e">
        <f>VLOOKUP($A20,'Template IF 2'!$B$3:$HH$112,87,FALSE)</f>
        <v>#N/A</v>
      </c>
      <c r="D143" s="134" t="e">
        <f>VLOOKUP($A20,'Template IF 2'!$B$3:$HH$112,88,FALSE)</f>
        <v>#N/A</v>
      </c>
      <c r="E143" s="134" t="e">
        <f>VLOOKUP($A20,'Template IF 2'!$B$3:$HH$112,89,FALSE)</f>
        <v>#N/A</v>
      </c>
      <c r="F143" s="127"/>
      <c r="G143" s="127"/>
      <c r="H143" s="148" t="e">
        <f>VLOOKUP($A20,'Template IF 2'!$B$3:$HH$112,90,FALSE)</f>
        <v>#N/A</v>
      </c>
      <c r="I143" s="148" t="e">
        <f>VLOOKUP($A20,'Template IF 2'!$B$3:$HH$112,91,FALSE)</f>
        <v>#N/A</v>
      </c>
      <c r="J143" s="148" t="e">
        <f>VLOOKUP($A20,'Template IF 2'!$B$3:$HH$112,92,FALSE)</f>
        <v>#N/A</v>
      </c>
      <c r="K143" s="148" t="e">
        <f>VLOOKUP($A20,'Template IF 2'!$B$3:$HH$112,93,FALSE)</f>
        <v>#N/A</v>
      </c>
      <c r="L143" s="127"/>
      <c r="S143"/>
      <c r="T143"/>
      <c r="U143"/>
      <c r="V143"/>
      <c r="W143"/>
      <c r="X143"/>
      <c r="Y143"/>
      <c r="Z143"/>
      <c r="AA143"/>
    </row>
    <row r="144" spans="1:27" ht="14.1" customHeight="1" x14ac:dyDescent="0.2">
      <c r="A144" s="131" t="str">
        <f>A22</f>
        <v>None</v>
      </c>
      <c r="B144" s="134" t="e">
        <f>VLOOKUP($A22,'Template IF 2'!$B$3:$HH$112,86,FALSE)</f>
        <v>#N/A</v>
      </c>
      <c r="C144" s="134" t="e">
        <f>VLOOKUP($A22,'Template IF 2'!$B$3:$HH$112,87,FALSE)</f>
        <v>#N/A</v>
      </c>
      <c r="D144" s="134" t="e">
        <f>VLOOKUP($A22,'Template IF 2'!$B$3:$HH$112,88,FALSE)</f>
        <v>#N/A</v>
      </c>
      <c r="E144" s="134" t="e">
        <f>VLOOKUP($A22,'Template IF 2'!$B$3:$HH$112,89,FALSE)</f>
        <v>#N/A</v>
      </c>
      <c r="F144" s="127"/>
      <c r="G144" s="127"/>
      <c r="H144" s="148" t="e">
        <f>VLOOKUP($A22,'Template IF 2'!$B$3:$HH$112,90,FALSE)</f>
        <v>#N/A</v>
      </c>
      <c r="I144" s="148" t="e">
        <f>VLOOKUP($A22,'Template IF 2'!$B$3:$HH$112,91,FALSE)</f>
        <v>#N/A</v>
      </c>
      <c r="J144" s="148" t="e">
        <f>VLOOKUP($A22,'Template IF 2'!$B$3:$HH$112,92,FALSE)</f>
        <v>#N/A</v>
      </c>
      <c r="K144" s="148" t="e">
        <f>VLOOKUP($A22,'Template IF 2'!$B$3:$HH$112,93,FALSE)</f>
        <v>#N/A</v>
      </c>
      <c r="L144" s="127"/>
      <c r="S144"/>
      <c r="T144"/>
      <c r="U144"/>
      <c r="V144"/>
      <c r="W144"/>
      <c r="X144"/>
      <c r="Y144"/>
      <c r="Z144"/>
      <c r="AA144"/>
    </row>
    <row r="145" spans="1:27" ht="14.1" customHeight="1" x14ac:dyDescent="0.2">
      <c r="A145" s="131" t="str">
        <f>A24</f>
        <v>None</v>
      </c>
      <c r="B145" s="134" t="e">
        <f>VLOOKUP($A24,'Template IF 2'!$B$3:$HH$112,86,FALSE)</f>
        <v>#N/A</v>
      </c>
      <c r="C145" s="134" t="e">
        <f>VLOOKUP($A24,'Template IF 2'!$B$3:$HH$112,87,FALSE)</f>
        <v>#N/A</v>
      </c>
      <c r="D145" s="134" t="e">
        <f>VLOOKUP($A24,'Template IF 2'!$B$3:$HH$112,88,FALSE)</f>
        <v>#N/A</v>
      </c>
      <c r="E145" s="134" t="e">
        <f>VLOOKUP($A24,'Template IF 2'!$B$3:$HH$112,89,FALSE)</f>
        <v>#N/A</v>
      </c>
      <c r="F145" s="127"/>
      <c r="G145" s="127"/>
      <c r="H145" s="148" t="e">
        <f>VLOOKUP($A24,'Template IF 2'!$B$3:$HH$112,90,FALSE)</f>
        <v>#N/A</v>
      </c>
      <c r="I145" s="148" t="e">
        <f>VLOOKUP($A24,'Template IF 2'!$B$3:$HH$112,91,FALSE)</f>
        <v>#N/A</v>
      </c>
      <c r="J145" s="148" t="e">
        <f>VLOOKUP($A24,'Template IF 2'!$B$3:$HH$112,92,FALSE)</f>
        <v>#N/A</v>
      </c>
      <c r="K145" s="148" t="e">
        <f>VLOOKUP($A24,'Template IF 2'!$B$3:$HH$112,93,FALSE)</f>
        <v>#N/A</v>
      </c>
      <c r="L145" s="127"/>
      <c r="S145"/>
      <c r="T145"/>
      <c r="U145"/>
      <c r="V145"/>
      <c r="W145"/>
      <c r="X145"/>
      <c r="Y145"/>
      <c r="Z145"/>
      <c r="AA145"/>
    </row>
    <row r="146" spans="1:27" ht="14.1" customHeight="1" x14ac:dyDescent="0.2">
      <c r="A146" s="118" t="str">
        <f>A26</f>
        <v>None</v>
      </c>
      <c r="B146" s="149" t="e">
        <f>VLOOKUP($A26,'Template IF 2'!$B$3:$HH$112,86,FALSE)</f>
        <v>#N/A</v>
      </c>
      <c r="C146" s="149" t="e">
        <f>VLOOKUP($A26,'Template IF 2'!$B$3:$HH$112,87,FALSE)</f>
        <v>#N/A</v>
      </c>
      <c r="D146" s="149" t="e">
        <f>VLOOKUP($A26,'Template IF 2'!$B$3:$HH$112,88,FALSE)</f>
        <v>#N/A</v>
      </c>
      <c r="E146" s="149" t="e">
        <f>VLOOKUP($A26,'Template IF 2'!$B$3:$HH$112,89,FALSE)</f>
        <v>#N/A</v>
      </c>
      <c r="F146" s="127"/>
      <c r="G146" s="127"/>
      <c r="H146" s="150" t="e">
        <f>VLOOKUP($A26,'Template IF 2'!$B$3:$HH$112,90,FALSE)</f>
        <v>#N/A</v>
      </c>
      <c r="I146" s="150" t="e">
        <f>VLOOKUP($A26,'Template IF 2'!$B$3:$HH$112,91,FALSE)</f>
        <v>#N/A</v>
      </c>
      <c r="J146" s="150" t="e">
        <f>VLOOKUP($A26,'Template IF 2'!$B$3:$HH$112,92,FALSE)</f>
        <v>#N/A</v>
      </c>
      <c r="K146" s="150" t="e">
        <f>VLOOKUP($A26,'Template IF 2'!$B$3:$HH$112,93,FALSE)</f>
        <v>#N/A</v>
      </c>
      <c r="L146" s="127"/>
      <c r="S146"/>
      <c r="T146"/>
      <c r="U146"/>
      <c r="V146"/>
      <c r="W146"/>
      <c r="X146"/>
      <c r="Y146"/>
      <c r="Z146"/>
      <c r="AA146"/>
    </row>
    <row r="147" spans="1:27" x14ac:dyDescent="0.2">
      <c r="A147" s="117"/>
      <c r="B147" s="123"/>
      <c r="C147" s="123"/>
      <c r="D147" s="123"/>
      <c r="E147" s="123"/>
      <c r="F147" s="123"/>
      <c r="G147" s="119"/>
      <c r="H147" s="119"/>
      <c r="I147" s="119"/>
      <c r="J147" s="119"/>
      <c r="K147" s="119"/>
      <c r="L147" s="119"/>
      <c r="S147"/>
      <c r="T147"/>
      <c r="U147"/>
      <c r="V147"/>
      <c r="W147"/>
      <c r="X147"/>
      <c r="Y147"/>
      <c r="Z147"/>
      <c r="AA147"/>
    </row>
    <row r="148" spans="1:27" ht="12.75" customHeight="1" x14ac:dyDescent="0.2">
      <c r="A148" s="131"/>
      <c r="B148" s="185" t="s">
        <v>168</v>
      </c>
      <c r="C148" s="185"/>
      <c r="D148" s="185"/>
      <c r="E148" s="185"/>
      <c r="F148" s="159"/>
      <c r="G148" s="119"/>
      <c r="H148" s="185" t="s">
        <v>183</v>
      </c>
      <c r="I148" s="185"/>
      <c r="J148" s="185"/>
      <c r="K148" s="185"/>
      <c r="L148" s="159"/>
      <c r="N148"/>
      <c r="O148"/>
      <c r="S148"/>
      <c r="T148"/>
      <c r="U148"/>
      <c r="V148"/>
      <c r="W148"/>
      <c r="X148"/>
      <c r="Y148"/>
      <c r="Z148"/>
      <c r="AA148"/>
    </row>
    <row r="149" spans="1:27" x14ac:dyDescent="0.2">
      <c r="A149" s="131"/>
      <c r="B149" s="188"/>
      <c r="C149" s="188"/>
      <c r="D149" s="188"/>
      <c r="E149" s="188"/>
      <c r="F149" s="159"/>
      <c r="G149" s="119"/>
      <c r="H149" s="188"/>
      <c r="I149" s="188"/>
      <c r="J149" s="188"/>
      <c r="K149" s="188"/>
      <c r="L149" s="159"/>
      <c r="N149"/>
      <c r="O149"/>
      <c r="S149"/>
      <c r="T149"/>
      <c r="U149"/>
      <c r="V149"/>
      <c r="W149"/>
      <c r="X149"/>
      <c r="Y149"/>
      <c r="Z149"/>
      <c r="AA149"/>
    </row>
    <row r="150" spans="1:27" x14ac:dyDescent="0.2">
      <c r="A150" s="118"/>
      <c r="B150" s="158" t="s">
        <v>455</v>
      </c>
      <c r="C150" s="158" t="s">
        <v>456</v>
      </c>
      <c r="D150" s="158" t="s">
        <v>457</v>
      </c>
      <c r="E150" s="158" t="s">
        <v>454</v>
      </c>
      <c r="F150" s="138"/>
      <c r="G150" s="120"/>
      <c r="H150" s="158" t="s">
        <v>455</v>
      </c>
      <c r="I150" s="158" t="s">
        <v>456</v>
      </c>
      <c r="J150" s="158" t="s">
        <v>457</v>
      </c>
      <c r="K150" s="158" t="s">
        <v>454</v>
      </c>
      <c r="L150" s="160"/>
      <c r="N150"/>
      <c r="O150"/>
      <c r="S150"/>
      <c r="T150"/>
      <c r="U150"/>
      <c r="V150"/>
      <c r="W150"/>
      <c r="X150"/>
      <c r="Y150"/>
      <c r="Z150"/>
      <c r="AA150"/>
    </row>
    <row r="151" spans="1:27" ht="14.1" customHeight="1" x14ac:dyDescent="0.2">
      <c r="A151" s="131" t="s">
        <v>29</v>
      </c>
      <c r="B151" s="134">
        <f>'Template IF 2'!CQ3</f>
        <v>13574</v>
      </c>
      <c r="C151" s="134">
        <f>'Template IF 2'!CR3</f>
        <v>14290</v>
      </c>
      <c r="D151" s="134">
        <f>'Template IF 2'!CS3</f>
        <v>16325</v>
      </c>
      <c r="E151" s="134">
        <f>'Template IF 2'!CT3</f>
        <v>16394</v>
      </c>
      <c r="F151" s="127"/>
      <c r="G151" s="136"/>
      <c r="H151" s="132">
        <f>'Template IF 2'!CU3</f>
        <v>4.3425127325774833</v>
      </c>
      <c r="I151" s="132">
        <f>'Template IF 2'!CV3</f>
        <v>4.4853324293615069</v>
      </c>
      <c r="J151" s="132">
        <f>'Template IF 2'!CW3</f>
        <v>4.7904244330719754</v>
      </c>
      <c r="K151" s="132">
        <f>'Template IF 2'!CX3</f>
        <v>4.8115048793014896</v>
      </c>
      <c r="L151" s="127"/>
      <c r="O151"/>
      <c r="S151"/>
      <c r="T151"/>
      <c r="U151"/>
      <c r="V151"/>
      <c r="W151"/>
      <c r="X151"/>
      <c r="Y151"/>
      <c r="Z151"/>
      <c r="AA151"/>
    </row>
    <row r="152" spans="1:27" ht="14.1" customHeight="1" x14ac:dyDescent="0.2">
      <c r="A152" s="131" t="str">
        <f>A16</f>
        <v>None</v>
      </c>
      <c r="B152" s="134" t="e">
        <f>VLOOKUP($A16,'Template IF 2'!$B$3:$HH$112,94,FALSE)</f>
        <v>#N/A</v>
      </c>
      <c r="C152" s="134" t="e">
        <f>VLOOKUP($A16,'Template IF 2'!$B$3:$HH$112,95,FALSE)</f>
        <v>#N/A</v>
      </c>
      <c r="D152" s="134" t="e">
        <f>VLOOKUP($A16,'Template IF 2'!$B$3:$HH$112,96,FALSE)</f>
        <v>#N/A</v>
      </c>
      <c r="E152" s="134" t="e">
        <f>VLOOKUP($A16,'Template IF 2'!$B$3:$HH$112,97,FALSE)</f>
        <v>#N/A</v>
      </c>
      <c r="F152" s="127"/>
      <c r="G152" s="119"/>
      <c r="H152" s="129" t="e">
        <f>VLOOKUP($A16,'Template IF 2'!$B$3:$HH$112,98,FALSE)</f>
        <v>#N/A</v>
      </c>
      <c r="I152" s="129" t="e">
        <f>VLOOKUP($A16,'Template IF 2'!$B$3:$HH$112,99,FALSE)</f>
        <v>#N/A</v>
      </c>
      <c r="J152" s="129" t="e">
        <f>VLOOKUP($A16,'Template IF 2'!$B$3:$HH$112,100,FALSE)</f>
        <v>#N/A</v>
      </c>
      <c r="K152" s="129" t="e">
        <f>VLOOKUP($A16,'Template IF 2'!$B$3:$HH$112,101,FALSE)</f>
        <v>#N/A</v>
      </c>
      <c r="L152" s="127"/>
      <c r="M152" s="24"/>
      <c r="O152"/>
      <c r="S152"/>
      <c r="T152"/>
      <c r="U152"/>
      <c r="V152"/>
      <c r="W152"/>
      <c r="X152"/>
      <c r="Y152"/>
      <c r="Z152"/>
      <c r="AA152"/>
    </row>
    <row r="153" spans="1:27" ht="14.1" customHeight="1" x14ac:dyDescent="0.2">
      <c r="A153" s="131" t="str">
        <f>A18</f>
        <v>None</v>
      </c>
      <c r="B153" s="134" t="e">
        <f>VLOOKUP($A18,'Template IF 2'!$B$3:$HH$112,94,FALSE)</f>
        <v>#N/A</v>
      </c>
      <c r="C153" s="134" t="e">
        <f>VLOOKUP($A18,'Template IF 2'!$B$3:$HH$112,95,FALSE)</f>
        <v>#N/A</v>
      </c>
      <c r="D153" s="134" t="e">
        <f>VLOOKUP($A18,'Template IF 2'!$B$3:$HH$112,96,FALSE)</f>
        <v>#N/A</v>
      </c>
      <c r="E153" s="134" t="e">
        <f>VLOOKUP($A18,'Template IF 2'!$B$3:$HH$112,97,FALSE)</f>
        <v>#N/A</v>
      </c>
      <c r="F153" s="127"/>
      <c r="G153" s="119"/>
      <c r="H153" s="129" t="e">
        <f>VLOOKUP($A18,'Template IF 2'!$B$3:$HH$112,98,FALSE)</f>
        <v>#N/A</v>
      </c>
      <c r="I153" s="129" t="e">
        <f>VLOOKUP($A18,'Template IF 2'!$B$3:$HH$112,99,FALSE)</f>
        <v>#N/A</v>
      </c>
      <c r="J153" s="129" t="e">
        <f>VLOOKUP($A18,'Template IF 2'!$B$3:$HH$112,100,FALSE)</f>
        <v>#N/A</v>
      </c>
      <c r="K153" s="129" t="e">
        <f>VLOOKUP($A18,'Template IF 2'!$B$3:$HH$112,101,FALSE)</f>
        <v>#N/A</v>
      </c>
      <c r="L153" s="127"/>
      <c r="M153" s="24"/>
      <c r="O153"/>
      <c r="S153"/>
      <c r="T153"/>
      <c r="U153"/>
      <c r="V153"/>
      <c r="W153"/>
      <c r="X153"/>
      <c r="Y153"/>
      <c r="Z153"/>
      <c r="AA153"/>
    </row>
    <row r="154" spans="1:27" ht="14.1" customHeight="1" x14ac:dyDescent="0.2">
      <c r="A154" s="131" t="str">
        <f>A20</f>
        <v>None</v>
      </c>
      <c r="B154" s="134" t="e">
        <f>VLOOKUP($A20,'Template IF 2'!$B$3:$HH$112,94,FALSE)</f>
        <v>#N/A</v>
      </c>
      <c r="C154" s="134" t="e">
        <f>VLOOKUP($A20,'Template IF 2'!$B$3:$HH$112,95,FALSE)</f>
        <v>#N/A</v>
      </c>
      <c r="D154" s="134" t="e">
        <f>VLOOKUP($A20,'Template IF 2'!$B$3:$HH$112,96,FALSE)</f>
        <v>#N/A</v>
      </c>
      <c r="E154" s="134" t="e">
        <f>VLOOKUP($A20,'Template IF 2'!$B$3:$HH$112,97,FALSE)</f>
        <v>#N/A</v>
      </c>
      <c r="F154" s="127"/>
      <c r="G154" s="119"/>
      <c r="H154" s="129" t="e">
        <f>VLOOKUP($A20,'Template IF 2'!$B$3:$HH$112,98,FALSE)</f>
        <v>#N/A</v>
      </c>
      <c r="I154" s="129" t="e">
        <f>VLOOKUP($A20,'Template IF 2'!$B$3:$HH$112,99,FALSE)</f>
        <v>#N/A</v>
      </c>
      <c r="J154" s="129" t="e">
        <f>VLOOKUP($A20,'Template IF 2'!$B$3:$HH$112,100,FALSE)</f>
        <v>#N/A</v>
      </c>
      <c r="K154" s="129" t="e">
        <f>VLOOKUP($A20,'Template IF 2'!$B$3:$HH$112,101,FALSE)</f>
        <v>#N/A</v>
      </c>
      <c r="L154" s="127"/>
      <c r="O154"/>
      <c r="S154"/>
      <c r="T154"/>
      <c r="U154"/>
      <c r="V154"/>
      <c r="W154"/>
      <c r="X154"/>
      <c r="Y154"/>
      <c r="Z154"/>
      <c r="AA154"/>
    </row>
    <row r="155" spans="1:27" ht="14.1" customHeight="1" x14ac:dyDescent="0.2">
      <c r="A155" s="131" t="str">
        <f>A22</f>
        <v>None</v>
      </c>
      <c r="B155" s="134" t="e">
        <f>VLOOKUP($A22,'Template IF 2'!$B$3:$HH$112,94,FALSE)</f>
        <v>#N/A</v>
      </c>
      <c r="C155" s="134" t="e">
        <f>VLOOKUP($A22,'Template IF 2'!$B$3:$HH$112,95,FALSE)</f>
        <v>#N/A</v>
      </c>
      <c r="D155" s="134" t="e">
        <f>VLOOKUP($A22,'Template IF 2'!$B$3:$HH$112,96,FALSE)</f>
        <v>#N/A</v>
      </c>
      <c r="E155" s="134" t="e">
        <f>VLOOKUP($A22,'Template IF 2'!$B$3:$HH$112,97,FALSE)</f>
        <v>#N/A</v>
      </c>
      <c r="F155" s="127"/>
      <c r="G155" s="119"/>
      <c r="H155" s="129" t="e">
        <f>VLOOKUP($A22,'Template IF 2'!$B$3:$HH$112,98,FALSE)</f>
        <v>#N/A</v>
      </c>
      <c r="I155" s="129" t="e">
        <f>VLOOKUP($A22,'Template IF 2'!$B$3:$HH$112,99,FALSE)</f>
        <v>#N/A</v>
      </c>
      <c r="J155" s="129" t="e">
        <f>VLOOKUP($A22,'Template IF 2'!$B$3:$HH$112,100,FALSE)</f>
        <v>#N/A</v>
      </c>
      <c r="K155" s="129" t="e">
        <f>VLOOKUP($A22,'Template IF 2'!$B$3:$HH$112,101,FALSE)</f>
        <v>#N/A</v>
      </c>
      <c r="L155" s="127"/>
      <c r="O155"/>
      <c r="S155"/>
      <c r="T155"/>
      <c r="U155"/>
      <c r="V155"/>
      <c r="W155"/>
      <c r="X155"/>
      <c r="Y155"/>
      <c r="Z155"/>
      <c r="AA155"/>
    </row>
    <row r="156" spans="1:27" ht="14.1" customHeight="1" x14ac:dyDescent="0.2">
      <c r="A156" s="131" t="str">
        <f>A24</f>
        <v>None</v>
      </c>
      <c r="B156" s="134" t="e">
        <f>VLOOKUP($A24,'Template IF 2'!$B$3:$HH$112,94,FALSE)</f>
        <v>#N/A</v>
      </c>
      <c r="C156" s="134" t="e">
        <f>VLOOKUP($A24,'Template IF 2'!$B$3:$HH$112,95,FALSE)</f>
        <v>#N/A</v>
      </c>
      <c r="D156" s="134" t="e">
        <f>VLOOKUP($A24,'Template IF 2'!$B$3:$HH$112,96,FALSE)</f>
        <v>#N/A</v>
      </c>
      <c r="E156" s="134" t="e">
        <f>VLOOKUP($A24,'Template IF 2'!$B$3:$HH$112,97,FALSE)</f>
        <v>#N/A</v>
      </c>
      <c r="F156" s="127"/>
      <c r="G156" s="119"/>
      <c r="H156" s="129" t="e">
        <f>VLOOKUP($A24,'Template IF 2'!$B$3:$HH$112,98,FALSE)</f>
        <v>#N/A</v>
      </c>
      <c r="I156" s="129" t="e">
        <f>VLOOKUP($A24,'Template IF 2'!$B$3:$HH$112,99,FALSE)</f>
        <v>#N/A</v>
      </c>
      <c r="J156" s="129" t="e">
        <f>VLOOKUP($A24,'Template IF 2'!$B$3:$HH$112,100,FALSE)</f>
        <v>#N/A</v>
      </c>
      <c r="K156" s="129" t="e">
        <f>VLOOKUP($A24,'Template IF 2'!$B$3:$HH$112,101,FALSE)</f>
        <v>#N/A</v>
      </c>
      <c r="L156" s="127"/>
      <c r="O156"/>
      <c r="S156"/>
      <c r="T156"/>
      <c r="U156"/>
      <c r="V156"/>
      <c r="W156"/>
      <c r="X156"/>
      <c r="Y156"/>
      <c r="Z156"/>
      <c r="AA156"/>
    </row>
    <row r="157" spans="1:27" ht="14.1" customHeight="1" x14ac:dyDescent="0.2">
      <c r="A157" s="118" t="str">
        <f>A26</f>
        <v>None</v>
      </c>
      <c r="B157" s="149" t="e">
        <f>VLOOKUP($A26,'Template IF 2'!$B$3:$HH$112,94,FALSE)</f>
        <v>#N/A</v>
      </c>
      <c r="C157" s="149" t="e">
        <f>VLOOKUP($A26,'Template IF 2'!$B$3:$HH$112,95,FALSE)</f>
        <v>#N/A</v>
      </c>
      <c r="D157" s="149" t="e">
        <f>VLOOKUP($A26,'Template IF 2'!$B$3:$HH$112,96,FALSE)</f>
        <v>#N/A</v>
      </c>
      <c r="E157" s="149" t="e">
        <f>VLOOKUP($A26,'Template IF 2'!$B$3:$HH$112,97,FALSE)</f>
        <v>#N/A</v>
      </c>
      <c r="F157" s="138"/>
      <c r="G157" s="120"/>
      <c r="H157" s="130" t="e">
        <f>VLOOKUP($A26,'Template IF 2'!$B$3:$HH$112,98,FALSE)</f>
        <v>#N/A</v>
      </c>
      <c r="I157" s="130" t="e">
        <f>VLOOKUP($A26,'Template IF 2'!$B$3:$HH$112,99,FALSE)</f>
        <v>#N/A</v>
      </c>
      <c r="J157" s="130" t="e">
        <f>VLOOKUP($A26,'Template IF 2'!$B$3:$HH$112,100,FALSE)</f>
        <v>#N/A</v>
      </c>
      <c r="K157" s="130" t="e">
        <f>VLOOKUP($A26,'Template IF 2'!$B$3:$HH$112,101,FALSE)</f>
        <v>#N/A</v>
      </c>
      <c r="L157" s="127"/>
      <c r="O157"/>
      <c r="S157"/>
      <c r="T157"/>
      <c r="U157"/>
      <c r="V157"/>
      <c r="W157"/>
      <c r="X157"/>
      <c r="Y157"/>
      <c r="Z157"/>
      <c r="AA157"/>
    </row>
    <row r="158" spans="1:27" x14ac:dyDescent="0.2">
      <c r="A158" s="117" t="s">
        <v>181</v>
      </c>
      <c r="B158" s="133"/>
      <c r="C158" s="133"/>
      <c r="D158" s="133"/>
      <c r="E158" s="133"/>
      <c r="F158" s="133"/>
      <c r="G158" s="119"/>
      <c r="H158" s="119"/>
      <c r="I158" s="119"/>
      <c r="J158" s="119"/>
      <c r="K158" s="119"/>
      <c r="L158" s="119"/>
      <c r="N158"/>
      <c r="O158"/>
      <c r="S158"/>
      <c r="T158"/>
      <c r="U158"/>
      <c r="V158"/>
      <c r="W158"/>
      <c r="X158"/>
      <c r="Y158"/>
      <c r="Z158"/>
      <c r="AA158"/>
    </row>
    <row r="159" spans="1:27" ht="21.75" customHeight="1" x14ac:dyDescent="0.2">
      <c r="A159" s="117"/>
      <c r="B159" s="185" t="s">
        <v>169</v>
      </c>
      <c r="C159" s="185"/>
      <c r="D159" s="185"/>
      <c r="E159" s="185"/>
      <c r="F159" s="159"/>
      <c r="G159" s="119"/>
      <c r="H159" s="185" t="s">
        <v>182</v>
      </c>
      <c r="I159" s="185"/>
      <c r="J159" s="185"/>
      <c r="K159" s="185"/>
      <c r="L159" s="159"/>
      <c r="N159"/>
      <c r="O159"/>
      <c r="S159"/>
      <c r="T159"/>
      <c r="U159"/>
      <c r="V159"/>
      <c r="W159"/>
      <c r="X159"/>
      <c r="Y159"/>
      <c r="Z159"/>
      <c r="AA159"/>
    </row>
    <row r="160" spans="1:27" x14ac:dyDescent="0.2">
      <c r="A160" s="131"/>
      <c r="B160" s="188"/>
      <c r="C160" s="188"/>
      <c r="D160" s="188"/>
      <c r="E160" s="188"/>
      <c r="F160" s="159"/>
      <c r="G160" s="119"/>
      <c r="H160" s="188"/>
      <c r="I160" s="188"/>
      <c r="J160" s="188"/>
      <c r="K160" s="188"/>
      <c r="L160" s="159"/>
      <c r="N160"/>
      <c r="O160"/>
    </row>
    <row r="161" spans="1:24" x14ac:dyDescent="0.2">
      <c r="A161" s="118"/>
      <c r="B161" s="158" t="s">
        <v>455</v>
      </c>
      <c r="C161" s="158" t="s">
        <v>456</v>
      </c>
      <c r="D161" s="158" t="s">
        <v>457</v>
      </c>
      <c r="E161" s="158" t="s">
        <v>454</v>
      </c>
      <c r="F161" s="120"/>
      <c r="G161" s="120"/>
      <c r="H161" s="158" t="s">
        <v>455</v>
      </c>
      <c r="I161" s="158" t="s">
        <v>456</v>
      </c>
      <c r="J161" s="158" t="s">
        <v>457</v>
      </c>
      <c r="K161" s="158" t="s">
        <v>454</v>
      </c>
      <c r="L161" s="28"/>
      <c r="N161"/>
      <c r="O161"/>
    </row>
    <row r="162" spans="1:24" ht="14.1" customHeight="1" x14ac:dyDescent="0.2">
      <c r="A162" s="131" t="s">
        <v>29</v>
      </c>
      <c r="B162" s="134">
        <f>'Template IF 2'!CY3</f>
        <v>20902</v>
      </c>
      <c r="C162" s="134">
        <f>'Template IF 2'!CZ3</f>
        <v>21242</v>
      </c>
      <c r="D162" s="134">
        <f>'Template IF 2'!DA3</f>
        <v>25199</v>
      </c>
      <c r="E162" s="134">
        <f>'Template IF 2'!DB3</f>
        <v>24336</v>
      </c>
      <c r="F162" s="127"/>
      <c r="G162" s="119"/>
      <c r="H162" s="132">
        <f>'Template IF 2'!DC3</f>
        <v>7.293956715032488</v>
      </c>
      <c r="I162" s="132">
        <f>'Template IF 2'!DD3</f>
        <v>7.492319684533908</v>
      </c>
      <c r="J162" s="132">
        <f>'Template IF 2'!DE3</f>
        <v>8.2936462224562675</v>
      </c>
      <c r="K162" s="132">
        <f>'Template IF 2'!DF3</f>
        <v>8.0110606359865688</v>
      </c>
      <c r="L162" s="127"/>
      <c r="N162"/>
      <c r="O162"/>
    </row>
    <row r="163" spans="1:24" ht="14.1" customHeight="1" x14ac:dyDescent="0.2">
      <c r="A163" s="131" t="str">
        <f>A16</f>
        <v>None</v>
      </c>
      <c r="B163" s="134" t="e">
        <f>VLOOKUP($A16,'Template IF 2'!$B$3:$HH$112,102,FALSE)</f>
        <v>#N/A</v>
      </c>
      <c r="C163" s="134" t="e">
        <f>VLOOKUP($A16,'Template IF 2'!$B$3:$HH$112,103,FALSE)</f>
        <v>#N/A</v>
      </c>
      <c r="D163" s="134" t="e">
        <f>VLOOKUP($A16,'Template IF 2'!$B$3:$HH$112,104,FALSE)</f>
        <v>#N/A</v>
      </c>
      <c r="E163" s="134" t="e">
        <f>VLOOKUP($A16,'Template IF 2'!$B$3:$HH$112,105,FALSE)</f>
        <v>#N/A</v>
      </c>
      <c r="F163" s="127"/>
      <c r="G163" s="119"/>
      <c r="H163" s="129" t="e">
        <f>VLOOKUP($A16,'Template IF 2'!$B$3:$HH$112,106,FALSE)</f>
        <v>#N/A</v>
      </c>
      <c r="I163" s="129" t="e">
        <f>VLOOKUP($A16,'Template IF 2'!$B$3:$HH$112,107,FALSE)</f>
        <v>#N/A</v>
      </c>
      <c r="J163" s="129" t="e">
        <f>VLOOKUP($A16,'Template IF 2'!$B$3:$HH$112,108,FALSE)</f>
        <v>#N/A</v>
      </c>
      <c r="K163" s="129" t="e">
        <f>VLOOKUP($A16,'Template IF 2'!$B$3:$HH$112,109,FALSE)</f>
        <v>#N/A</v>
      </c>
      <c r="L163" s="127"/>
      <c r="N163"/>
      <c r="O163"/>
    </row>
    <row r="164" spans="1:24" ht="14.1" customHeight="1" x14ac:dyDescent="0.2">
      <c r="A164" s="131" t="str">
        <f>A18</f>
        <v>None</v>
      </c>
      <c r="B164" s="134" t="e">
        <f>VLOOKUP($A18,'Template IF 2'!$B$3:$HH$112,102,FALSE)</f>
        <v>#N/A</v>
      </c>
      <c r="C164" s="134" t="e">
        <f>VLOOKUP($A18,'Template IF 2'!$B$3:$HH$112,103,FALSE)</f>
        <v>#N/A</v>
      </c>
      <c r="D164" s="134" t="e">
        <f>VLOOKUP($A18,'Template IF 2'!$B$3:$HH$112,104,FALSE)</f>
        <v>#N/A</v>
      </c>
      <c r="E164" s="134" t="e">
        <f>VLOOKUP($A18,'Template IF 2'!$B$3:$HH$112,105,FALSE)</f>
        <v>#N/A</v>
      </c>
      <c r="F164" s="127"/>
      <c r="G164" s="119"/>
      <c r="H164" s="129" t="e">
        <f>VLOOKUP($A18,'Template IF 2'!$B$3:$HH$112,106,FALSE)</f>
        <v>#N/A</v>
      </c>
      <c r="I164" s="129" t="e">
        <f>VLOOKUP($A18,'Template IF 2'!$B$3:$HH$112,107,FALSE)</f>
        <v>#N/A</v>
      </c>
      <c r="J164" s="129" t="e">
        <f>VLOOKUP($A18,'Template IF 2'!$B$3:$HH$112,108,FALSE)</f>
        <v>#N/A</v>
      </c>
      <c r="K164" s="129" t="e">
        <f>VLOOKUP($A18,'Template IF 2'!$B$3:$HH$112,109,FALSE)</f>
        <v>#N/A</v>
      </c>
      <c r="L164" s="127"/>
      <c r="N164"/>
      <c r="O164"/>
    </row>
    <row r="165" spans="1:24" ht="14.1" customHeight="1" x14ac:dyDescent="0.2">
      <c r="A165" s="131" t="str">
        <f>A20</f>
        <v>None</v>
      </c>
      <c r="B165" s="134" t="e">
        <f>VLOOKUP($A20,'Template IF 2'!$B$3:$HH$112,102,FALSE)</f>
        <v>#N/A</v>
      </c>
      <c r="C165" s="134" t="e">
        <f>VLOOKUP($A20,'Template IF 2'!$B$3:$HH$112,103,FALSE)</f>
        <v>#N/A</v>
      </c>
      <c r="D165" s="134" t="e">
        <f>VLOOKUP($A20,'Template IF 2'!$B$3:$HH$112,104,FALSE)</f>
        <v>#N/A</v>
      </c>
      <c r="E165" s="134" t="e">
        <f>VLOOKUP($A20,'Template IF 2'!$B$3:$HH$112,105,FALSE)</f>
        <v>#N/A</v>
      </c>
      <c r="F165" s="127"/>
      <c r="G165" s="119"/>
      <c r="H165" s="129" t="e">
        <f>VLOOKUP($A20,'Template IF 2'!$B$3:$HH$112,106,FALSE)</f>
        <v>#N/A</v>
      </c>
      <c r="I165" s="129" t="e">
        <f>VLOOKUP($A20,'Template IF 2'!$B$3:$HH$112,107,FALSE)</f>
        <v>#N/A</v>
      </c>
      <c r="J165" s="129" t="e">
        <f>VLOOKUP($A20,'Template IF 2'!$B$3:$HH$112,108,FALSE)</f>
        <v>#N/A</v>
      </c>
      <c r="K165" s="129" t="e">
        <f>VLOOKUP($A20,'Template IF 2'!$B$3:$HH$112,109,FALSE)</f>
        <v>#N/A</v>
      </c>
      <c r="L165" s="127"/>
      <c r="N165"/>
      <c r="O165"/>
    </row>
    <row r="166" spans="1:24" ht="14.1" customHeight="1" x14ac:dyDescent="0.2">
      <c r="A166" s="131" t="str">
        <f>A22</f>
        <v>None</v>
      </c>
      <c r="B166" s="134" t="e">
        <f>VLOOKUP($A22,'Template IF 2'!$B$3:$HH$112,102,FALSE)</f>
        <v>#N/A</v>
      </c>
      <c r="C166" s="134" t="e">
        <f>VLOOKUP($A22,'Template IF 2'!$B$3:$HH$112,103,FALSE)</f>
        <v>#N/A</v>
      </c>
      <c r="D166" s="134" t="e">
        <f>VLOOKUP($A22,'Template IF 2'!$B$3:$HH$112,104,FALSE)</f>
        <v>#N/A</v>
      </c>
      <c r="E166" s="134" t="e">
        <f>VLOOKUP($A22,'Template IF 2'!$B$3:$HH$112,105,FALSE)</f>
        <v>#N/A</v>
      </c>
      <c r="F166" s="127"/>
      <c r="G166" s="119"/>
      <c r="H166" s="129" t="e">
        <f>VLOOKUP($A22,'Template IF 2'!$B$3:$HH$112,106,FALSE)</f>
        <v>#N/A</v>
      </c>
      <c r="I166" s="129" t="e">
        <f>VLOOKUP($A22,'Template IF 2'!$B$3:$HH$112,107,FALSE)</f>
        <v>#N/A</v>
      </c>
      <c r="J166" s="129" t="e">
        <f>VLOOKUP($A22,'Template IF 2'!$B$3:$HH$112,108,FALSE)</f>
        <v>#N/A</v>
      </c>
      <c r="K166" s="129" t="e">
        <f>VLOOKUP($A22,'Template IF 2'!$B$3:$HH$112,109,FALSE)</f>
        <v>#N/A</v>
      </c>
      <c r="L166" s="127"/>
      <c r="N166"/>
      <c r="O166"/>
    </row>
    <row r="167" spans="1:24" ht="14.1" customHeight="1" x14ac:dyDescent="0.2">
      <c r="A167" s="131" t="str">
        <f>A24</f>
        <v>None</v>
      </c>
      <c r="B167" s="134" t="e">
        <f>VLOOKUP($A24,'Template IF 2'!$B$3:$HH$112,102,FALSE)</f>
        <v>#N/A</v>
      </c>
      <c r="C167" s="134" t="e">
        <f>VLOOKUP($A24,'Template IF 2'!$B$3:$HH$112,103,FALSE)</f>
        <v>#N/A</v>
      </c>
      <c r="D167" s="134" t="e">
        <f>VLOOKUP($A24,'Template IF 2'!$B$3:$HH$112,104,FALSE)</f>
        <v>#N/A</v>
      </c>
      <c r="E167" s="134" t="e">
        <f>VLOOKUP($A24,'Template IF 2'!$B$3:$HH$112,105,FALSE)</f>
        <v>#N/A</v>
      </c>
      <c r="F167" s="127"/>
      <c r="G167" s="119"/>
      <c r="H167" s="129" t="e">
        <f>VLOOKUP($A24,'Template IF 2'!$B$3:$HH$112,106,FALSE)</f>
        <v>#N/A</v>
      </c>
      <c r="I167" s="129" t="e">
        <f>VLOOKUP($A24,'Template IF 2'!$B$3:$HH$112,107,FALSE)</f>
        <v>#N/A</v>
      </c>
      <c r="J167" s="129" t="e">
        <f>VLOOKUP($A24,'Template IF 2'!$B$3:$HH$112,108,FALSE)</f>
        <v>#N/A</v>
      </c>
      <c r="K167" s="129" t="e">
        <f>VLOOKUP($A24,'Template IF 2'!$B$3:$HH$112,109,FALSE)</f>
        <v>#N/A</v>
      </c>
      <c r="L167" s="127"/>
      <c r="N167"/>
      <c r="O167"/>
    </row>
    <row r="168" spans="1:24" ht="14.1" customHeight="1" x14ac:dyDescent="0.2">
      <c r="A168" s="118" t="str">
        <f>A26</f>
        <v>None</v>
      </c>
      <c r="B168" s="149" t="e">
        <f>VLOOKUP($A26,'Template IF 2'!$B$3:$HH$112,102,FALSE)</f>
        <v>#N/A</v>
      </c>
      <c r="C168" s="149" t="e">
        <f>VLOOKUP($A26,'Template IF 2'!$B$3:$HH$112,103,FALSE)</f>
        <v>#N/A</v>
      </c>
      <c r="D168" s="149" t="e">
        <f>VLOOKUP($A26,'Template IF 2'!$B$3:$HH$112,104,FALSE)</f>
        <v>#N/A</v>
      </c>
      <c r="E168" s="149" t="e">
        <f>VLOOKUP($A26,'Template IF 2'!$B$3:$HH$112,105,FALSE)</f>
        <v>#N/A</v>
      </c>
      <c r="F168" s="138"/>
      <c r="G168" s="120"/>
      <c r="H168" s="130" t="e">
        <f>VLOOKUP($A26,'Template IF 2'!$B$3:$HH$112,106,FALSE)</f>
        <v>#N/A</v>
      </c>
      <c r="I168" s="130" t="e">
        <f>VLOOKUP($A26,'Template IF 2'!$B$3:$HH$112,107,FALSE)</f>
        <v>#N/A</v>
      </c>
      <c r="J168" s="130" t="e">
        <f>VLOOKUP($A26,'Template IF 2'!$B$3:$HH$112,108,FALSE)</f>
        <v>#N/A</v>
      </c>
      <c r="K168" s="130" t="e">
        <f>VLOOKUP($A26,'Template IF 2'!$B$3:$HH$112,109,FALSE)</f>
        <v>#N/A</v>
      </c>
      <c r="L168" s="127"/>
      <c r="N168"/>
      <c r="O168"/>
    </row>
    <row r="169" spans="1:24" x14ac:dyDescent="0.2">
      <c r="A169" s="117" t="s">
        <v>181</v>
      </c>
      <c r="B169" s="119"/>
      <c r="C169" s="119"/>
      <c r="D169" s="119"/>
      <c r="E169" s="119"/>
      <c r="F169" s="119"/>
      <c r="G169" s="119"/>
      <c r="H169" s="119"/>
      <c r="I169" s="119"/>
      <c r="J169" s="119"/>
      <c r="K169" s="119"/>
      <c r="L169" s="119"/>
      <c r="N169"/>
      <c r="O169"/>
    </row>
    <row r="170" spans="1:24" ht="14.25" x14ac:dyDescent="0.2">
      <c r="A170" s="189" t="s">
        <v>497</v>
      </c>
      <c r="B170" s="189"/>
      <c r="C170" s="189"/>
      <c r="D170" s="189"/>
      <c r="E170" s="189"/>
      <c r="F170" s="189"/>
      <c r="G170" s="189"/>
      <c r="H170" s="189"/>
      <c r="I170" s="189"/>
      <c r="J170" s="189"/>
      <c r="K170" s="189"/>
      <c r="L170" s="189"/>
      <c r="N170"/>
      <c r="O170"/>
    </row>
    <row r="171" spans="1:24" ht="12.75" customHeight="1" x14ac:dyDescent="0.2">
      <c r="A171" s="117"/>
      <c r="B171" s="185" t="s">
        <v>170</v>
      </c>
      <c r="C171" s="185"/>
      <c r="D171" s="185"/>
      <c r="E171" s="185"/>
      <c r="F171" s="159"/>
      <c r="G171" s="119"/>
      <c r="H171" s="185" t="s">
        <v>500</v>
      </c>
      <c r="I171" s="186"/>
      <c r="J171" s="186"/>
      <c r="K171" s="186"/>
      <c r="L171" s="119"/>
      <c r="N171"/>
      <c r="O171"/>
    </row>
    <row r="172" spans="1:24" x14ac:dyDescent="0.2">
      <c r="A172" s="131"/>
      <c r="B172" s="188"/>
      <c r="C172" s="188"/>
      <c r="D172" s="188"/>
      <c r="E172" s="188"/>
      <c r="F172" s="159"/>
      <c r="G172" s="119"/>
      <c r="H172" s="187"/>
      <c r="I172" s="187"/>
      <c r="J172" s="187"/>
      <c r="K172" s="187"/>
      <c r="L172" s="157"/>
      <c r="N172"/>
      <c r="O172"/>
    </row>
    <row r="173" spans="1:24" x14ac:dyDescent="0.2">
      <c r="A173" s="118"/>
      <c r="B173" s="158" t="s">
        <v>455</v>
      </c>
      <c r="C173" s="158" t="s">
        <v>456</v>
      </c>
      <c r="D173" s="158" t="s">
        <v>457</v>
      </c>
      <c r="E173" s="158" t="s">
        <v>454</v>
      </c>
      <c r="F173" s="120"/>
      <c r="G173" s="120"/>
      <c r="H173" s="158" t="s">
        <v>455</v>
      </c>
      <c r="I173" s="158" t="s">
        <v>456</v>
      </c>
      <c r="J173" s="158" t="s">
        <v>457</v>
      </c>
      <c r="K173" s="158" t="s">
        <v>454</v>
      </c>
      <c r="L173" s="28"/>
      <c r="N173"/>
      <c r="O173"/>
    </row>
    <row r="174" spans="1:24" ht="14.1" customHeight="1" x14ac:dyDescent="0.2">
      <c r="A174" s="131" t="s">
        <v>29</v>
      </c>
      <c r="B174" s="132">
        <f>'Template IF 2'!DG3</f>
        <v>82.994400044201626</v>
      </c>
      <c r="C174" s="132">
        <f>'Template IF 2'!DH3</f>
        <v>84.532739478026826</v>
      </c>
      <c r="D174" s="132">
        <f>'Template IF 2'!DI3</f>
        <v>86.217288290588641</v>
      </c>
      <c r="E174" s="132">
        <f>'Template IF 2'!DJ3</f>
        <v>85.665889702385499</v>
      </c>
      <c r="F174" s="127"/>
      <c r="G174" s="119"/>
      <c r="H174" s="144">
        <f>'Template IF 2'!DK3</f>
        <v>13.985204519966684</v>
      </c>
      <c r="I174" s="144">
        <f>'Template IF 2'!DL3</f>
        <v>11.886255369757784</v>
      </c>
      <c r="J174" s="144">
        <f>'Template IF 2'!DM3</f>
        <v>9.8083711548159354</v>
      </c>
      <c r="K174" s="144">
        <f>'Template IF 2'!DN3</f>
        <v>10.735990551433911</v>
      </c>
      <c r="L174" s="127"/>
      <c r="M174" s="24"/>
      <c r="N174"/>
      <c r="O174"/>
      <c r="P174" s="24"/>
      <c r="Q174" s="24"/>
      <c r="S174" s="24"/>
      <c r="T174" s="24"/>
      <c r="U174" s="24"/>
      <c r="V174" s="24"/>
      <c r="X174" s="24"/>
    </row>
    <row r="175" spans="1:24" ht="14.1" customHeight="1" x14ac:dyDescent="0.2">
      <c r="A175" s="131" t="str">
        <f>A16</f>
        <v>None</v>
      </c>
      <c r="B175" s="129" t="e">
        <f>VLOOKUP($A16,'Template IF 2'!$B$3:$HH$112,110,FALSE)</f>
        <v>#N/A</v>
      </c>
      <c r="C175" s="129" t="e">
        <f>VLOOKUP($A16,'Template IF 2'!$B$3:$HH$112,111,FALSE)</f>
        <v>#N/A</v>
      </c>
      <c r="D175" s="129" t="e">
        <f>VLOOKUP($A16,'Template IF 2'!$B$3:$HH$112,112,FALSE)</f>
        <v>#N/A</v>
      </c>
      <c r="E175" s="129" t="e">
        <f>VLOOKUP($A16,'Template IF 2'!$B$3:$HH$113,113,FALSE)</f>
        <v>#N/A</v>
      </c>
      <c r="F175" s="127"/>
      <c r="G175" s="119"/>
      <c r="H175" s="129" t="e">
        <f>VLOOKUP($A16,'Template IF 2'!$B$3:$HH$112,114,FALSE)</f>
        <v>#N/A</v>
      </c>
      <c r="I175" s="129" t="e">
        <f>VLOOKUP($A16,'Template IF 2'!$B$3:$HH$112,115,FALSE)</f>
        <v>#N/A</v>
      </c>
      <c r="J175" s="129" t="e">
        <f>VLOOKUP($A16,'Template IF 2'!$B$3:$HH$112,116,FALSE)</f>
        <v>#N/A</v>
      </c>
      <c r="K175" s="129" t="e">
        <f>VLOOKUP($A16,'Template IF 2'!$B$3:$HH$112,117,FALSE)</f>
        <v>#N/A</v>
      </c>
      <c r="L175" s="127"/>
      <c r="M175" s="24"/>
      <c r="N175"/>
      <c r="O175"/>
      <c r="P175" s="24"/>
      <c r="Q175" s="24"/>
      <c r="S175" s="24"/>
      <c r="T175" s="24"/>
      <c r="U175" s="24"/>
      <c r="V175" s="24"/>
      <c r="X175" s="24"/>
    </row>
    <row r="176" spans="1:24" ht="14.1" customHeight="1" x14ac:dyDescent="0.2">
      <c r="A176" s="131" t="str">
        <f>A18</f>
        <v>None</v>
      </c>
      <c r="B176" s="129" t="e">
        <f>VLOOKUP($A18,'Template IF 2'!$B$3:$HH$112,110,FALSE)</f>
        <v>#N/A</v>
      </c>
      <c r="C176" s="129" t="e">
        <f>VLOOKUP($A18,'Template IF 2'!$B$3:$HH$112,111,FALSE)</f>
        <v>#N/A</v>
      </c>
      <c r="D176" s="129" t="e">
        <f>VLOOKUP($A18,'Template IF 2'!$B$3:$HH$112,112,FALSE)</f>
        <v>#N/A</v>
      </c>
      <c r="E176" s="129" t="e">
        <f>VLOOKUP($A18,'Template IF 2'!$B$3:$HH$113,113,FALSE)</f>
        <v>#N/A</v>
      </c>
      <c r="F176" s="127"/>
      <c r="G176" s="119"/>
      <c r="H176" s="129" t="e">
        <f>VLOOKUP($A18,'Template IF 2'!$B$3:$HH$112,114,FALSE)</f>
        <v>#N/A</v>
      </c>
      <c r="I176" s="129" t="e">
        <f>VLOOKUP($A18,'Template IF 2'!$B$3:$HH$112,115,FALSE)</f>
        <v>#N/A</v>
      </c>
      <c r="J176" s="129" t="e">
        <f>VLOOKUP($A18,'Template IF 2'!$B$3:$HH$112,116,FALSE)</f>
        <v>#N/A</v>
      </c>
      <c r="K176" s="129" t="e">
        <f>VLOOKUP($A18,'Template IF 2'!$B$3:$HH$112,117,FALSE)</f>
        <v>#N/A</v>
      </c>
      <c r="L176" s="127"/>
      <c r="N176"/>
      <c r="O176"/>
    </row>
    <row r="177" spans="1:15" ht="14.1" customHeight="1" x14ac:dyDescent="0.2">
      <c r="A177" s="131" t="str">
        <f>A20</f>
        <v>None</v>
      </c>
      <c r="B177" s="129" t="e">
        <f>VLOOKUP($A20,'Template IF 2'!$B$3:$HH$112,110,FALSE)</f>
        <v>#N/A</v>
      </c>
      <c r="C177" s="129" t="e">
        <f>VLOOKUP($A20,'Template IF 2'!$B$3:$HH$112,111,FALSE)</f>
        <v>#N/A</v>
      </c>
      <c r="D177" s="129" t="e">
        <f>VLOOKUP($A20,'Template IF 2'!$B$3:$HH$112,112,FALSE)</f>
        <v>#N/A</v>
      </c>
      <c r="E177" s="129" t="e">
        <f>VLOOKUP($A20,'Template IF 2'!$B$3:$HH$113,113,FALSE)</f>
        <v>#N/A</v>
      </c>
      <c r="F177" s="127"/>
      <c r="G177" s="119"/>
      <c r="H177" s="129" t="e">
        <f>VLOOKUP($A20,'Template IF 2'!$B$3:$HH$112,114,FALSE)</f>
        <v>#N/A</v>
      </c>
      <c r="I177" s="129" t="e">
        <f>VLOOKUP($A20,'Template IF 2'!$B$3:$HH$112,115,FALSE)</f>
        <v>#N/A</v>
      </c>
      <c r="J177" s="129" t="e">
        <f>VLOOKUP($A20,'Template IF 2'!$B$3:$HH$112,116,FALSE)</f>
        <v>#N/A</v>
      </c>
      <c r="K177" s="129" t="e">
        <f>VLOOKUP($A20,'Template IF 2'!$B$3:$HH$112,117,FALSE)</f>
        <v>#N/A</v>
      </c>
      <c r="L177" s="127"/>
      <c r="N177"/>
      <c r="O177"/>
    </row>
    <row r="178" spans="1:15" ht="14.1" customHeight="1" x14ac:dyDescent="0.2">
      <c r="A178" s="131" t="str">
        <f>A22</f>
        <v>None</v>
      </c>
      <c r="B178" s="129" t="e">
        <f>VLOOKUP($A22,'Template IF 2'!$B$3:$HH$112,110,FALSE)</f>
        <v>#N/A</v>
      </c>
      <c r="C178" s="129" t="e">
        <f>VLOOKUP($A22,'Template IF 2'!$B$3:$HH$112,111,FALSE)</f>
        <v>#N/A</v>
      </c>
      <c r="D178" s="129" t="e">
        <f>VLOOKUP($A22,'Template IF 2'!$B$3:$HH$112,112,FALSE)</f>
        <v>#N/A</v>
      </c>
      <c r="E178" s="129" t="e">
        <f>VLOOKUP($A22,'Template IF 2'!$B$3:$HH$113,113,FALSE)</f>
        <v>#N/A</v>
      </c>
      <c r="F178" s="127"/>
      <c r="G178" s="119"/>
      <c r="H178" s="129" t="e">
        <f>VLOOKUP($A22,'Template IF 2'!$B$3:$HH$112,114,FALSE)</f>
        <v>#N/A</v>
      </c>
      <c r="I178" s="129" t="e">
        <f>VLOOKUP($A22,'Template IF 2'!$B$3:$HH$112,115,FALSE)</f>
        <v>#N/A</v>
      </c>
      <c r="J178" s="129" t="e">
        <f>VLOOKUP($A22,'Template IF 2'!$B$3:$HH$112,116,FALSE)</f>
        <v>#N/A</v>
      </c>
      <c r="K178" s="129" t="e">
        <f>VLOOKUP($A22,'Template IF 2'!$B$3:$HH$112,117,FALSE)</f>
        <v>#N/A</v>
      </c>
      <c r="L178" s="127"/>
      <c r="N178"/>
      <c r="O178"/>
    </row>
    <row r="179" spans="1:15" ht="14.1" customHeight="1" x14ac:dyDescent="0.2">
      <c r="A179" s="131" t="str">
        <f>A24</f>
        <v>None</v>
      </c>
      <c r="B179" s="129" t="e">
        <f>VLOOKUP($A24,'Template IF 2'!$B$3:$HH$112,110,FALSE)</f>
        <v>#N/A</v>
      </c>
      <c r="C179" s="129" t="e">
        <f>VLOOKUP($A24,'Template IF 2'!$B$3:$HH$112,111,FALSE)</f>
        <v>#N/A</v>
      </c>
      <c r="D179" s="129" t="e">
        <f>VLOOKUP($A24,'Template IF 2'!$B$3:$HH$112,112,FALSE)</f>
        <v>#N/A</v>
      </c>
      <c r="E179" s="129" t="e">
        <f>VLOOKUP($A24,'Template IF 2'!$B$3:$HH$113,113,FALSE)</f>
        <v>#N/A</v>
      </c>
      <c r="F179" s="127"/>
      <c r="G179" s="119"/>
      <c r="H179" s="129" t="e">
        <f>VLOOKUP($A24,'Template IF 2'!$B$3:$HH$112,114,FALSE)</f>
        <v>#N/A</v>
      </c>
      <c r="I179" s="129" t="e">
        <f>VLOOKUP($A24,'Template IF 2'!$B$3:$HH$112,115,FALSE)</f>
        <v>#N/A</v>
      </c>
      <c r="J179" s="129" t="e">
        <f>VLOOKUP($A24,'Template IF 2'!$B$3:$HH$112,116,FALSE)</f>
        <v>#N/A</v>
      </c>
      <c r="K179" s="129" t="e">
        <f>VLOOKUP($A24,'Template IF 2'!$B$3:$HH$112,117,FALSE)</f>
        <v>#N/A</v>
      </c>
      <c r="L179" s="127"/>
      <c r="N179"/>
      <c r="O179"/>
    </row>
    <row r="180" spans="1:15" ht="14.1" customHeight="1" x14ac:dyDescent="0.2">
      <c r="A180" s="118" t="str">
        <f>A26</f>
        <v>None</v>
      </c>
      <c r="B180" s="130" t="e">
        <f>VLOOKUP($A26,'Template IF 2'!$B$3:$HH$112,110,FALSE)</f>
        <v>#N/A</v>
      </c>
      <c r="C180" s="130" t="e">
        <f>VLOOKUP($A26,'Template IF 2'!$B$3:$HH$112,111,FALSE)</f>
        <v>#N/A</v>
      </c>
      <c r="D180" s="130" t="e">
        <f>VLOOKUP($A26,'Template IF 2'!$B$3:$HH$112,112,FALSE)</f>
        <v>#N/A</v>
      </c>
      <c r="E180" s="130" t="e">
        <f>VLOOKUP($A26,'Template IF 2'!$B$3:$HH$113,113,FALSE)</f>
        <v>#N/A</v>
      </c>
      <c r="F180" s="138"/>
      <c r="G180" s="120"/>
      <c r="H180" s="130" t="e">
        <f>VLOOKUP($A26,'Template IF 2'!$B$3:$HH$112,114,FALSE)</f>
        <v>#N/A</v>
      </c>
      <c r="I180" s="130" t="e">
        <f>VLOOKUP($A26,'Template IF 2'!$B$3:$HH$112,115,FALSE)</f>
        <v>#N/A</v>
      </c>
      <c r="J180" s="130" t="e">
        <f>VLOOKUP($A26,'Template IF 2'!$B$3:$HH$112,116,FALSE)</f>
        <v>#N/A</v>
      </c>
      <c r="K180" s="130" t="e">
        <f>VLOOKUP($A26,'Template IF 2'!$B$3:$HH$112,117,FALSE)</f>
        <v>#N/A</v>
      </c>
      <c r="L180" s="127"/>
      <c r="N180"/>
      <c r="O180"/>
    </row>
    <row r="181" spans="1:15" x14ac:dyDescent="0.2">
      <c r="A181" s="117" t="s">
        <v>181</v>
      </c>
      <c r="B181" s="133"/>
      <c r="C181" s="133"/>
      <c r="D181" s="133"/>
      <c r="E181" s="133"/>
      <c r="F181" s="133"/>
      <c r="G181" s="119"/>
      <c r="H181" s="119"/>
      <c r="I181" s="119"/>
      <c r="J181" s="119"/>
      <c r="K181" s="119"/>
      <c r="L181" s="119"/>
      <c r="N181"/>
      <c r="O181"/>
    </row>
    <row r="182" spans="1:15" ht="23.25" customHeight="1" x14ac:dyDescent="0.2">
      <c r="A182" s="117"/>
      <c r="B182" s="119"/>
      <c r="C182" s="119"/>
      <c r="D182" s="119"/>
      <c r="E182" s="119"/>
      <c r="F182" s="119"/>
      <c r="G182" s="119"/>
      <c r="H182" s="185" t="s">
        <v>501</v>
      </c>
      <c r="I182" s="185"/>
      <c r="J182" s="185"/>
      <c r="K182" s="185"/>
      <c r="L182" s="119"/>
      <c r="N182"/>
      <c r="O182"/>
    </row>
    <row r="183" spans="1:15" ht="12.75" customHeight="1" x14ac:dyDescent="0.2">
      <c r="A183" s="131"/>
      <c r="B183" s="187" t="s">
        <v>147</v>
      </c>
      <c r="C183" s="187"/>
      <c r="D183" s="187"/>
      <c r="E183" s="187"/>
      <c r="F183" s="157"/>
      <c r="G183" s="119"/>
      <c r="H183" s="188"/>
      <c r="I183" s="188"/>
      <c r="J183" s="188"/>
      <c r="K183" s="188"/>
      <c r="L183" s="157"/>
      <c r="N183"/>
      <c r="O183"/>
    </row>
    <row r="184" spans="1:15" ht="11.25" customHeight="1" x14ac:dyDescent="0.2">
      <c r="A184" s="118"/>
      <c r="B184" s="158" t="s">
        <v>455</v>
      </c>
      <c r="C184" s="158" t="s">
        <v>456</v>
      </c>
      <c r="D184" s="158" t="s">
        <v>457</v>
      </c>
      <c r="E184" s="158" t="s">
        <v>454</v>
      </c>
      <c r="F184" s="120"/>
      <c r="G184" s="120"/>
      <c r="H184" s="158" t="s">
        <v>455</v>
      </c>
      <c r="I184" s="158" t="s">
        <v>456</v>
      </c>
      <c r="J184" s="158" t="s">
        <v>457</v>
      </c>
      <c r="K184" s="158" t="s">
        <v>454</v>
      </c>
      <c r="L184" s="160"/>
      <c r="N184"/>
      <c r="O184"/>
    </row>
    <row r="185" spans="1:15" ht="14.1" customHeight="1" x14ac:dyDescent="0.2">
      <c r="A185" s="131" t="s">
        <v>29</v>
      </c>
      <c r="B185" s="132">
        <f>'Template IF 2'!DO3</f>
        <v>23.859319434116657</v>
      </c>
      <c r="C185" s="132">
        <f>'Template IF 2'!DP3</f>
        <v>25.610999199087445</v>
      </c>
      <c r="D185" s="132">
        <f>'Template IF 2'!DQ3</f>
        <v>29.134444878789424</v>
      </c>
      <c r="E185" s="132">
        <f>'Template IF 2'!DR3</f>
        <v>33.097063176093421</v>
      </c>
      <c r="F185" s="160"/>
      <c r="G185" s="119"/>
      <c r="H185" s="132">
        <f>'Template IF 2'!DS3</f>
        <v>33.801495967958921</v>
      </c>
      <c r="I185" s="132">
        <f>'Template IF 2'!DT3</f>
        <v>29.871641151674538</v>
      </c>
      <c r="J185" s="132">
        <f>'Template IF 2'!DU3</f>
        <v>26.954764766333977</v>
      </c>
      <c r="K185" s="132">
        <f>'Template IF 2'!DV3</f>
        <v>24.347275875849206</v>
      </c>
      <c r="L185" s="127"/>
      <c r="N185"/>
    </row>
    <row r="186" spans="1:15" ht="14.1" customHeight="1" x14ac:dyDescent="0.2">
      <c r="A186" s="131" t="str">
        <f>A16</f>
        <v>None</v>
      </c>
      <c r="B186" s="129" t="e">
        <f>VLOOKUP($A16,'Template IF 2'!$B$3:$HH$112,118,FALSE)</f>
        <v>#N/A</v>
      </c>
      <c r="C186" s="129" t="e">
        <f>VLOOKUP($A16,'Template IF 2'!$B$3:$HH$112,119,FALSE)</f>
        <v>#N/A</v>
      </c>
      <c r="D186" s="129" t="e">
        <f>VLOOKUP($A16,'Template IF 2'!$B$3:$HH$112,120,FALSE)</f>
        <v>#N/A</v>
      </c>
      <c r="E186" s="129" t="e">
        <f>VLOOKUP($A16,'Template IF 2'!$B$3:$HH$112,121,FALSE)</f>
        <v>#N/A</v>
      </c>
      <c r="F186" s="127"/>
      <c r="G186" s="119"/>
      <c r="H186" s="151" t="e">
        <f>VLOOKUP($A16,'Template IF 2'!$B$3:$HH$112,122,FALSE)</f>
        <v>#N/A</v>
      </c>
      <c r="I186" s="151" t="e">
        <f>VLOOKUP($A16,'Template IF 2'!$B$3:$HH$113,123,FALSE)</f>
        <v>#N/A</v>
      </c>
      <c r="J186" s="135" t="e">
        <f>VLOOKUP($A16,'Template IF 2'!$B$3:$HH$112,124,FALSE)</f>
        <v>#N/A</v>
      </c>
      <c r="K186" s="135" t="e">
        <f>VLOOKUP($A16,'Template IF 2'!$B$3:$HH$112,125,FALSE)</f>
        <v>#N/A</v>
      </c>
      <c r="L186" s="127"/>
      <c r="N186"/>
    </row>
    <row r="187" spans="1:15" ht="14.1" customHeight="1" x14ac:dyDescent="0.2">
      <c r="A187" s="131" t="str">
        <f>A18</f>
        <v>None</v>
      </c>
      <c r="B187" s="129" t="e">
        <f>VLOOKUP($A18,'Template IF 2'!$B$3:$HH$112,118,FALSE)</f>
        <v>#N/A</v>
      </c>
      <c r="C187" s="129" t="e">
        <f>VLOOKUP($A18,'Template IF 2'!$B$3:$HH$112,119,FALSE)</f>
        <v>#N/A</v>
      </c>
      <c r="D187" s="129" t="e">
        <f>VLOOKUP($A18,'Template IF 2'!$B$3:$HH$112,120,FALSE)</f>
        <v>#N/A</v>
      </c>
      <c r="E187" s="129" t="e">
        <f>VLOOKUP($A18,'Template IF 2'!$B$3:$HH$112,121,FALSE)</f>
        <v>#N/A</v>
      </c>
      <c r="F187" s="127"/>
      <c r="G187" s="119"/>
      <c r="H187" s="151" t="e">
        <f>VLOOKUP($A18,'Template IF 2'!$B$3:$HH$112,122,FALSE)</f>
        <v>#N/A</v>
      </c>
      <c r="I187" s="151" t="e">
        <f>VLOOKUP($A18,'Template IF 2'!$B$3:$HH$113,123,FALSE)</f>
        <v>#N/A</v>
      </c>
      <c r="J187" s="135" t="e">
        <f>VLOOKUP($A18,'Template IF 2'!$B$3:$HH$112,124,FALSE)</f>
        <v>#N/A</v>
      </c>
      <c r="K187" s="135" t="e">
        <f>VLOOKUP($A18,'Template IF 2'!$B$3:$HH$112,125,FALSE)</f>
        <v>#N/A</v>
      </c>
      <c r="L187" s="127"/>
      <c r="N187"/>
    </row>
    <row r="188" spans="1:15" ht="14.1" customHeight="1" x14ac:dyDescent="0.2">
      <c r="A188" s="131" t="str">
        <f>A20</f>
        <v>None</v>
      </c>
      <c r="B188" s="129" t="e">
        <f>VLOOKUP($A20,'Template IF 2'!$B$3:$HH$112,118,FALSE)</f>
        <v>#N/A</v>
      </c>
      <c r="C188" s="129" t="e">
        <f>VLOOKUP($A20,'Template IF 2'!$B$3:$HH$112,119,FALSE)</f>
        <v>#N/A</v>
      </c>
      <c r="D188" s="129" t="e">
        <f>VLOOKUP($A20,'Template IF 2'!$B$3:$HH$112,120,FALSE)</f>
        <v>#N/A</v>
      </c>
      <c r="E188" s="129" t="e">
        <f>VLOOKUP($A20,'Template IF 2'!$B$3:$HH$112,121,FALSE)</f>
        <v>#N/A</v>
      </c>
      <c r="F188" s="127"/>
      <c r="G188" s="119"/>
      <c r="H188" s="151" t="e">
        <f>VLOOKUP($A20,'Template IF 2'!$B$3:$HH$112,122,FALSE)</f>
        <v>#N/A</v>
      </c>
      <c r="I188" s="151" t="e">
        <f>VLOOKUP($A20,'Template IF 2'!$B$3:$HH$113,123,FALSE)</f>
        <v>#N/A</v>
      </c>
      <c r="J188" s="135" t="e">
        <f>VLOOKUP($A20,'Template IF 2'!$B$3:$HH$112,124,FALSE)</f>
        <v>#N/A</v>
      </c>
      <c r="K188" s="135" t="e">
        <f>VLOOKUP($A20,'Template IF 2'!$B$3:$HH$112,125,FALSE)</f>
        <v>#N/A</v>
      </c>
      <c r="L188" s="127"/>
      <c r="N188"/>
    </row>
    <row r="189" spans="1:15" ht="14.1" customHeight="1" x14ac:dyDescent="0.2">
      <c r="A189" s="131" t="str">
        <f>A22</f>
        <v>None</v>
      </c>
      <c r="B189" s="129" t="e">
        <f>VLOOKUP($A22,'Template IF 2'!$B$3:$HH$112,118,FALSE)</f>
        <v>#N/A</v>
      </c>
      <c r="C189" s="129" t="e">
        <f>VLOOKUP($A22,'Template IF 2'!$B$3:$HH$112,119,FALSE)</f>
        <v>#N/A</v>
      </c>
      <c r="D189" s="129" t="e">
        <f>VLOOKUP($A22,'Template IF 2'!$B$3:$HH$112,120,FALSE)</f>
        <v>#N/A</v>
      </c>
      <c r="E189" s="129" t="e">
        <f>VLOOKUP($A22,'Template IF 2'!$B$3:$HH$112,121,FALSE)</f>
        <v>#N/A</v>
      </c>
      <c r="F189" s="127"/>
      <c r="G189" s="119"/>
      <c r="H189" s="151" t="e">
        <f>VLOOKUP($A22,'Template IF 2'!$B$3:$HH$112,122,FALSE)</f>
        <v>#N/A</v>
      </c>
      <c r="I189" s="151" t="e">
        <f>VLOOKUP($A22,'Template IF 2'!$B$3:$HH$113,123,FALSE)</f>
        <v>#N/A</v>
      </c>
      <c r="J189" s="135" t="e">
        <f>VLOOKUP($A22,'Template IF 2'!$B$3:$HH$112,124,FALSE)</f>
        <v>#N/A</v>
      </c>
      <c r="K189" s="135" t="e">
        <f>VLOOKUP($A22,'Template IF 2'!$B$3:$HH$112,125,FALSE)</f>
        <v>#N/A</v>
      </c>
      <c r="L189" s="127"/>
      <c r="N189"/>
    </row>
    <row r="190" spans="1:15" ht="14.1" customHeight="1" x14ac:dyDescent="0.2">
      <c r="A190" s="131" t="str">
        <f>A24</f>
        <v>None</v>
      </c>
      <c r="B190" s="129" t="e">
        <f>VLOOKUP($A24,'Template IF 2'!$B$3:$HH$112,118,FALSE)</f>
        <v>#N/A</v>
      </c>
      <c r="C190" s="129" t="e">
        <f>VLOOKUP($A24,'Template IF 2'!$B$3:$HH$112,119,FALSE)</f>
        <v>#N/A</v>
      </c>
      <c r="D190" s="129" t="e">
        <f>VLOOKUP($A24,'Template IF 2'!$B$3:$HH$112,120,FALSE)</f>
        <v>#N/A</v>
      </c>
      <c r="E190" s="129" t="e">
        <f>VLOOKUP($A24,'Template IF 2'!$B$3:$HH$112,121,FALSE)</f>
        <v>#N/A</v>
      </c>
      <c r="F190" s="127"/>
      <c r="G190" s="119"/>
      <c r="H190" s="151" t="e">
        <f>VLOOKUP($A24,'Template IF 2'!$B$3:$HH$112,122,FALSE)</f>
        <v>#N/A</v>
      </c>
      <c r="I190" s="151" t="e">
        <f>VLOOKUP($A24,'Template IF 2'!$B$3:$HH$113,123,FALSE)</f>
        <v>#N/A</v>
      </c>
      <c r="J190" s="135" t="e">
        <f>VLOOKUP($A24,'Template IF 2'!$B$3:$HH$112,124,FALSE)</f>
        <v>#N/A</v>
      </c>
      <c r="K190" s="135" t="e">
        <f>VLOOKUP($A24,'Template IF 2'!$B$3:$HH$112,125,FALSE)</f>
        <v>#N/A</v>
      </c>
      <c r="L190" s="127"/>
      <c r="N190"/>
    </row>
    <row r="191" spans="1:15" ht="14.1" customHeight="1" x14ac:dyDescent="0.2">
      <c r="A191" s="118" t="str">
        <f>A26</f>
        <v>None</v>
      </c>
      <c r="B191" s="130" t="e">
        <f>VLOOKUP($A26,'Template IF 2'!$B$3:$HH$112,118,FALSE)</f>
        <v>#N/A</v>
      </c>
      <c r="C191" s="130" t="e">
        <f>VLOOKUP($A26,'Template IF 2'!$B$3:$HH$112,119,FALSE)</f>
        <v>#N/A</v>
      </c>
      <c r="D191" s="130" t="e">
        <f>VLOOKUP($A26,'Template IF 2'!$B$3:$HH$112,120,FALSE)</f>
        <v>#N/A</v>
      </c>
      <c r="E191" s="130" t="e">
        <f>VLOOKUP($A26,'Template IF 2'!$B$3:$HH$112,121,FALSE)</f>
        <v>#N/A</v>
      </c>
      <c r="F191" s="138"/>
      <c r="G191" s="120"/>
      <c r="H191" s="137" t="e">
        <f>VLOOKUP($A26,'Template IF 2'!$B$3:$HH$112,122,FALSE)</f>
        <v>#N/A</v>
      </c>
      <c r="I191" s="137" t="e">
        <f>VLOOKUP($A26,'Template IF 2'!$B$3:$HH$113,123,FALSE)</f>
        <v>#N/A</v>
      </c>
      <c r="J191" s="137" t="e">
        <f>VLOOKUP($A26,'Template IF 2'!$B$3:$HH$112,124,FALSE)</f>
        <v>#N/A</v>
      </c>
      <c r="K191" s="137" t="e">
        <f>VLOOKUP($A26,'Template IF 2'!$B$3:$HH$112,125,FALSE)</f>
        <v>#N/A</v>
      </c>
      <c r="L191" s="127"/>
      <c r="N191"/>
    </row>
    <row r="192" spans="1:15" x14ac:dyDescent="0.2">
      <c r="A192" s="117" t="s">
        <v>181</v>
      </c>
      <c r="B192" s="133"/>
      <c r="C192" s="133"/>
      <c r="D192" s="133"/>
      <c r="E192" s="133"/>
      <c r="F192" s="133"/>
      <c r="G192" s="119"/>
      <c r="H192" s="119"/>
      <c r="I192" s="119"/>
      <c r="J192" s="119"/>
      <c r="K192" s="119"/>
      <c r="L192" s="119"/>
      <c r="N192"/>
      <c r="O192"/>
    </row>
    <row r="193" spans="1:32" ht="17.25" customHeight="1" x14ac:dyDescent="0.2">
      <c r="A193" s="117"/>
      <c r="B193" s="119"/>
      <c r="C193" s="119"/>
      <c r="D193" s="119"/>
      <c r="E193" s="119"/>
      <c r="F193" s="119"/>
      <c r="G193" s="119"/>
      <c r="H193" s="127"/>
      <c r="I193" s="127"/>
      <c r="J193" s="127"/>
      <c r="K193" s="127"/>
      <c r="L193" s="28"/>
      <c r="N193"/>
      <c r="O193"/>
    </row>
    <row r="194" spans="1:32" ht="18" customHeight="1" x14ac:dyDescent="0.2">
      <c r="A194" s="131"/>
      <c r="B194" s="187" t="s">
        <v>481</v>
      </c>
      <c r="C194" s="187"/>
      <c r="D194" s="187"/>
      <c r="E194" s="187"/>
      <c r="F194" s="187"/>
      <c r="G194" s="119"/>
      <c r="H194" s="187" t="s">
        <v>498</v>
      </c>
      <c r="I194" s="187"/>
      <c r="J194" s="187"/>
      <c r="K194" s="187"/>
      <c r="L194" s="157"/>
      <c r="N194"/>
      <c r="O194"/>
      <c r="R194" s="15"/>
      <c r="T194"/>
    </row>
    <row r="195" spans="1:32" ht="24" x14ac:dyDescent="0.2">
      <c r="A195" s="118"/>
      <c r="B195" s="161" t="s">
        <v>32</v>
      </c>
      <c r="C195" s="162" t="s">
        <v>47</v>
      </c>
      <c r="D195" s="162" t="s">
        <v>44</v>
      </c>
      <c r="E195" s="161" t="s">
        <v>35</v>
      </c>
      <c r="F195" s="161" t="s">
        <v>56</v>
      </c>
      <c r="G195" s="120"/>
      <c r="H195" s="163" t="s">
        <v>185</v>
      </c>
      <c r="I195" s="163" t="s">
        <v>186</v>
      </c>
      <c r="J195" s="163" t="s">
        <v>187</v>
      </c>
      <c r="K195" s="163" t="s">
        <v>188</v>
      </c>
      <c r="L195" s="28"/>
      <c r="N195"/>
      <c r="O195"/>
      <c r="R195" s="15"/>
      <c r="T195"/>
    </row>
    <row r="196" spans="1:32" ht="14.1" customHeight="1" x14ac:dyDescent="0.2">
      <c r="A196" s="131" t="s">
        <v>29</v>
      </c>
      <c r="B196" s="134">
        <f>'Template IF 2'!DW3</f>
        <v>52253</v>
      </c>
      <c r="C196" s="134">
        <f>'Template IF 2'!DX3</f>
        <v>6553</v>
      </c>
      <c r="D196" s="134">
        <f>'Template IF 2'!DY3</f>
        <v>1447</v>
      </c>
      <c r="E196" s="134">
        <f>'Template IF 2'!DZ3</f>
        <v>5000</v>
      </c>
      <c r="F196" s="134">
        <f>'Template IF 2'!EA3</f>
        <v>4615</v>
      </c>
      <c r="G196" s="127"/>
      <c r="H196" s="134">
        <f>'Template IF 2'!EB3</f>
        <v>2340</v>
      </c>
      <c r="I196" s="134">
        <f>'Template IF 2'!EC3</f>
        <v>1990</v>
      </c>
      <c r="J196" s="134">
        <f>'Template IF 2'!ED3</f>
        <v>1728</v>
      </c>
      <c r="K196" s="134">
        <f>'Template IF 2'!EE3</f>
        <v>1836</v>
      </c>
      <c r="L196" s="127"/>
      <c r="N196"/>
      <c r="O196"/>
      <c r="V196" s="21"/>
    </row>
    <row r="197" spans="1:32" ht="14.1" customHeight="1" x14ac:dyDescent="0.2">
      <c r="A197" s="131" t="str">
        <f>A16</f>
        <v>None</v>
      </c>
      <c r="B197" s="134" t="e">
        <f>VLOOKUP($A16,'Template IF 2'!$B$3:$HH$112,126,FALSE)</f>
        <v>#N/A</v>
      </c>
      <c r="C197" s="134" t="e">
        <f>VLOOKUP($A16,'Template IF 2'!$B$3:$HH$112,127,FALSE)</f>
        <v>#N/A</v>
      </c>
      <c r="D197" s="134" t="e">
        <f>VLOOKUP($A16,'Template IF 2'!$B$3:$HH$112,128,FALSE)</f>
        <v>#N/A</v>
      </c>
      <c r="E197" s="134" t="e">
        <f>VLOOKUP($A16,'Template IF 2'!$B$3:$HH$112,129,FALSE)</f>
        <v>#N/A</v>
      </c>
      <c r="F197" s="134" t="e">
        <f>VLOOKUP($A16,'Template IF 2'!$B$3:$HH$112,130,FALSE)</f>
        <v>#N/A</v>
      </c>
      <c r="G197" s="127"/>
      <c r="H197" s="134" t="e">
        <f>VLOOKUP($A16,'Template IF 2'!$B$3:$HH$112,131,FALSE)</f>
        <v>#N/A</v>
      </c>
      <c r="I197" s="134" t="e">
        <f>VLOOKUP($A16,'Template IF 2'!$B$3:$HH$112,132,FALSE)</f>
        <v>#N/A</v>
      </c>
      <c r="J197" s="134" t="e">
        <f>VLOOKUP($A16,'Template IF 2'!$B$3:$HH$112,133,FALSE)</f>
        <v>#N/A</v>
      </c>
      <c r="K197" s="134" t="e">
        <f>VLOOKUP($A16,'Template IF 2'!$B$3:$HH$112,134,FALSE)</f>
        <v>#N/A</v>
      </c>
      <c r="L197" s="127"/>
      <c r="N197"/>
      <c r="O197"/>
      <c r="V197" s="21"/>
    </row>
    <row r="198" spans="1:32" ht="14.1" customHeight="1" x14ac:dyDescent="0.2">
      <c r="A198" s="131" t="str">
        <f>A18</f>
        <v>None</v>
      </c>
      <c r="B198" s="134" t="e">
        <f>VLOOKUP($A18,'Template IF 2'!$B$3:$HH$112,126,FALSE)</f>
        <v>#N/A</v>
      </c>
      <c r="C198" s="134" t="e">
        <f>VLOOKUP($A18,'Template IF 2'!$B$3:$HH$112,127,FALSE)</f>
        <v>#N/A</v>
      </c>
      <c r="D198" s="134" t="e">
        <f>VLOOKUP($A18,'Template IF 2'!$B$3:$HH$112,128,FALSE)</f>
        <v>#N/A</v>
      </c>
      <c r="E198" s="134" t="e">
        <f>VLOOKUP($A18,'Template IF 2'!$B$3:$HH$112,129,FALSE)</f>
        <v>#N/A</v>
      </c>
      <c r="F198" s="134" t="e">
        <f>VLOOKUP($A18,'Template IF 2'!$B$3:$HH$112,130,FALSE)</f>
        <v>#N/A</v>
      </c>
      <c r="G198" s="127"/>
      <c r="H198" s="134" t="e">
        <f>VLOOKUP($A18,'Template IF 2'!$B$3:$HH$112,131,FALSE)</f>
        <v>#N/A</v>
      </c>
      <c r="I198" s="134" t="e">
        <f>VLOOKUP($A18,'Template IF 2'!$B$3:$HH$112,132,FALSE)</f>
        <v>#N/A</v>
      </c>
      <c r="J198" s="134" t="e">
        <f>VLOOKUP($A18,'Template IF 2'!$B$3:$HH$112,133,FALSE)</f>
        <v>#N/A</v>
      </c>
      <c r="K198" s="134" t="e">
        <f>VLOOKUP($A18,'Template IF 2'!$B$3:$HH$112,134,FALSE)</f>
        <v>#N/A</v>
      </c>
      <c r="L198" s="127"/>
      <c r="N198"/>
      <c r="O198"/>
      <c r="V198" s="21"/>
    </row>
    <row r="199" spans="1:32" ht="14.1" customHeight="1" x14ac:dyDescent="0.2">
      <c r="A199" s="131" t="str">
        <f>A20</f>
        <v>None</v>
      </c>
      <c r="B199" s="134" t="e">
        <f>VLOOKUP($A20,'Template IF 2'!$B$3:$HH$112,126,FALSE)</f>
        <v>#N/A</v>
      </c>
      <c r="C199" s="134" t="e">
        <f>VLOOKUP($A20,'Template IF 2'!$B$3:$HH$112,127,FALSE)</f>
        <v>#N/A</v>
      </c>
      <c r="D199" s="134" t="e">
        <f>VLOOKUP($A20,'Template IF 2'!$B$3:$HH$112,128,FALSE)</f>
        <v>#N/A</v>
      </c>
      <c r="E199" s="134" t="e">
        <f>VLOOKUP($A20,'Template IF 2'!$B$3:$HH$112,129,FALSE)</f>
        <v>#N/A</v>
      </c>
      <c r="F199" s="134" t="e">
        <f>VLOOKUP($A20,'Template IF 2'!$B$3:$HH$112,130,FALSE)</f>
        <v>#N/A</v>
      </c>
      <c r="G199" s="127"/>
      <c r="H199" s="134" t="e">
        <f>VLOOKUP($A20,'Template IF 2'!$B$3:$HH$112,131,FALSE)</f>
        <v>#N/A</v>
      </c>
      <c r="I199" s="134" t="e">
        <f>VLOOKUP($A20,'Template IF 2'!$B$3:$HH$112,132,FALSE)</f>
        <v>#N/A</v>
      </c>
      <c r="J199" s="134" t="e">
        <f>VLOOKUP($A20,'Template IF 2'!$B$3:$HH$112,133,FALSE)</f>
        <v>#N/A</v>
      </c>
      <c r="K199" s="134" t="e">
        <f>VLOOKUP($A20,'Template IF 2'!$B$3:$HH$112,134,FALSE)</f>
        <v>#N/A</v>
      </c>
      <c r="L199" s="127"/>
      <c r="N199"/>
      <c r="O199"/>
      <c r="P199"/>
      <c r="Q199"/>
      <c r="S199"/>
      <c r="T199"/>
      <c r="U199"/>
      <c r="V199"/>
      <c r="W199"/>
      <c r="X199"/>
      <c r="Y199"/>
      <c r="Z199"/>
      <c r="AA199"/>
      <c r="AB199"/>
      <c r="AC199"/>
      <c r="AD199"/>
      <c r="AE199"/>
      <c r="AF199"/>
    </row>
    <row r="200" spans="1:32" ht="14.1" customHeight="1" x14ac:dyDescent="0.2">
      <c r="A200" s="131" t="str">
        <f>A22</f>
        <v>None</v>
      </c>
      <c r="B200" s="134" t="e">
        <f>VLOOKUP($A22,'Template IF 2'!$B$3:$HH$112,126,FALSE)</f>
        <v>#N/A</v>
      </c>
      <c r="C200" s="134" t="e">
        <f>VLOOKUP($A22,'Template IF 2'!$B$3:$HH$112,127,FALSE)</f>
        <v>#N/A</v>
      </c>
      <c r="D200" s="134" t="e">
        <f>VLOOKUP($A22,'Template IF 2'!$B$3:$HH$112,128,FALSE)</f>
        <v>#N/A</v>
      </c>
      <c r="E200" s="134" t="e">
        <f>VLOOKUP($A22,'Template IF 2'!$B$3:$HH$112,129,FALSE)</f>
        <v>#N/A</v>
      </c>
      <c r="F200" s="134" t="e">
        <f>VLOOKUP($A22,'Template IF 2'!$B$3:$HH$112,130,FALSE)</f>
        <v>#N/A</v>
      </c>
      <c r="G200" s="127"/>
      <c r="H200" s="134" t="e">
        <f>VLOOKUP($A22,'Template IF 2'!$B$3:$HH$112,131,FALSE)</f>
        <v>#N/A</v>
      </c>
      <c r="I200" s="134" t="e">
        <f>VLOOKUP($A22,'Template IF 2'!$B$3:$HH$112,132,FALSE)</f>
        <v>#N/A</v>
      </c>
      <c r="J200" s="134" t="e">
        <f>VLOOKUP($A22,'Template IF 2'!$B$3:$HH$112,133,FALSE)</f>
        <v>#N/A</v>
      </c>
      <c r="K200" s="134" t="e">
        <f>VLOOKUP($A22,'Template IF 2'!$B$3:$HH$112,134,FALSE)</f>
        <v>#N/A</v>
      </c>
      <c r="L200" s="127"/>
      <c r="N200"/>
      <c r="O200"/>
      <c r="P200"/>
      <c r="Q200"/>
      <c r="S200"/>
      <c r="T200"/>
      <c r="U200"/>
      <c r="V200"/>
      <c r="W200"/>
      <c r="X200"/>
      <c r="Y200"/>
      <c r="Z200"/>
      <c r="AA200"/>
      <c r="AB200"/>
      <c r="AC200"/>
      <c r="AD200"/>
      <c r="AE200"/>
      <c r="AF200"/>
    </row>
    <row r="201" spans="1:32" ht="14.1" customHeight="1" x14ac:dyDescent="0.2">
      <c r="A201" s="131" t="str">
        <f>A24</f>
        <v>None</v>
      </c>
      <c r="B201" s="134" t="e">
        <f>VLOOKUP($A24,'Template IF 2'!$B$3:$HH$112,126,FALSE)</f>
        <v>#N/A</v>
      </c>
      <c r="C201" s="134" t="e">
        <f>VLOOKUP($A24,'Template IF 2'!$B$3:$HH$112,127,FALSE)</f>
        <v>#N/A</v>
      </c>
      <c r="D201" s="134" t="e">
        <f>VLOOKUP($A24,'Template IF 2'!$B$3:$HH$112,128,FALSE)</f>
        <v>#N/A</v>
      </c>
      <c r="E201" s="134" t="e">
        <f>VLOOKUP($A24,'Template IF 2'!$B$3:$HH$112,129,FALSE)</f>
        <v>#N/A</v>
      </c>
      <c r="F201" s="134" t="e">
        <f>VLOOKUP($A24,'Template IF 2'!$B$3:$HH$112,130,FALSE)</f>
        <v>#N/A</v>
      </c>
      <c r="G201" s="127"/>
      <c r="H201" s="134" t="e">
        <f>VLOOKUP($A24,'Template IF 2'!$B$3:$HH$112,131,FALSE)</f>
        <v>#N/A</v>
      </c>
      <c r="I201" s="134" t="e">
        <f>VLOOKUP($A24,'Template IF 2'!$B$3:$HH$112,132,FALSE)</f>
        <v>#N/A</v>
      </c>
      <c r="J201" s="134" t="e">
        <f>VLOOKUP($A24,'Template IF 2'!$B$3:$HH$112,133,FALSE)</f>
        <v>#N/A</v>
      </c>
      <c r="K201" s="134" t="e">
        <f>VLOOKUP($A24,'Template IF 2'!$B$3:$HH$112,134,FALSE)</f>
        <v>#N/A</v>
      </c>
      <c r="L201" s="127"/>
      <c r="N201"/>
      <c r="O201"/>
      <c r="P201"/>
      <c r="Q201"/>
      <c r="S201"/>
      <c r="T201"/>
      <c r="U201"/>
      <c r="V201"/>
      <c r="W201"/>
      <c r="X201"/>
      <c r="Y201"/>
      <c r="Z201"/>
      <c r="AA201"/>
      <c r="AB201"/>
      <c r="AC201"/>
      <c r="AD201"/>
      <c r="AE201"/>
      <c r="AF201"/>
    </row>
    <row r="202" spans="1:32" ht="14.1" customHeight="1" x14ac:dyDescent="0.2">
      <c r="A202" s="118" t="str">
        <f>A26</f>
        <v>None</v>
      </c>
      <c r="B202" s="149" t="e">
        <f>VLOOKUP($A26,'Template IF 2'!$B$3:$HH$112,126,FALSE)</f>
        <v>#N/A</v>
      </c>
      <c r="C202" s="149" t="e">
        <f>VLOOKUP($A26,'Template IF 2'!$B$3:$HH$112,127,FALSE)</f>
        <v>#N/A</v>
      </c>
      <c r="D202" s="149" t="e">
        <f>VLOOKUP($A26,'Template IF 2'!$B$3:$HH$112,128,FALSE)</f>
        <v>#N/A</v>
      </c>
      <c r="E202" s="149" t="e">
        <f>VLOOKUP($A26,'Template IF 2'!$B$3:$HH$112,129,FALSE)</f>
        <v>#N/A</v>
      </c>
      <c r="F202" s="149" t="e">
        <f>VLOOKUP($A26,'Template IF 2'!$B$3:$HH$112,130,FALSE)</f>
        <v>#N/A</v>
      </c>
      <c r="G202" s="127"/>
      <c r="H202" s="149" t="e">
        <f>VLOOKUP($A26,'Template IF 2'!$B$3:$HH$112,131,FALSE)</f>
        <v>#N/A</v>
      </c>
      <c r="I202" s="149" t="e">
        <f>VLOOKUP($A26,'Template IF 2'!$B$3:$HH$112,132,FALSE)</f>
        <v>#N/A</v>
      </c>
      <c r="J202" s="149" t="e">
        <f>VLOOKUP($A26,'Template IF 2'!$B$3:$HH$112,133,FALSE)</f>
        <v>#N/A</v>
      </c>
      <c r="K202" s="149" t="e">
        <f>VLOOKUP($A26,'Template IF 2'!$B$3:$HH$112,134,FALSE)</f>
        <v>#N/A</v>
      </c>
      <c r="L202" s="127"/>
      <c r="N202"/>
      <c r="O202"/>
      <c r="P202"/>
      <c r="Q202"/>
      <c r="S202"/>
      <c r="T202"/>
      <c r="U202"/>
      <c r="V202"/>
      <c r="W202"/>
      <c r="X202"/>
      <c r="Y202"/>
      <c r="Z202"/>
      <c r="AA202"/>
      <c r="AB202"/>
      <c r="AC202"/>
      <c r="AD202"/>
      <c r="AE202"/>
      <c r="AF202"/>
    </row>
    <row r="203" spans="1:32" x14ac:dyDescent="0.2">
      <c r="A203" s="117" t="s">
        <v>180</v>
      </c>
      <c r="B203" s="123"/>
      <c r="C203" s="123"/>
      <c r="D203" s="123"/>
      <c r="E203" s="123"/>
      <c r="F203" s="123"/>
      <c r="G203" s="119"/>
      <c r="H203" s="146" t="s">
        <v>173</v>
      </c>
      <c r="I203" s="119"/>
      <c r="J203" s="119"/>
      <c r="K203" s="119"/>
      <c r="L203" s="119"/>
      <c r="N203"/>
      <c r="O203"/>
      <c r="P203"/>
      <c r="Q203"/>
      <c r="S203"/>
      <c r="T203"/>
      <c r="U203"/>
      <c r="V203"/>
      <c r="W203"/>
      <c r="X203"/>
      <c r="Y203"/>
      <c r="Z203"/>
      <c r="AA203"/>
      <c r="AB203"/>
      <c r="AC203"/>
      <c r="AD203"/>
      <c r="AE203"/>
      <c r="AF203"/>
    </row>
    <row r="204" spans="1:32" ht="14.25" x14ac:dyDescent="0.2">
      <c r="A204" s="189" t="s">
        <v>499</v>
      </c>
      <c r="B204" s="189"/>
      <c r="C204" s="189"/>
      <c r="D204" s="189"/>
      <c r="E204" s="189"/>
      <c r="F204" s="189"/>
      <c r="G204" s="189"/>
      <c r="H204" s="189"/>
      <c r="I204" s="189"/>
      <c r="J204" s="189"/>
      <c r="K204" s="189"/>
      <c r="L204" s="189"/>
      <c r="N204"/>
      <c r="O204"/>
      <c r="P204"/>
      <c r="Q204"/>
      <c r="S204"/>
      <c r="T204"/>
      <c r="U204"/>
      <c r="V204"/>
      <c r="W204"/>
      <c r="X204"/>
      <c r="Y204"/>
      <c r="Z204"/>
      <c r="AA204"/>
      <c r="AB204"/>
      <c r="AC204"/>
      <c r="AD204"/>
      <c r="AE204"/>
      <c r="AF204"/>
    </row>
    <row r="205" spans="1:32" x14ac:dyDescent="0.2">
      <c r="A205" s="117"/>
      <c r="B205" s="119"/>
      <c r="C205" s="119"/>
      <c r="D205" s="119"/>
      <c r="E205" s="119"/>
      <c r="F205" s="119"/>
      <c r="G205" s="119"/>
      <c r="H205" s="119"/>
      <c r="I205" s="119"/>
      <c r="J205" s="119"/>
      <c r="K205" s="119"/>
      <c r="L205" s="119"/>
      <c r="N205"/>
      <c r="O205"/>
      <c r="P205"/>
      <c r="Q205"/>
      <c r="S205"/>
      <c r="T205"/>
      <c r="U205"/>
      <c r="V205"/>
      <c r="W205"/>
      <c r="X205"/>
      <c r="Y205"/>
      <c r="Z205"/>
      <c r="AA205"/>
      <c r="AB205"/>
      <c r="AC205"/>
      <c r="AD205"/>
      <c r="AE205"/>
      <c r="AF205"/>
    </row>
    <row r="206" spans="1:32" x14ac:dyDescent="0.2">
      <c r="A206" s="131"/>
      <c r="B206" s="187" t="s">
        <v>16</v>
      </c>
      <c r="C206" s="187"/>
      <c r="D206" s="187"/>
      <c r="E206" s="187"/>
      <c r="F206" s="157"/>
      <c r="G206" s="119"/>
      <c r="H206" s="187" t="s">
        <v>482</v>
      </c>
      <c r="I206" s="187"/>
      <c r="J206" s="187"/>
      <c r="K206" s="187"/>
      <c r="L206" s="187"/>
      <c r="N206"/>
      <c r="O206"/>
      <c r="P206"/>
      <c r="Q206"/>
      <c r="S206"/>
      <c r="T206"/>
      <c r="U206"/>
      <c r="V206"/>
      <c r="W206"/>
      <c r="X206"/>
      <c r="Y206"/>
      <c r="Z206"/>
      <c r="AA206"/>
      <c r="AB206"/>
      <c r="AC206"/>
      <c r="AD206"/>
      <c r="AE206"/>
      <c r="AF206"/>
    </row>
    <row r="207" spans="1:32" ht="24" x14ac:dyDescent="0.2">
      <c r="A207" s="118"/>
      <c r="B207" s="163" t="s">
        <v>455</v>
      </c>
      <c r="C207" s="163" t="s">
        <v>456</v>
      </c>
      <c r="D207" s="163" t="s">
        <v>457</v>
      </c>
      <c r="E207" s="163" t="s">
        <v>454</v>
      </c>
      <c r="F207" s="121"/>
      <c r="G207" s="120"/>
      <c r="H207" s="121" t="s">
        <v>32</v>
      </c>
      <c r="I207" s="121" t="s">
        <v>47</v>
      </c>
      <c r="J207" s="121" t="s">
        <v>44</v>
      </c>
      <c r="K207" s="121" t="s">
        <v>35</v>
      </c>
      <c r="L207" s="121" t="s">
        <v>57</v>
      </c>
      <c r="N207"/>
      <c r="O207"/>
      <c r="P207"/>
      <c r="Q207"/>
      <c r="S207"/>
      <c r="T207"/>
      <c r="U207"/>
      <c r="V207"/>
      <c r="W207"/>
      <c r="X207"/>
      <c r="Y207"/>
      <c r="Z207"/>
      <c r="AA207"/>
      <c r="AB207"/>
      <c r="AC207"/>
      <c r="AD207"/>
      <c r="AE207"/>
      <c r="AF207"/>
    </row>
    <row r="208" spans="1:32" ht="14.1" customHeight="1" x14ac:dyDescent="0.2">
      <c r="A208" s="131" t="s">
        <v>29</v>
      </c>
      <c r="B208" s="134">
        <f>'Template IF 2'!EF3</f>
        <v>182322</v>
      </c>
      <c r="C208" s="134">
        <f>'Template IF 2'!EG3</f>
        <v>187603</v>
      </c>
      <c r="D208" s="134">
        <f>'Template IF 2'!EH3</f>
        <v>187513</v>
      </c>
      <c r="E208" s="134">
        <f>'Template IF 2'!EI3</f>
        <v>191974</v>
      </c>
      <c r="F208" s="127"/>
      <c r="G208" s="127"/>
      <c r="H208" s="134">
        <f>'Template IF 2'!EJ3</f>
        <v>37701</v>
      </c>
      <c r="I208" s="134">
        <f>'Template IF 2'!EK3</f>
        <v>993</v>
      </c>
      <c r="J208" s="134">
        <f>'Template IF 2'!EL3</f>
        <v>463</v>
      </c>
      <c r="K208" s="134">
        <f>'Template IF 2'!EM3</f>
        <v>480</v>
      </c>
      <c r="L208" s="134">
        <f>'Template IF 2'!EN3</f>
        <v>333</v>
      </c>
      <c r="N208"/>
      <c r="O208"/>
      <c r="P208"/>
      <c r="Q208"/>
      <c r="S208"/>
      <c r="T208"/>
      <c r="U208"/>
      <c r="V208"/>
      <c r="W208"/>
      <c r="X208"/>
      <c r="Y208"/>
      <c r="Z208"/>
      <c r="AA208"/>
      <c r="AB208"/>
      <c r="AC208"/>
      <c r="AD208"/>
      <c r="AE208"/>
      <c r="AF208"/>
    </row>
    <row r="209" spans="1:32" ht="14.1" customHeight="1" x14ac:dyDescent="0.2">
      <c r="A209" s="131" t="str">
        <f>A16</f>
        <v>None</v>
      </c>
      <c r="B209" s="134" t="e">
        <f>VLOOKUP($A16,'Template IF 2'!$B$3:$HH$112,135,FALSE)</f>
        <v>#N/A</v>
      </c>
      <c r="C209" s="134" t="e">
        <f>VLOOKUP($A16,'Template IF 2'!$B$3:$HH$112,136,FALSE)</f>
        <v>#N/A</v>
      </c>
      <c r="D209" s="134" t="e">
        <f>VLOOKUP($A16,'Template IF 2'!$B$3:$HH$112,137,FALSE)</f>
        <v>#N/A</v>
      </c>
      <c r="E209" s="134" t="e">
        <f>VLOOKUP($A16,'Template IF 2'!$B$3:$HH$112,138,FALSE)</f>
        <v>#N/A</v>
      </c>
      <c r="F209" s="127"/>
      <c r="G209" s="127"/>
      <c r="H209" s="134" t="e">
        <f>VLOOKUP($A16,'Template IF 2'!$B$3:$HH$112,139,FALSE)</f>
        <v>#N/A</v>
      </c>
      <c r="I209" s="134" t="e">
        <f>VLOOKUP($A16,'Template IF 2'!$B$3:$HH$112,140,FALSE)</f>
        <v>#N/A</v>
      </c>
      <c r="J209" s="134" t="e">
        <f>VLOOKUP($A16,'Template IF 2'!$B$3:$HH$112,141,FALSE)</f>
        <v>#N/A</v>
      </c>
      <c r="K209" s="134" t="e">
        <f>VLOOKUP($A16,'Template IF 2'!$B$3:$HH$112,142,FALSE)</f>
        <v>#N/A</v>
      </c>
      <c r="L209" s="134" t="e">
        <f>VLOOKUP($A16,'Template IF 2'!$B$3:$HH$112,143,FALSE)</f>
        <v>#N/A</v>
      </c>
      <c r="N209"/>
      <c r="O209"/>
      <c r="P209"/>
      <c r="Q209"/>
      <c r="S209"/>
      <c r="T209"/>
      <c r="U209"/>
      <c r="V209"/>
      <c r="W209"/>
      <c r="X209"/>
      <c r="Y209"/>
      <c r="Z209"/>
      <c r="AA209"/>
      <c r="AB209"/>
      <c r="AC209"/>
      <c r="AD209"/>
      <c r="AE209"/>
      <c r="AF209"/>
    </row>
    <row r="210" spans="1:32" ht="14.1" customHeight="1" x14ac:dyDescent="0.2">
      <c r="A210" s="131" t="str">
        <f>A18</f>
        <v>None</v>
      </c>
      <c r="B210" s="134" t="e">
        <f>VLOOKUP($A18,'Template IF 2'!$B$3:$HH$112,135,FALSE)</f>
        <v>#N/A</v>
      </c>
      <c r="C210" s="134" t="e">
        <f>VLOOKUP($A18,'Template IF 2'!$B$3:$HH$112,136,FALSE)</f>
        <v>#N/A</v>
      </c>
      <c r="D210" s="134" t="e">
        <f>VLOOKUP($A18,'Template IF 2'!$B$3:$HH$112,137,FALSE)</f>
        <v>#N/A</v>
      </c>
      <c r="E210" s="134" t="e">
        <f>VLOOKUP($A18,'Template IF 2'!$B$3:$HH$112,138,FALSE)</f>
        <v>#N/A</v>
      </c>
      <c r="F210" s="127"/>
      <c r="G210" s="127"/>
      <c r="H210" s="134" t="e">
        <f>VLOOKUP($A18,'Template IF 2'!$B$3:$HH$112,139,FALSE)</f>
        <v>#N/A</v>
      </c>
      <c r="I210" s="134" t="e">
        <f>VLOOKUP($A18,'Template IF 2'!$B$3:$HH$112,140,FALSE)</f>
        <v>#N/A</v>
      </c>
      <c r="J210" s="134" t="e">
        <f>VLOOKUP($A18,'Template IF 2'!$B$3:$HH$112,141,FALSE)</f>
        <v>#N/A</v>
      </c>
      <c r="K210" s="134" t="e">
        <f>VLOOKUP($A18,'Template IF 2'!$B$3:$HH$112,142,FALSE)</f>
        <v>#N/A</v>
      </c>
      <c r="L210" s="134" t="e">
        <f>VLOOKUP($A18,'Template IF 2'!$B$3:$HH$112,143,FALSE)</f>
        <v>#N/A</v>
      </c>
      <c r="N210"/>
      <c r="O210"/>
      <c r="P210"/>
      <c r="Q210"/>
      <c r="S210"/>
      <c r="T210"/>
      <c r="U210"/>
      <c r="V210"/>
      <c r="W210"/>
      <c r="X210"/>
      <c r="Y210"/>
      <c r="Z210"/>
      <c r="AA210"/>
      <c r="AB210"/>
      <c r="AC210"/>
      <c r="AD210"/>
      <c r="AE210"/>
      <c r="AF210"/>
    </row>
    <row r="211" spans="1:32" ht="14.1" customHeight="1" x14ac:dyDescent="0.2">
      <c r="A211" s="131" t="str">
        <f>A20</f>
        <v>None</v>
      </c>
      <c r="B211" s="134" t="e">
        <f>VLOOKUP($A20,'Template IF 2'!$B$3:$HH$112,135,FALSE)</f>
        <v>#N/A</v>
      </c>
      <c r="C211" s="134" t="e">
        <f>VLOOKUP($A20,'Template IF 2'!$B$3:$HH$112,136,FALSE)</f>
        <v>#N/A</v>
      </c>
      <c r="D211" s="134" t="e">
        <f>VLOOKUP($A20,'Template IF 2'!$B$3:$HH$112,137,FALSE)</f>
        <v>#N/A</v>
      </c>
      <c r="E211" s="134" t="e">
        <f>VLOOKUP($A20,'Template IF 2'!$B$3:$HH$112,138,FALSE)</f>
        <v>#N/A</v>
      </c>
      <c r="F211" s="127"/>
      <c r="G211" s="127"/>
      <c r="H211" s="134" t="e">
        <f>VLOOKUP($A20,'Template IF 2'!$B$3:$HH$112,139,FALSE)</f>
        <v>#N/A</v>
      </c>
      <c r="I211" s="134" t="e">
        <f>VLOOKUP($A20,'Template IF 2'!$B$3:$HH$112,140,FALSE)</f>
        <v>#N/A</v>
      </c>
      <c r="J211" s="134" t="e">
        <f>VLOOKUP($A20,'Template IF 2'!$B$3:$HH$112,141,FALSE)</f>
        <v>#N/A</v>
      </c>
      <c r="K211" s="134" t="e">
        <f>VLOOKUP($A20,'Template IF 2'!$B$3:$HH$112,142,FALSE)</f>
        <v>#N/A</v>
      </c>
      <c r="L211" s="134" t="e">
        <f>VLOOKUP($A20,'Template IF 2'!$B$3:$HH$112,143,FALSE)</f>
        <v>#N/A</v>
      </c>
      <c r="N211"/>
      <c r="O211"/>
      <c r="P211"/>
      <c r="Q211"/>
      <c r="S211"/>
      <c r="T211"/>
      <c r="U211"/>
      <c r="V211"/>
      <c r="W211"/>
      <c r="X211"/>
      <c r="Y211"/>
      <c r="Z211"/>
      <c r="AA211"/>
      <c r="AB211"/>
      <c r="AC211"/>
      <c r="AD211"/>
      <c r="AE211"/>
      <c r="AF211"/>
    </row>
    <row r="212" spans="1:32" ht="14.1" customHeight="1" x14ac:dyDescent="0.2">
      <c r="A212" s="131" t="str">
        <f>A22</f>
        <v>None</v>
      </c>
      <c r="B212" s="134" t="e">
        <f>VLOOKUP($A22,'Template IF 2'!$B$3:$HH$112,135,FALSE)</f>
        <v>#N/A</v>
      </c>
      <c r="C212" s="134" t="e">
        <f>VLOOKUP($A22,'Template IF 2'!$B$3:$HH$112,136,FALSE)</f>
        <v>#N/A</v>
      </c>
      <c r="D212" s="134" t="e">
        <f>VLOOKUP($A22,'Template IF 2'!$B$3:$HH$112,137,FALSE)</f>
        <v>#N/A</v>
      </c>
      <c r="E212" s="134" t="e">
        <f>VLOOKUP($A22,'Template IF 2'!$B$3:$HH$112,138,FALSE)</f>
        <v>#N/A</v>
      </c>
      <c r="F212" s="127"/>
      <c r="G212" s="127"/>
      <c r="H212" s="134" t="e">
        <f>VLOOKUP($A22,'Template IF 2'!$B$3:$HH$112,139,FALSE)</f>
        <v>#N/A</v>
      </c>
      <c r="I212" s="134" t="e">
        <f>VLOOKUP($A22,'Template IF 2'!$B$3:$HH$112,140,FALSE)</f>
        <v>#N/A</v>
      </c>
      <c r="J212" s="134" t="e">
        <f>VLOOKUP($A22,'Template IF 2'!$B$3:$HH$112,141,FALSE)</f>
        <v>#N/A</v>
      </c>
      <c r="K212" s="134" t="e">
        <f>VLOOKUP($A22,'Template IF 2'!$B$3:$HH$112,142,FALSE)</f>
        <v>#N/A</v>
      </c>
      <c r="L212" s="134" t="e">
        <f>VLOOKUP($A22,'Template IF 2'!$B$3:$HH$112,143,FALSE)</f>
        <v>#N/A</v>
      </c>
      <c r="N212"/>
      <c r="O212"/>
      <c r="P212"/>
      <c r="Q212"/>
      <c r="S212"/>
      <c r="T212"/>
      <c r="U212"/>
      <c r="V212"/>
      <c r="W212"/>
      <c r="X212"/>
      <c r="Y212"/>
      <c r="Z212"/>
      <c r="AA212"/>
      <c r="AB212"/>
      <c r="AC212"/>
      <c r="AD212"/>
      <c r="AE212"/>
      <c r="AF212"/>
    </row>
    <row r="213" spans="1:32" ht="14.1" customHeight="1" x14ac:dyDescent="0.2">
      <c r="A213" s="131" t="str">
        <f>A24</f>
        <v>None</v>
      </c>
      <c r="B213" s="134" t="e">
        <f>VLOOKUP($A24,'Template IF 2'!$B$3:$HH$112,135,FALSE)</f>
        <v>#N/A</v>
      </c>
      <c r="C213" s="134" t="e">
        <f>VLOOKUP($A24,'Template IF 2'!$B$3:$HH$112,136,FALSE)</f>
        <v>#N/A</v>
      </c>
      <c r="D213" s="134" t="e">
        <f>VLOOKUP($A24,'Template IF 2'!$B$3:$HH$112,137,FALSE)</f>
        <v>#N/A</v>
      </c>
      <c r="E213" s="134" t="e">
        <f>VLOOKUP($A24,'Template IF 2'!$B$3:$HH$112,138,FALSE)</f>
        <v>#N/A</v>
      </c>
      <c r="F213" s="127"/>
      <c r="G213" s="127"/>
      <c r="H213" s="134" t="e">
        <f>VLOOKUP($A24,'Template IF 2'!$B$3:$HH$112,139,FALSE)</f>
        <v>#N/A</v>
      </c>
      <c r="I213" s="134" t="e">
        <f>VLOOKUP($A24,'Template IF 2'!$B$3:$HH$112,140,FALSE)</f>
        <v>#N/A</v>
      </c>
      <c r="J213" s="134" t="e">
        <f>VLOOKUP($A24,'Template IF 2'!$B$3:$HH$112,141,FALSE)</f>
        <v>#N/A</v>
      </c>
      <c r="K213" s="134" t="e">
        <f>VLOOKUP($A24,'Template IF 2'!$B$3:$HH$112,142,FALSE)</f>
        <v>#N/A</v>
      </c>
      <c r="L213" s="134" t="e">
        <f>VLOOKUP($A24,'Template IF 2'!$B$3:$HH$112,143,FALSE)</f>
        <v>#N/A</v>
      </c>
      <c r="N213"/>
      <c r="O213"/>
      <c r="P213"/>
      <c r="Q213"/>
      <c r="S213"/>
      <c r="T213"/>
      <c r="U213"/>
      <c r="V213"/>
      <c r="W213"/>
      <c r="X213"/>
      <c r="Y213"/>
      <c r="Z213"/>
      <c r="AA213"/>
      <c r="AB213"/>
      <c r="AC213"/>
      <c r="AD213"/>
      <c r="AE213"/>
      <c r="AF213"/>
    </row>
    <row r="214" spans="1:32" ht="14.1" customHeight="1" x14ac:dyDescent="0.2">
      <c r="A214" s="118" t="str">
        <f>A26</f>
        <v>None</v>
      </c>
      <c r="B214" s="149" t="e">
        <f>VLOOKUP($A26,'Template IF 2'!$B$3:$HH$112,135,FALSE)</f>
        <v>#N/A</v>
      </c>
      <c r="C214" s="149" t="e">
        <f>VLOOKUP($A26,'Template IF 2'!$B$3:$HH$112,136,FALSE)</f>
        <v>#N/A</v>
      </c>
      <c r="D214" s="149" t="e">
        <f>VLOOKUP($A26,'Template IF 2'!$B$3:$HH$112,137,FALSE)</f>
        <v>#N/A</v>
      </c>
      <c r="E214" s="149" t="e">
        <f>VLOOKUP($A26,'Template IF 2'!$B$3:$HH$112,138,FALSE)</f>
        <v>#N/A</v>
      </c>
      <c r="F214" s="138"/>
      <c r="G214" s="138"/>
      <c r="H214" s="149" t="e">
        <f>VLOOKUP($A26,'Template IF 2'!$B$3:$HH$112,139,FALSE)</f>
        <v>#N/A</v>
      </c>
      <c r="I214" s="149" t="e">
        <f>VLOOKUP($A26,'Template IF 2'!$B$3:$HH$112,140,FALSE)</f>
        <v>#N/A</v>
      </c>
      <c r="J214" s="149" t="e">
        <f>VLOOKUP($A26,'Template IF 2'!$B$3:$HH$112,141,FALSE)</f>
        <v>#N/A</v>
      </c>
      <c r="K214" s="149" t="e">
        <f>VLOOKUP($A26,'Template IF 2'!$B$3:$HH$112,142,FALSE)</f>
        <v>#N/A</v>
      </c>
      <c r="L214" s="149" t="e">
        <f>VLOOKUP($A26,'Template IF 2'!$B$3:$HH$112,143,FALSE)</f>
        <v>#N/A</v>
      </c>
      <c r="N214"/>
      <c r="O214"/>
      <c r="P214"/>
      <c r="Q214"/>
      <c r="S214"/>
      <c r="T214"/>
      <c r="U214"/>
      <c r="V214"/>
      <c r="W214"/>
      <c r="X214"/>
      <c r="Y214"/>
      <c r="Z214"/>
      <c r="AA214"/>
      <c r="AB214"/>
      <c r="AC214"/>
      <c r="AD214"/>
      <c r="AE214"/>
      <c r="AF214"/>
    </row>
    <row r="215" spans="1:32" x14ac:dyDescent="0.2">
      <c r="A215" s="131"/>
      <c r="B215" s="164"/>
      <c r="C215" s="164"/>
      <c r="D215" s="165"/>
      <c r="E215" s="165"/>
      <c r="F215" s="164"/>
      <c r="G215" s="119"/>
      <c r="H215" s="136"/>
      <c r="I215" s="136"/>
      <c r="J215" s="136"/>
      <c r="K215" s="136"/>
      <c r="L215" s="136"/>
      <c r="N215"/>
      <c r="O215"/>
      <c r="P215"/>
      <c r="Q215"/>
      <c r="S215"/>
      <c r="T215"/>
      <c r="U215"/>
      <c r="V215"/>
      <c r="W215"/>
      <c r="X215"/>
      <c r="Y215"/>
      <c r="Z215"/>
      <c r="AA215"/>
      <c r="AB215"/>
      <c r="AC215"/>
      <c r="AD215"/>
      <c r="AE215"/>
      <c r="AF215"/>
    </row>
    <row r="216" spans="1:32" x14ac:dyDescent="0.2">
      <c r="A216" s="131"/>
      <c r="B216" s="134"/>
      <c r="C216" s="134"/>
      <c r="D216" s="134"/>
      <c r="E216" s="134"/>
      <c r="F216" s="28"/>
      <c r="G216" s="119"/>
      <c r="H216" s="119"/>
      <c r="I216" s="119"/>
      <c r="J216" s="119"/>
      <c r="K216" s="119"/>
      <c r="L216" s="119"/>
      <c r="N216"/>
      <c r="O216"/>
      <c r="P216"/>
      <c r="Q216"/>
      <c r="S216"/>
      <c r="T216"/>
      <c r="U216"/>
      <c r="V216"/>
      <c r="W216"/>
      <c r="X216"/>
      <c r="Y216"/>
      <c r="Z216"/>
      <c r="AA216"/>
      <c r="AB216"/>
      <c r="AC216"/>
      <c r="AD216"/>
      <c r="AE216"/>
      <c r="AF216"/>
    </row>
    <row r="217" spans="1:32" x14ac:dyDescent="0.2">
      <c r="A217" s="131"/>
      <c r="B217" s="187" t="s">
        <v>156</v>
      </c>
      <c r="C217" s="187"/>
      <c r="D217" s="187"/>
      <c r="E217" s="187"/>
      <c r="F217" s="157"/>
      <c r="G217" s="119"/>
      <c r="H217" s="187" t="s">
        <v>55</v>
      </c>
      <c r="I217" s="187"/>
      <c r="J217" s="187"/>
      <c r="K217" s="187"/>
      <c r="L217" s="157"/>
      <c r="O217"/>
      <c r="P217"/>
      <c r="Q217"/>
      <c r="S217"/>
      <c r="T217"/>
      <c r="U217"/>
      <c r="V217"/>
      <c r="W217"/>
      <c r="X217"/>
      <c r="Y217"/>
      <c r="Z217"/>
      <c r="AA217"/>
      <c r="AB217"/>
      <c r="AC217"/>
      <c r="AD217"/>
      <c r="AE217"/>
      <c r="AF217"/>
    </row>
    <row r="218" spans="1:32" x14ac:dyDescent="0.2">
      <c r="A218" s="118"/>
      <c r="B218" s="158" t="s">
        <v>455</v>
      </c>
      <c r="C218" s="158" t="s">
        <v>456</v>
      </c>
      <c r="D218" s="158" t="s">
        <v>457</v>
      </c>
      <c r="E218" s="158" t="s">
        <v>454</v>
      </c>
      <c r="F218" s="120"/>
      <c r="G218" s="120"/>
      <c r="H218" s="158" t="s">
        <v>455</v>
      </c>
      <c r="I218" s="158" t="s">
        <v>456</v>
      </c>
      <c r="J218" s="158" t="s">
        <v>457</v>
      </c>
      <c r="K218" s="158" t="s">
        <v>454</v>
      </c>
      <c r="L218" s="127"/>
      <c r="O218"/>
      <c r="P218"/>
      <c r="Q218"/>
      <c r="S218"/>
      <c r="T218"/>
      <c r="U218"/>
      <c r="V218"/>
      <c r="W218"/>
      <c r="X218"/>
      <c r="Y218"/>
      <c r="Z218"/>
      <c r="AA218"/>
      <c r="AB218"/>
      <c r="AC218"/>
      <c r="AD218"/>
      <c r="AE218"/>
      <c r="AF218"/>
    </row>
    <row r="219" spans="1:32" ht="14.1" customHeight="1" x14ac:dyDescent="0.2">
      <c r="A219" s="131" t="s">
        <v>29</v>
      </c>
      <c r="B219" s="166">
        <f>'Template IF 2'!EO3</f>
        <v>798.08461792818423</v>
      </c>
      <c r="C219" s="132">
        <f>'Template IF 2'!EP3</f>
        <v>778.74298115148338</v>
      </c>
      <c r="D219" s="132">
        <f>'Template IF 2'!EQ3</f>
        <v>735.92364946670034</v>
      </c>
      <c r="E219" s="132">
        <f>'Template IF 2'!ER3</f>
        <v>729.02403044330583</v>
      </c>
      <c r="F219" s="127"/>
      <c r="G219" s="127"/>
      <c r="H219" s="132">
        <f>'Template IF 2'!ES3</f>
        <v>809.24057080447051</v>
      </c>
      <c r="I219" s="132">
        <f>'Template IF 2'!ET3</f>
        <v>769.43265499160134</v>
      </c>
      <c r="J219" s="132">
        <f>'Template IF 2'!EU3</f>
        <v>699.27117514248425</v>
      </c>
      <c r="K219" s="132">
        <f>'Template IF 2'!EV3</f>
        <v>659.84203314950912</v>
      </c>
      <c r="L219" s="127"/>
      <c r="O219"/>
      <c r="P219"/>
      <c r="Q219"/>
      <c r="S219"/>
      <c r="T219"/>
      <c r="U219"/>
      <c r="V219"/>
      <c r="W219"/>
      <c r="X219"/>
      <c r="Y219"/>
      <c r="Z219"/>
      <c r="AA219"/>
      <c r="AB219"/>
      <c r="AC219"/>
      <c r="AD219"/>
      <c r="AE219"/>
      <c r="AF219"/>
    </row>
    <row r="220" spans="1:32" ht="14.1" customHeight="1" x14ac:dyDescent="0.2">
      <c r="A220" s="131" t="str">
        <f>A16</f>
        <v>None</v>
      </c>
      <c r="B220" s="135" t="e">
        <f>VLOOKUP($A16,'Template IF 2'!$B$3:$HH$112,144,FALSE)</f>
        <v>#N/A</v>
      </c>
      <c r="C220" s="132" t="e">
        <f>VLOOKUP($A16,'Template IF 2'!$B$3:$HH$112,145,FALSE)</f>
        <v>#N/A</v>
      </c>
      <c r="D220" s="132" t="e">
        <f>VLOOKUP($A16,'Template IF 2'!$B$3:$HH$112,146,FALSE)</f>
        <v>#N/A</v>
      </c>
      <c r="E220" s="132" t="e">
        <f>VLOOKUP($A16,'Template IF 2'!$B$3:$HH$112,147,FALSE)</f>
        <v>#N/A</v>
      </c>
      <c r="F220" s="127"/>
      <c r="G220" s="127"/>
      <c r="H220" s="132" t="e">
        <f>VLOOKUP($A16,'Template IF 2'!$B$3:$HH$112,148,FALSE)</f>
        <v>#N/A</v>
      </c>
      <c r="I220" s="132" t="e">
        <f>VLOOKUP($A16,'Template IF 2'!$B$3:$HH$112,149,FALSE)</f>
        <v>#N/A</v>
      </c>
      <c r="J220" s="132" t="e">
        <f>VLOOKUP($A16,'Template IF 2'!$B$3:$HH$112,150,FALSE)</f>
        <v>#N/A</v>
      </c>
      <c r="K220" s="132" t="e">
        <f>VLOOKUP($A16,'Template IF 2'!$B$3:$HH$112,151,FALSE)</f>
        <v>#N/A</v>
      </c>
      <c r="L220" s="127"/>
      <c r="O220"/>
      <c r="P220"/>
      <c r="Q220"/>
      <c r="S220"/>
      <c r="T220"/>
      <c r="U220"/>
      <c r="V220"/>
      <c r="W220"/>
      <c r="X220"/>
      <c r="Y220"/>
      <c r="Z220"/>
      <c r="AA220"/>
      <c r="AB220"/>
      <c r="AC220"/>
      <c r="AD220"/>
      <c r="AE220"/>
      <c r="AF220"/>
    </row>
    <row r="221" spans="1:32" ht="14.1" customHeight="1" x14ac:dyDescent="0.2">
      <c r="A221" s="131" t="str">
        <f>A18</f>
        <v>None</v>
      </c>
      <c r="B221" s="135" t="e">
        <f>VLOOKUP($A18,'Template IF 2'!$B$3:$HH$112,144,FALSE)</f>
        <v>#N/A</v>
      </c>
      <c r="C221" s="132" t="e">
        <f>VLOOKUP($A18,'Template IF 2'!$B$3:$HH$112,145,FALSE)</f>
        <v>#N/A</v>
      </c>
      <c r="D221" s="132" t="e">
        <f>VLOOKUP($A18,'Template IF 2'!$B$3:$HH$112,146,FALSE)</f>
        <v>#N/A</v>
      </c>
      <c r="E221" s="132" t="e">
        <f>VLOOKUP($A18,'Template IF 2'!$B$3:$HH$112,147,FALSE)</f>
        <v>#N/A</v>
      </c>
      <c r="F221" s="127"/>
      <c r="G221" s="127"/>
      <c r="H221" s="132" t="e">
        <f>VLOOKUP($A18,'Template IF 2'!$B$3:$HH$112,148,FALSE)</f>
        <v>#N/A</v>
      </c>
      <c r="I221" s="132" t="e">
        <f>VLOOKUP($A18,'Template IF 2'!$B$3:$HH$112,149,FALSE)</f>
        <v>#N/A</v>
      </c>
      <c r="J221" s="132" t="e">
        <f>VLOOKUP($A18,'Template IF 2'!$B$3:$HH$112,150,FALSE)</f>
        <v>#N/A</v>
      </c>
      <c r="K221" s="132" t="e">
        <f>VLOOKUP($A18,'Template IF 2'!$B$3:$HH$112,151,FALSE)</f>
        <v>#N/A</v>
      </c>
      <c r="L221" s="127"/>
      <c r="O221"/>
      <c r="P221"/>
      <c r="Q221"/>
      <c r="S221"/>
      <c r="T221"/>
      <c r="U221"/>
      <c r="V221"/>
      <c r="W221"/>
      <c r="X221"/>
      <c r="Y221"/>
      <c r="Z221"/>
      <c r="AA221"/>
      <c r="AB221"/>
      <c r="AC221"/>
      <c r="AD221"/>
      <c r="AE221"/>
      <c r="AF221"/>
    </row>
    <row r="222" spans="1:32" ht="14.1" customHeight="1" x14ac:dyDescent="0.2">
      <c r="A222" s="131" t="str">
        <f>A20</f>
        <v>None</v>
      </c>
      <c r="B222" s="135" t="e">
        <f>VLOOKUP($A20,'Template IF 2'!$B$3:$HH$112,144,FALSE)</f>
        <v>#N/A</v>
      </c>
      <c r="C222" s="132" t="e">
        <f>VLOOKUP($A20,'Template IF 2'!$B$3:$HH$112,145,FALSE)</f>
        <v>#N/A</v>
      </c>
      <c r="D222" s="132" t="e">
        <f>VLOOKUP($A20,'Template IF 2'!$B$3:$HH$112,146,FALSE)</f>
        <v>#N/A</v>
      </c>
      <c r="E222" s="132" t="e">
        <f>VLOOKUP($A20,'Template IF 2'!$B$3:$HH$112,147,FALSE)</f>
        <v>#N/A</v>
      </c>
      <c r="F222" s="127"/>
      <c r="G222" s="127"/>
      <c r="H222" s="132" t="e">
        <f>VLOOKUP($A20,'Template IF 2'!$B$3:$HH$112,148,FALSE)</f>
        <v>#N/A</v>
      </c>
      <c r="I222" s="132" t="e">
        <f>VLOOKUP($A20,'Template IF 2'!$B$3:$HH$112,149,FALSE)</f>
        <v>#N/A</v>
      </c>
      <c r="J222" s="132" t="e">
        <f>VLOOKUP($A20,'Template IF 2'!$B$3:$HH$112,150,FALSE)</f>
        <v>#N/A</v>
      </c>
      <c r="K222" s="132" t="e">
        <f>VLOOKUP($A20,'Template IF 2'!$B$3:$HH$112,151,FALSE)</f>
        <v>#N/A</v>
      </c>
      <c r="L222" s="127"/>
      <c r="O222"/>
      <c r="P222"/>
      <c r="Q222"/>
      <c r="S222"/>
      <c r="T222"/>
      <c r="U222"/>
      <c r="V222"/>
      <c r="W222"/>
      <c r="X222"/>
      <c r="Y222"/>
      <c r="Z222"/>
      <c r="AA222"/>
      <c r="AB222"/>
      <c r="AC222"/>
      <c r="AD222"/>
      <c r="AE222"/>
      <c r="AF222"/>
    </row>
    <row r="223" spans="1:32" ht="14.1" customHeight="1" x14ac:dyDescent="0.2">
      <c r="A223" s="131" t="str">
        <f>A22</f>
        <v>None</v>
      </c>
      <c r="B223" s="135" t="e">
        <f>VLOOKUP($A22,'Template IF 2'!$B$3:$HH$112,144,FALSE)</f>
        <v>#N/A</v>
      </c>
      <c r="C223" s="132" t="e">
        <f>VLOOKUP($A22,'Template IF 2'!$B$3:$HH$112,145,FALSE)</f>
        <v>#N/A</v>
      </c>
      <c r="D223" s="132" t="e">
        <f>VLOOKUP($A22,'Template IF 2'!$B$3:$HH$112,146,FALSE)</f>
        <v>#N/A</v>
      </c>
      <c r="E223" s="132" t="e">
        <f>VLOOKUP($A22,'Template IF 2'!$B$3:$HH$112,147,FALSE)</f>
        <v>#N/A</v>
      </c>
      <c r="F223" s="127"/>
      <c r="G223" s="127"/>
      <c r="H223" s="132" t="e">
        <f>VLOOKUP($A22,'Template IF 2'!$B$3:$HH$112,148,FALSE)</f>
        <v>#N/A</v>
      </c>
      <c r="I223" s="132" t="e">
        <f>VLOOKUP($A22,'Template IF 2'!$B$3:$HH$112,149,FALSE)</f>
        <v>#N/A</v>
      </c>
      <c r="J223" s="132" t="e">
        <f>VLOOKUP($A22,'Template IF 2'!$B$3:$HH$112,150,FALSE)</f>
        <v>#N/A</v>
      </c>
      <c r="K223" s="132" t="e">
        <f>VLOOKUP($A22,'Template IF 2'!$B$3:$HH$112,151,FALSE)</f>
        <v>#N/A</v>
      </c>
      <c r="L223" s="127"/>
      <c r="O223"/>
      <c r="P223"/>
      <c r="Q223"/>
      <c r="S223"/>
      <c r="T223"/>
      <c r="U223"/>
      <c r="V223"/>
      <c r="W223"/>
      <c r="X223"/>
      <c r="Y223"/>
      <c r="Z223"/>
      <c r="AA223"/>
      <c r="AB223"/>
      <c r="AC223"/>
      <c r="AD223"/>
      <c r="AE223"/>
      <c r="AF223"/>
    </row>
    <row r="224" spans="1:32" ht="14.1" customHeight="1" x14ac:dyDescent="0.2">
      <c r="A224" s="131" t="str">
        <f>A24</f>
        <v>None</v>
      </c>
      <c r="B224" s="135" t="e">
        <f>VLOOKUP($A24,'Template IF 2'!$B$3:$HH$112,144,FALSE)</f>
        <v>#N/A</v>
      </c>
      <c r="C224" s="132" t="e">
        <f>VLOOKUP($A24,'Template IF 2'!$B$3:$HH$112,145,FALSE)</f>
        <v>#N/A</v>
      </c>
      <c r="D224" s="132" t="e">
        <f>VLOOKUP($A24,'Template IF 2'!$B$3:$HH$112,146,FALSE)</f>
        <v>#N/A</v>
      </c>
      <c r="E224" s="132" t="e">
        <f>VLOOKUP($A24,'Template IF 2'!$B$3:$HH$112,147,FALSE)</f>
        <v>#N/A</v>
      </c>
      <c r="F224" s="127"/>
      <c r="G224" s="127"/>
      <c r="H224" s="132" t="e">
        <f>VLOOKUP($A24,'Template IF 2'!$B$3:$HH$112,148,FALSE)</f>
        <v>#N/A</v>
      </c>
      <c r="I224" s="132" t="e">
        <f>VLOOKUP($A24,'Template IF 2'!$B$3:$HH$112,149,FALSE)</f>
        <v>#N/A</v>
      </c>
      <c r="J224" s="132" t="e">
        <f>VLOOKUP($A24,'Template IF 2'!$B$3:$HH$112,150,FALSE)</f>
        <v>#N/A</v>
      </c>
      <c r="K224" s="132" t="e">
        <f>VLOOKUP($A24,'Template IF 2'!$B$3:$HH$112,151,FALSE)</f>
        <v>#N/A</v>
      </c>
      <c r="L224" s="127"/>
      <c r="O224"/>
      <c r="P224"/>
      <c r="Q224"/>
      <c r="S224"/>
      <c r="T224"/>
      <c r="U224"/>
      <c r="V224"/>
      <c r="W224"/>
      <c r="X224"/>
      <c r="Y224"/>
      <c r="Z224"/>
      <c r="AA224"/>
      <c r="AB224"/>
      <c r="AC224"/>
      <c r="AD224"/>
      <c r="AE224"/>
      <c r="AF224"/>
    </row>
    <row r="225" spans="1:32" ht="14.1" customHeight="1" x14ac:dyDescent="0.2">
      <c r="A225" s="118" t="str">
        <f>A26</f>
        <v>None</v>
      </c>
      <c r="B225" s="137" t="e">
        <f>VLOOKUP($A26,'Template IF 2'!$B$3:$HH$112,144,FALSE)</f>
        <v>#N/A</v>
      </c>
      <c r="C225" s="167" t="e">
        <f>VLOOKUP($A26,'Template IF 2'!$B$3:$HH$112,145,FALSE)</f>
        <v>#N/A</v>
      </c>
      <c r="D225" s="167" t="e">
        <f>VLOOKUP($A26,'Template IF 2'!$B$3:$HH$112,146,FALSE)</f>
        <v>#N/A</v>
      </c>
      <c r="E225" s="167" t="e">
        <f>VLOOKUP($A26,'Template IF 2'!$B$3:$HH$112,147,FALSE)</f>
        <v>#N/A</v>
      </c>
      <c r="F225" s="138"/>
      <c r="G225" s="138"/>
      <c r="H225" s="167" t="e">
        <f>VLOOKUP($A26,'Template IF 2'!$B$3:$HH$112,148,FALSE)</f>
        <v>#N/A</v>
      </c>
      <c r="I225" s="167" t="e">
        <f>VLOOKUP($A26,'Template IF 2'!$B$3:$HH$112,149,FALSE)</f>
        <v>#N/A</v>
      </c>
      <c r="J225" s="167" t="e">
        <f>VLOOKUP($A26,'Template IF 2'!$B$3:$HH$112,150,FALSE)</f>
        <v>#N/A</v>
      </c>
      <c r="K225" s="167" t="e">
        <f>VLOOKUP($A26,'Template IF 2'!$B$3:$HH$112,151,FALSE)</f>
        <v>#N/A</v>
      </c>
      <c r="L225" s="127"/>
      <c r="O225"/>
      <c r="P225"/>
      <c r="Q225"/>
      <c r="S225"/>
      <c r="T225"/>
      <c r="U225"/>
      <c r="V225"/>
      <c r="W225"/>
      <c r="X225"/>
      <c r="Y225"/>
      <c r="Z225"/>
      <c r="AA225"/>
      <c r="AB225"/>
      <c r="AC225"/>
      <c r="AD225"/>
      <c r="AE225"/>
      <c r="AF225"/>
    </row>
    <row r="226" spans="1:32" x14ac:dyDescent="0.2">
      <c r="A226" s="117"/>
      <c r="B226" s="168"/>
      <c r="C226" s="168"/>
      <c r="D226" s="168"/>
      <c r="E226" s="168"/>
      <c r="F226" s="168"/>
      <c r="G226" s="119"/>
      <c r="H226" s="119"/>
      <c r="I226" s="119"/>
      <c r="J226" s="119"/>
      <c r="K226" s="119"/>
      <c r="L226" s="119"/>
      <c r="N226"/>
      <c r="O226"/>
      <c r="P226"/>
      <c r="Q226"/>
      <c r="S226"/>
      <c r="T226"/>
      <c r="U226"/>
      <c r="V226"/>
      <c r="W226"/>
      <c r="X226"/>
      <c r="Y226"/>
      <c r="Z226"/>
      <c r="AA226"/>
      <c r="AB226"/>
      <c r="AC226"/>
      <c r="AD226"/>
      <c r="AE226"/>
      <c r="AF226"/>
    </row>
    <row r="227" spans="1:32" x14ac:dyDescent="0.2">
      <c r="A227" s="131"/>
      <c r="B227" s="187" t="s">
        <v>52</v>
      </c>
      <c r="C227" s="187"/>
      <c r="D227" s="187"/>
      <c r="E227" s="187"/>
      <c r="F227" s="157"/>
      <c r="G227" s="119"/>
      <c r="H227" s="187" t="s">
        <v>53</v>
      </c>
      <c r="I227" s="187"/>
      <c r="J227" s="187"/>
      <c r="K227" s="187"/>
      <c r="L227" s="157"/>
      <c r="N227"/>
      <c r="O227"/>
    </row>
    <row r="228" spans="1:32" x14ac:dyDescent="0.2">
      <c r="A228" s="118"/>
      <c r="B228" s="158" t="s">
        <v>455</v>
      </c>
      <c r="C228" s="158" t="s">
        <v>456</v>
      </c>
      <c r="D228" s="158" t="s">
        <v>457</v>
      </c>
      <c r="E228" s="158" t="s">
        <v>454</v>
      </c>
      <c r="F228" s="120"/>
      <c r="G228" s="120"/>
      <c r="H228" s="158" t="s">
        <v>455</v>
      </c>
      <c r="I228" s="158" t="s">
        <v>456</v>
      </c>
      <c r="J228" s="158" t="s">
        <v>457</v>
      </c>
      <c r="K228" s="158" t="s">
        <v>454</v>
      </c>
      <c r="L228" s="28"/>
      <c r="N228"/>
      <c r="O228"/>
    </row>
    <row r="229" spans="1:32" ht="14.1" customHeight="1" x14ac:dyDescent="0.2">
      <c r="A229" s="131" t="s">
        <v>29</v>
      </c>
      <c r="B229" s="132">
        <f>'Template IF 2'!EW3</f>
        <v>1026.5721464023275</v>
      </c>
      <c r="C229" s="132">
        <f>'Template IF 2'!EX3</f>
        <v>944.68510620289362</v>
      </c>
      <c r="D229" s="132">
        <f>'Template IF 2'!EY3</f>
        <v>840.61622085021668</v>
      </c>
      <c r="E229" s="132">
        <f>'Template IF 2'!EZ3</f>
        <v>787.75222980419483</v>
      </c>
      <c r="F229" s="127"/>
      <c r="G229" s="127"/>
      <c r="H229" s="132">
        <f>'Template IF 2'!FA3</f>
        <v>656.29479804144853</v>
      </c>
      <c r="I229" s="132">
        <f>'Template IF 2'!FB3</f>
        <v>641.75206595754128</v>
      </c>
      <c r="J229" s="132">
        <f>'Template IF 2'!FC3</f>
        <v>591.85620890568509</v>
      </c>
      <c r="K229" s="132">
        <f>'Template IF 2'!FD3</f>
        <v>559.95102198814061</v>
      </c>
      <c r="L229" s="127"/>
    </row>
    <row r="230" spans="1:32" ht="14.1" customHeight="1" x14ac:dyDescent="0.2">
      <c r="A230" s="131" t="str">
        <f>A16</f>
        <v>None</v>
      </c>
      <c r="B230" s="132" t="e">
        <f>VLOOKUP($A16,'Template IF 2'!$B$3:$HH$112,152,FALSE)</f>
        <v>#N/A</v>
      </c>
      <c r="C230" s="132" t="e">
        <f>VLOOKUP($A16,'Template IF 2'!$B$3:$HH$112,153,FALSE)</f>
        <v>#N/A</v>
      </c>
      <c r="D230" s="132" t="e">
        <f>VLOOKUP($A16,'Template IF 2'!$B$3:$HH$112,154,FALSE)</f>
        <v>#N/A</v>
      </c>
      <c r="E230" s="132" t="e">
        <f>VLOOKUP($A16,'Template IF 2'!$B$3:$HH$112,155,FALSE)</f>
        <v>#N/A</v>
      </c>
      <c r="F230" s="127"/>
      <c r="G230" s="127"/>
      <c r="H230" s="132" t="e">
        <f>VLOOKUP($A16,'Template IF 2'!$B$3:$HH$112,156,FALSE)</f>
        <v>#N/A</v>
      </c>
      <c r="I230" s="132" t="e">
        <f>VLOOKUP($A16,'Template IF 2'!$B$3:$HH$112,157,FALSE)</f>
        <v>#N/A</v>
      </c>
      <c r="J230" s="132" t="e">
        <f>VLOOKUP($A16,'Template IF 2'!$B$3:$HH$112,158,FALSE)</f>
        <v>#N/A</v>
      </c>
      <c r="K230" s="132" t="e">
        <f>VLOOKUP($A16,'Template IF 2'!$B$3:$HH$112,159,FALSE)</f>
        <v>#N/A</v>
      </c>
      <c r="L230" s="127"/>
    </row>
    <row r="231" spans="1:32" ht="14.1" customHeight="1" x14ac:dyDescent="0.2">
      <c r="A231" s="131" t="str">
        <f>A18</f>
        <v>None</v>
      </c>
      <c r="B231" s="132" t="e">
        <f>VLOOKUP($A18,'Template IF 2'!$B$3:$HH$112,152,FALSE)</f>
        <v>#N/A</v>
      </c>
      <c r="C231" s="132" t="e">
        <f>VLOOKUP($A18,'Template IF 2'!$B$3:$HH$112,153,FALSE)</f>
        <v>#N/A</v>
      </c>
      <c r="D231" s="132" t="e">
        <f>VLOOKUP($A18,'Template IF 2'!$B$3:$HH$112,154,FALSE)</f>
        <v>#N/A</v>
      </c>
      <c r="E231" s="132" t="e">
        <f>VLOOKUP($A18,'Template IF 2'!$B$3:$HH$112,155,FALSE)</f>
        <v>#N/A</v>
      </c>
      <c r="F231" s="127"/>
      <c r="G231" s="127"/>
      <c r="H231" s="132" t="e">
        <f>VLOOKUP($A18,'Template IF 2'!$B$3:$HH$112,156,FALSE)</f>
        <v>#N/A</v>
      </c>
      <c r="I231" s="132" t="e">
        <f>VLOOKUP($A18,'Template IF 2'!$B$3:$HH$112,157,FALSE)</f>
        <v>#N/A</v>
      </c>
      <c r="J231" s="132" t="e">
        <f>VLOOKUP($A18,'Template IF 2'!$B$3:$HH$112,158,FALSE)</f>
        <v>#N/A</v>
      </c>
      <c r="K231" s="132" t="e">
        <f>VLOOKUP($A18,'Template IF 2'!$B$3:$HH$112,159,FALSE)</f>
        <v>#N/A</v>
      </c>
      <c r="L231" s="127"/>
    </row>
    <row r="232" spans="1:32" ht="14.1" customHeight="1" x14ac:dyDescent="0.2">
      <c r="A232" s="131" t="str">
        <f>A20</f>
        <v>None</v>
      </c>
      <c r="B232" s="132" t="e">
        <f>VLOOKUP($A20,'Template IF 2'!$B$3:$HH$112,152,FALSE)</f>
        <v>#N/A</v>
      </c>
      <c r="C232" s="132" t="e">
        <f>VLOOKUP($A20,'Template IF 2'!$B$3:$HH$112,153,FALSE)</f>
        <v>#N/A</v>
      </c>
      <c r="D232" s="132" t="e">
        <f>VLOOKUP($A20,'Template IF 2'!$B$3:$HH$112,154,FALSE)</f>
        <v>#N/A</v>
      </c>
      <c r="E232" s="132" t="e">
        <f>VLOOKUP($A20,'Template IF 2'!$B$3:$HH$112,155,FALSE)</f>
        <v>#N/A</v>
      </c>
      <c r="F232" s="127"/>
      <c r="G232" s="127"/>
      <c r="H232" s="132" t="e">
        <f>VLOOKUP($A20,'Template IF 2'!$B$3:$HH$112,156,FALSE)</f>
        <v>#N/A</v>
      </c>
      <c r="I232" s="132" t="e">
        <f>VLOOKUP($A20,'Template IF 2'!$B$3:$HH$112,157,FALSE)</f>
        <v>#N/A</v>
      </c>
      <c r="J232" s="132" t="e">
        <f>VLOOKUP($A20,'Template IF 2'!$B$3:$HH$112,158,FALSE)</f>
        <v>#N/A</v>
      </c>
      <c r="K232" s="132" t="e">
        <f>VLOOKUP($A20,'Template IF 2'!$B$3:$HH$112,159,FALSE)</f>
        <v>#N/A</v>
      </c>
      <c r="L232" s="127"/>
    </row>
    <row r="233" spans="1:32" ht="14.1" customHeight="1" x14ac:dyDescent="0.2">
      <c r="A233" s="131" t="str">
        <f>A22</f>
        <v>None</v>
      </c>
      <c r="B233" s="132" t="e">
        <f>VLOOKUP($A22,'Template IF 2'!$B$3:$HH$112,152,FALSE)</f>
        <v>#N/A</v>
      </c>
      <c r="C233" s="132" t="e">
        <f>VLOOKUP($A22,'Template IF 2'!$B$3:$HH$112,153,FALSE)</f>
        <v>#N/A</v>
      </c>
      <c r="D233" s="132" t="e">
        <f>VLOOKUP($A22,'Template IF 2'!$B$3:$HH$112,154,FALSE)</f>
        <v>#N/A</v>
      </c>
      <c r="E233" s="132" t="e">
        <f>VLOOKUP($A22,'Template IF 2'!$B$3:$HH$112,155,FALSE)</f>
        <v>#N/A</v>
      </c>
      <c r="F233" s="127"/>
      <c r="G233" s="127"/>
      <c r="H233" s="132" t="e">
        <f>VLOOKUP($A22,'Template IF 2'!$B$3:$HH$112,156,FALSE)</f>
        <v>#N/A</v>
      </c>
      <c r="I233" s="132" t="e">
        <f>VLOOKUP($A22,'Template IF 2'!$B$3:$HH$112,157,FALSE)</f>
        <v>#N/A</v>
      </c>
      <c r="J233" s="132" t="e">
        <f>VLOOKUP($A22,'Template IF 2'!$B$3:$HH$112,158,FALSE)</f>
        <v>#N/A</v>
      </c>
      <c r="K233" s="132" t="e">
        <f>VLOOKUP($A22,'Template IF 2'!$B$3:$HH$112,159,FALSE)</f>
        <v>#N/A</v>
      </c>
      <c r="L233" s="127"/>
    </row>
    <row r="234" spans="1:32" ht="14.1" customHeight="1" x14ac:dyDescent="0.2">
      <c r="A234" s="131" t="str">
        <f>A24</f>
        <v>None</v>
      </c>
      <c r="B234" s="132" t="e">
        <f>VLOOKUP($A24,'Template IF 2'!$B$3:$HH$112,152,FALSE)</f>
        <v>#N/A</v>
      </c>
      <c r="C234" s="132" t="e">
        <f>VLOOKUP($A24,'Template IF 2'!$B$3:$HH$112,153,FALSE)</f>
        <v>#N/A</v>
      </c>
      <c r="D234" s="132" t="e">
        <f>VLOOKUP($A24,'Template IF 2'!$B$3:$HH$112,154,FALSE)</f>
        <v>#N/A</v>
      </c>
      <c r="E234" s="132" t="e">
        <f>VLOOKUP($A24,'Template IF 2'!$B$3:$HH$112,155,FALSE)</f>
        <v>#N/A</v>
      </c>
      <c r="F234" s="127"/>
      <c r="G234" s="127"/>
      <c r="H234" s="132" t="e">
        <f>VLOOKUP($A24,'Template IF 2'!$B$3:$HH$112,156,FALSE)</f>
        <v>#N/A</v>
      </c>
      <c r="I234" s="132" t="e">
        <f>VLOOKUP($A24,'Template IF 2'!$B$3:$HH$112,157,FALSE)</f>
        <v>#N/A</v>
      </c>
      <c r="J234" s="132" t="e">
        <f>VLOOKUP($A24,'Template IF 2'!$B$3:$HH$112,158,FALSE)</f>
        <v>#N/A</v>
      </c>
      <c r="K234" s="132" t="e">
        <f>VLOOKUP($A24,'Template IF 2'!$B$3:$HH$112,159,FALSE)</f>
        <v>#N/A</v>
      </c>
      <c r="L234" s="127"/>
    </row>
    <row r="235" spans="1:32" ht="14.1" customHeight="1" x14ac:dyDescent="0.2">
      <c r="A235" s="118" t="str">
        <f>A26</f>
        <v>None</v>
      </c>
      <c r="B235" s="167" t="e">
        <f>VLOOKUP($A26,'Template IF 2'!$B$3:$HH$112,152,FALSE)</f>
        <v>#N/A</v>
      </c>
      <c r="C235" s="167" t="e">
        <f>VLOOKUP($A26,'Template IF 2'!$B$3:$HH$112,153,FALSE)</f>
        <v>#N/A</v>
      </c>
      <c r="D235" s="167" t="e">
        <f>VLOOKUP($A26,'Template IF 2'!$B$3:$HH$112,154,FALSE)</f>
        <v>#N/A</v>
      </c>
      <c r="E235" s="167" t="e">
        <f>VLOOKUP($A26,'Template IF 2'!$B$3:$HH$112,155,FALSE)</f>
        <v>#N/A</v>
      </c>
      <c r="F235" s="138"/>
      <c r="G235" s="138"/>
      <c r="H235" s="167" t="e">
        <f>VLOOKUP($A26,'Template IF 2'!$B$3:$HH$112,156,FALSE)</f>
        <v>#N/A</v>
      </c>
      <c r="I235" s="167" t="e">
        <f>VLOOKUP($A26,'Template IF 2'!$B$3:$HH$112,157,FALSE)</f>
        <v>#N/A</v>
      </c>
      <c r="J235" s="167" t="e">
        <f>VLOOKUP($A26,'Template IF 2'!$B$3:$HH$112,158,FALSE)</f>
        <v>#N/A</v>
      </c>
      <c r="K235" s="167" t="e">
        <f>VLOOKUP($A26,'Template IF 2'!$B$3:$HH$112,159,FALSE)</f>
        <v>#N/A</v>
      </c>
      <c r="L235" s="127"/>
    </row>
    <row r="236" spans="1:32" x14ac:dyDescent="0.2">
      <c r="A236" s="146" t="s">
        <v>173</v>
      </c>
      <c r="B236" s="132"/>
      <c r="C236" s="127"/>
      <c r="D236" s="127"/>
      <c r="E236" s="127"/>
      <c r="F236" s="127"/>
      <c r="G236" s="127"/>
      <c r="H236" s="127"/>
      <c r="I236" s="127"/>
      <c r="J236" s="127"/>
      <c r="K236" s="127"/>
      <c r="L236" s="127"/>
      <c r="N236"/>
      <c r="O236"/>
    </row>
    <row r="237" spans="1:32" ht="14.25" x14ac:dyDescent="0.2">
      <c r="A237" s="189" t="s">
        <v>499</v>
      </c>
      <c r="B237" s="189"/>
      <c r="C237" s="189"/>
      <c r="D237" s="189"/>
      <c r="E237" s="189"/>
      <c r="F237" s="189"/>
      <c r="G237" s="189"/>
      <c r="H237" s="189"/>
      <c r="I237" s="189"/>
      <c r="J237" s="189"/>
      <c r="K237" s="189"/>
      <c r="L237" s="189"/>
      <c r="N237"/>
      <c r="O237"/>
    </row>
    <row r="238" spans="1:32" x14ac:dyDescent="0.2">
      <c r="A238" s="131"/>
      <c r="B238" s="187" t="s">
        <v>49</v>
      </c>
      <c r="C238" s="187"/>
      <c r="D238" s="187"/>
      <c r="E238" s="187"/>
      <c r="F238" s="157"/>
      <c r="G238" s="28"/>
      <c r="H238" s="187" t="s">
        <v>154</v>
      </c>
      <c r="I238" s="187"/>
      <c r="J238" s="187"/>
      <c r="K238" s="187"/>
      <c r="L238" s="157"/>
      <c r="N238"/>
      <c r="O238"/>
    </row>
    <row r="239" spans="1:32" x14ac:dyDescent="0.2">
      <c r="A239" s="118"/>
      <c r="B239" s="158" t="s">
        <v>455</v>
      </c>
      <c r="C239" s="158" t="s">
        <v>456</v>
      </c>
      <c r="D239" s="158" t="s">
        <v>457</v>
      </c>
      <c r="E239" s="158" t="s">
        <v>454</v>
      </c>
      <c r="F239" s="120"/>
      <c r="G239" s="120"/>
      <c r="H239" s="158" t="s">
        <v>455</v>
      </c>
      <c r="I239" s="158" t="s">
        <v>456</v>
      </c>
      <c r="J239" s="158" t="s">
        <v>457</v>
      </c>
      <c r="K239" s="158" t="s">
        <v>454</v>
      </c>
      <c r="L239" s="28"/>
      <c r="N239"/>
      <c r="O239"/>
    </row>
    <row r="240" spans="1:32" ht="14.1" customHeight="1" x14ac:dyDescent="0.2">
      <c r="A240" s="131" t="s">
        <v>29</v>
      </c>
      <c r="B240" s="134">
        <f>'Template IF 2'!FE3</f>
        <v>43001</v>
      </c>
      <c r="C240" s="134">
        <f>'Template IF 2'!FF3</f>
        <v>44505</v>
      </c>
      <c r="D240" s="134">
        <f>'Template IF 2'!FG3</f>
        <v>45364</v>
      </c>
      <c r="E240" s="134">
        <f>'Template IF 2'!FH3</f>
        <v>47249</v>
      </c>
      <c r="F240" s="127"/>
      <c r="G240" s="127"/>
      <c r="H240" s="132">
        <f>'Template IF 2'!FI3</f>
        <v>195.73250360071066</v>
      </c>
      <c r="I240" s="132">
        <f>'Template IF 2'!FJ3</f>
        <v>188.51582785692867</v>
      </c>
      <c r="J240" s="132">
        <f>'Template IF 2'!FK3</f>
        <v>175.91790554089704</v>
      </c>
      <c r="K240" s="132">
        <f>'Template IF 2'!FL3</f>
        <v>167.40671013110492</v>
      </c>
      <c r="L240" s="127"/>
      <c r="N240"/>
    </row>
    <row r="241" spans="1:24" ht="14.1" customHeight="1" x14ac:dyDescent="0.2">
      <c r="A241" s="131" t="str">
        <f>A16</f>
        <v>None</v>
      </c>
      <c r="B241" s="134" t="e">
        <f>VLOOKUP($A16,'Template IF 2'!$B$3:$HH$112,160,FALSE)</f>
        <v>#N/A</v>
      </c>
      <c r="C241" s="134" t="e">
        <f>VLOOKUP($A16,'Template IF 2'!$B$3:$HH$112,161,FALSE)</f>
        <v>#N/A</v>
      </c>
      <c r="D241" s="134" t="e">
        <f>VLOOKUP($A16,'Template IF 2'!$B$3:$HH$112,162,FALSE)</f>
        <v>#N/A</v>
      </c>
      <c r="E241" s="134" t="e">
        <f>VLOOKUP($A16,'Template IF 2'!$B$3:$HH$112,163,FALSE)</f>
        <v>#N/A</v>
      </c>
      <c r="F241" s="127"/>
      <c r="G241" s="127"/>
      <c r="H241" s="132" t="e">
        <f>VLOOKUP($A16,'Template IF 2'!$B$3:$HH$112,164,FALSE)</f>
        <v>#N/A</v>
      </c>
      <c r="I241" s="132" t="e">
        <f>VLOOKUP($A16,'Template IF 2'!$B$3:$HH$112,165,FALSE)</f>
        <v>#N/A</v>
      </c>
      <c r="J241" s="132" t="e">
        <f>VLOOKUP($A16,'Template IF 2'!$B$3:$HH$112,166,FALSE)</f>
        <v>#N/A</v>
      </c>
      <c r="K241" s="132" t="e">
        <f>VLOOKUP($A16,'Template IF 2'!$B$3:$HH$112,167,FALSE)</f>
        <v>#N/A</v>
      </c>
      <c r="L241" s="127"/>
      <c r="N241"/>
      <c r="O241"/>
    </row>
    <row r="242" spans="1:24" ht="14.1" customHeight="1" x14ac:dyDescent="0.2">
      <c r="A242" s="131" t="str">
        <f>A18</f>
        <v>None</v>
      </c>
      <c r="B242" s="134" t="e">
        <f>VLOOKUP($A18,'Template IF 2'!$B$3:$HH$112,160,FALSE)</f>
        <v>#N/A</v>
      </c>
      <c r="C242" s="134" t="e">
        <f>VLOOKUP($A18,'Template IF 2'!$B$3:$HH$112,161,FALSE)</f>
        <v>#N/A</v>
      </c>
      <c r="D242" s="134" t="e">
        <f>VLOOKUP($A18,'Template IF 2'!$B$3:$HH$112,162,FALSE)</f>
        <v>#N/A</v>
      </c>
      <c r="E242" s="134" t="e">
        <f>VLOOKUP($A18,'Template IF 2'!$B$3:$HH$112,163,FALSE)</f>
        <v>#N/A</v>
      </c>
      <c r="F242" s="127"/>
      <c r="G242" s="127"/>
      <c r="H242" s="132" t="e">
        <f>VLOOKUP($A18,'Template IF 2'!$B$3:$HH$112,164,FALSE)</f>
        <v>#N/A</v>
      </c>
      <c r="I242" s="132" t="e">
        <f>VLOOKUP($A18,'Template IF 2'!$B$3:$HH$112,165,FALSE)</f>
        <v>#N/A</v>
      </c>
      <c r="J242" s="132" t="e">
        <f>VLOOKUP($A18,'Template IF 2'!$B$3:$HH$112,166,FALSE)</f>
        <v>#N/A</v>
      </c>
      <c r="K242" s="132" t="e">
        <f>VLOOKUP($A18,'Template IF 2'!$B$3:$HH$112,167,FALSE)</f>
        <v>#N/A</v>
      </c>
      <c r="L242" s="127"/>
    </row>
    <row r="243" spans="1:24" ht="14.1" customHeight="1" x14ac:dyDescent="0.2">
      <c r="A243" s="131" t="str">
        <f>A20</f>
        <v>None</v>
      </c>
      <c r="B243" s="134" t="e">
        <f>VLOOKUP($A20,'Template IF 2'!$B$3:$HH$112,160,FALSE)</f>
        <v>#N/A</v>
      </c>
      <c r="C243" s="134" t="e">
        <f>VLOOKUP($A20,'Template IF 2'!$B$3:$HH$112,161,FALSE)</f>
        <v>#N/A</v>
      </c>
      <c r="D243" s="134" t="e">
        <f>VLOOKUP($A20,'Template IF 2'!$B$3:$HH$112,162,FALSE)</f>
        <v>#N/A</v>
      </c>
      <c r="E243" s="134" t="e">
        <f>VLOOKUP($A20,'Template IF 2'!$B$3:$HH$112,163,FALSE)</f>
        <v>#N/A</v>
      </c>
      <c r="F243" s="127"/>
      <c r="G243" s="127"/>
      <c r="H243" s="132" t="e">
        <f>VLOOKUP($A20,'Template IF 2'!$B$3:$HH$112,164,FALSE)</f>
        <v>#N/A</v>
      </c>
      <c r="I243" s="132" t="e">
        <f>VLOOKUP($A20,'Template IF 2'!$B$3:$HH$112,165,FALSE)</f>
        <v>#N/A</v>
      </c>
      <c r="J243" s="132" t="e">
        <f>VLOOKUP($A20,'Template IF 2'!$B$3:$HH$112,166,FALSE)</f>
        <v>#N/A</v>
      </c>
      <c r="K243" s="132" t="e">
        <f>VLOOKUP($A20,'Template IF 2'!$B$3:$HH$112,167,FALSE)</f>
        <v>#N/A</v>
      </c>
      <c r="L243" s="127"/>
    </row>
    <row r="244" spans="1:24" ht="14.1" customHeight="1" x14ac:dyDescent="0.2">
      <c r="A244" s="131" t="str">
        <f>A22</f>
        <v>None</v>
      </c>
      <c r="B244" s="134" t="e">
        <f>VLOOKUP($A22,'Template IF 2'!$B$3:$HH$112,160,FALSE)</f>
        <v>#N/A</v>
      </c>
      <c r="C244" s="134" t="e">
        <f>VLOOKUP($A22,'Template IF 2'!$B$3:$HH$112,161,FALSE)</f>
        <v>#N/A</v>
      </c>
      <c r="D244" s="134" t="e">
        <f>VLOOKUP($A22,'Template IF 2'!$B$3:$HH$112,162,FALSE)</f>
        <v>#N/A</v>
      </c>
      <c r="E244" s="134" t="e">
        <f>VLOOKUP($A22,'Template IF 2'!$B$3:$HH$112,163,FALSE)</f>
        <v>#N/A</v>
      </c>
      <c r="F244" s="127"/>
      <c r="G244" s="127"/>
      <c r="H244" s="132" t="e">
        <f>VLOOKUP($A22,'Template IF 2'!$B$3:$HH$112,164,FALSE)</f>
        <v>#N/A</v>
      </c>
      <c r="I244" s="132" t="e">
        <f>VLOOKUP($A22,'Template IF 2'!$B$3:$HH$112,165,FALSE)</f>
        <v>#N/A</v>
      </c>
      <c r="J244" s="132" t="e">
        <f>VLOOKUP($A22,'Template IF 2'!$B$3:$HH$112,166,FALSE)</f>
        <v>#N/A</v>
      </c>
      <c r="K244" s="132" t="e">
        <f>VLOOKUP($A22,'Template IF 2'!$B$3:$HH$112,167,FALSE)</f>
        <v>#N/A</v>
      </c>
      <c r="L244" s="127"/>
    </row>
    <row r="245" spans="1:24" ht="14.1" customHeight="1" x14ac:dyDescent="0.2">
      <c r="A245" s="131" t="str">
        <f>A24</f>
        <v>None</v>
      </c>
      <c r="B245" s="134" t="e">
        <f>VLOOKUP($A24,'Template IF 2'!$B$3:$HH$112,160,FALSE)</f>
        <v>#N/A</v>
      </c>
      <c r="C245" s="134" t="e">
        <f>VLOOKUP($A24,'Template IF 2'!$B$3:$HH$112,161,FALSE)</f>
        <v>#N/A</v>
      </c>
      <c r="D245" s="134" t="e">
        <f>VLOOKUP($A24,'Template IF 2'!$B$3:$HH$112,162,FALSE)</f>
        <v>#N/A</v>
      </c>
      <c r="E245" s="134" t="e">
        <f>VLOOKUP($A24,'Template IF 2'!$B$3:$HH$112,163,FALSE)</f>
        <v>#N/A</v>
      </c>
      <c r="F245" s="127"/>
      <c r="G245" s="127"/>
      <c r="H245" s="132" t="e">
        <f>VLOOKUP($A24,'Template IF 2'!$B$3:$HH$112,164,FALSE)</f>
        <v>#N/A</v>
      </c>
      <c r="I245" s="132" t="e">
        <f>VLOOKUP($A24,'Template IF 2'!$B$3:$HH$112,165,FALSE)</f>
        <v>#N/A</v>
      </c>
      <c r="J245" s="132" t="e">
        <f>VLOOKUP($A24,'Template IF 2'!$B$3:$HH$112,166,FALSE)</f>
        <v>#N/A</v>
      </c>
      <c r="K245" s="132" t="e">
        <f>VLOOKUP($A24,'Template IF 2'!$B$3:$HH$112,167,FALSE)</f>
        <v>#N/A</v>
      </c>
      <c r="L245" s="127"/>
    </row>
    <row r="246" spans="1:24" ht="14.1" customHeight="1" x14ac:dyDescent="0.2">
      <c r="A246" s="118" t="str">
        <f>A26</f>
        <v>None</v>
      </c>
      <c r="B246" s="149" t="e">
        <f>VLOOKUP($A26,'Template IF 2'!$B$3:$HH$112,160,FALSE)</f>
        <v>#N/A</v>
      </c>
      <c r="C246" s="149" t="e">
        <f>VLOOKUP($A26,'Template IF 2'!$B$3:$HH$112,161,FALSE)</f>
        <v>#N/A</v>
      </c>
      <c r="D246" s="149" t="e">
        <f>VLOOKUP($A26,'Template IF 2'!$B$3:$HH$112,162,FALSE)</f>
        <v>#N/A</v>
      </c>
      <c r="E246" s="149" t="e">
        <f>VLOOKUP($A26,'Template IF 2'!$B$3:$HH$112,163,FALSE)</f>
        <v>#N/A</v>
      </c>
      <c r="F246" s="138"/>
      <c r="G246" s="138"/>
      <c r="H246" s="167" t="e">
        <f>VLOOKUP($A26,'Template IF 2'!$B$3:$HH$112,164,FALSE)</f>
        <v>#N/A</v>
      </c>
      <c r="I246" s="167" t="e">
        <f>VLOOKUP($A26,'Template IF 2'!$B$3:$HH$112,165,FALSE)</f>
        <v>#N/A</v>
      </c>
      <c r="J246" s="167" t="e">
        <f>VLOOKUP($A26,'Template IF 2'!$B$3:$HH$112,166,FALSE)</f>
        <v>#N/A</v>
      </c>
      <c r="K246" s="167" t="e">
        <f>VLOOKUP($A26,'Template IF 2'!$B$3:$HH$112,167,FALSE)</f>
        <v>#N/A</v>
      </c>
      <c r="L246" s="127"/>
    </row>
    <row r="247" spans="1:24" ht="13.5" customHeight="1" x14ac:dyDescent="0.2">
      <c r="A247" s="131"/>
      <c r="B247" s="187" t="s">
        <v>48</v>
      </c>
      <c r="C247" s="187"/>
      <c r="D247" s="187"/>
      <c r="E247" s="187"/>
      <c r="F247" s="157"/>
      <c r="G247" s="119"/>
      <c r="H247" s="187" t="s">
        <v>153</v>
      </c>
      <c r="I247" s="187"/>
      <c r="J247" s="187"/>
      <c r="K247" s="187"/>
      <c r="L247" s="157"/>
    </row>
    <row r="248" spans="1:24" x14ac:dyDescent="0.2">
      <c r="A248" s="118"/>
      <c r="B248" s="158" t="s">
        <v>455</v>
      </c>
      <c r="C248" s="158" t="s">
        <v>456</v>
      </c>
      <c r="D248" s="158" t="s">
        <v>457</v>
      </c>
      <c r="E248" s="158" t="s">
        <v>454</v>
      </c>
      <c r="F248" s="120"/>
      <c r="G248" s="120"/>
      <c r="H248" s="158" t="s">
        <v>455</v>
      </c>
      <c r="I248" s="158" t="s">
        <v>456</v>
      </c>
      <c r="J248" s="158" t="s">
        <v>457</v>
      </c>
      <c r="K248" s="158" t="s">
        <v>454</v>
      </c>
      <c r="L248" s="160"/>
      <c r="N248"/>
      <c r="O248"/>
    </row>
    <row r="249" spans="1:24" ht="14.1" customHeight="1" x14ac:dyDescent="0.2">
      <c r="A249" s="131" t="s">
        <v>29</v>
      </c>
      <c r="B249" s="134">
        <f>'Template IF 2'!FM3</f>
        <v>51358</v>
      </c>
      <c r="C249" s="134">
        <f>'Template IF 2'!FN3</f>
        <v>45945</v>
      </c>
      <c r="D249" s="134">
        <f>'Template IF 2'!FO3</f>
        <v>40060</v>
      </c>
      <c r="E249" s="134">
        <f>'Template IF 2'!FP3</f>
        <v>35467</v>
      </c>
      <c r="F249" s="127"/>
      <c r="G249" s="127"/>
      <c r="H249" s="132">
        <f>'Template IF 2'!FQ3</f>
        <v>227.78569064368006</v>
      </c>
      <c r="I249" s="132">
        <f>'Template IF 2'!FR3</f>
        <v>187.03809246271766</v>
      </c>
      <c r="J249" s="132">
        <f>'Template IF 2'!FS3</f>
        <v>146.87324427333328</v>
      </c>
      <c r="K249" s="132">
        <f>'Template IF 2'!FT3</f>
        <v>119.44828638351943</v>
      </c>
      <c r="L249" s="127"/>
    </row>
    <row r="250" spans="1:24" ht="14.1" customHeight="1" x14ac:dyDescent="0.2">
      <c r="A250" s="131" t="str">
        <f>A16</f>
        <v>None</v>
      </c>
      <c r="B250" s="134" t="e">
        <f>VLOOKUP($A16,'Template IF 2'!$B$3:$HH$112,168,FALSE)</f>
        <v>#N/A</v>
      </c>
      <c r="C250" s="134" t="e">
        <f>VLOOKUP($A16,'Template IF 2'!$B$3:$HH$112,169,FALSE)</f>
        <v>#N/A</v>
      </c>
      <c r="D250" s="134" t="e">
        <f>VLOOKUP($A16,'Template IF 2'!$B$3:$HH$112,170,FALSE)</f>
        <v>#N/A</v>
      </c>
      <c r="E250" s="134" t="e">
        <f>VLOOKUP($A16,'Template IF 2'!$B$3:$HH$112,171,FALSE)</f>
        <v>#N/A</v>
      </c>
      <c r="F250" s="127"/>
      <c r="G250" s="127"/>
      <c r="H250" s="132" t="e">
        <f>VLOOKUP($A16,'Template IF 2'!$B$3:$HH$112,172,FALSE)</f>
        <v>#N/A</v>
      </c>
      <c r="I250" s="132" t="e">
        <f>VLOOKUP($A16,'Template IF 2'!$B$3:$HH$112,173,FALSE)</f>
        <v>#N/A</v>
      </c>
      <c r="J250" s="132" t="e">
        <f>VLOOKUP($A16,'Template IF 2'!$B$3:$HH$112,174,FALSE)</f>
        <v>#N/A</v>
      </c>
      <c r="K250" s="132" t="e">
        <f>VLOOKUP($A16,'Template IF 2'!$B$3:$HH$112,175,FALSE)</f>
        <v>#N/A</v>
      </c>
      <c r="L250" s="127"/>
    </row>
    <row r="251" spans="1:24" ht="14.1" customHeight="1" x14ac:dyDescent="0.2">
      <c r="A251" s="131" t="str">
        <f>A18</f>
        <v>None</v>
      </c>
      <c r="B251" s="134" t="e">
        <f>VLOOKUP($A18,'Template IF 2'!$B$3:$HH$112,168,FALSE)</f>
        <v>#N/A</v>
      </c>
      <c r="C251" s="134" t="e">
        <f>VLOOKUP($A18,'Template IF 2'!$B$3:$HH$112,169,FALSE)</f>
        <v>#N/A</v>
      </c>
      <c r="D251" s="134" t="e">
        <f>VLOOKUP($A18,'Template IF 2'!$B$3:$HH$112,170,FALSE)</f>
        <v>#N/A</v>
      </c>
      <c r="E251" s="134" t="e">
        <f>VLOOKUP($A18,'Template IF 2'!$B$3:$HH$112,171,FALSE)</f>
        <v>#N/A</v>
      </c>
      <c r="F251" s="127"/>
      <c r="G251" s="127"/>
      <c r="H251" s="132" t="e">
        <f>VLOOKUP($A18,'Template IF 2'!$B$3:$HH$112,172,FALSE)</f>
        <v>#N/A</v>
      </c>
      <c r="I251" s="132" t="e">
        <f>VLOOKUP($A18,'Template IF 2'!$B$3:$HH$112,173,FALSE)</f>
        <v>#N/A</v>
      </c>
      <c r="J251" s="132" t="e">
        <f>VLOOKUP($A18,'Template IF 2'!$B$3:$HH$112,174,FALSE)</f>
        <v>#N/A</v>
      </c>
      <c r="K251" s="132" t="e">
        <f>VLOOKUP($A18,'Template IF 2'!$B$3:$HH$112,175,FALSE)</f>
        <v>#N/A</v>
      </c>
      <c r="L251" s="127"/>
      <c r="M251" s="24"/>
      <c r="S251" s="24"/>
      <c r="T251" s="24"/>
      <c r="U251" s="24"/>
      <c r="V251" s="24"/>
      <c r="X251" s="24"/>
    </row>
    <row r="252" spans="1:24" ht="14.1" customHeight="1" x14ac:dyDescent="0.2">
      <c r="A252" s="131" t="str">
        <f>A20</f>
        <v>None</v>
      </c>
      <c r="B252" s="134" t="e">
        <f>VLOOKUP($A20,'Template IF 2'!$B$3:$HH$112,168,FALSE)</f>
        <v>#N/A</v>
      </c>
      <c r="C252" s="134" t="e">
        <f>VLOOKUP($A20,'Template IF 2'!$B$3:$HH$112,169,FALSE)</f>
        <v>#N/A</v>
      </c>
      <c r="D252" s="134" t="e">
        <f>VLOOKUP($A20,'Template IF 2'!$B$3:$HH$112,170,FALSE)</f>
        <v>#N/A</v>
      </c>
      <c r="E252" s="134" t="e">
        <f>VLOOKUP($A20,'Template IF 2'!$B$3:$HH$112,171,FALSE)</f>
        <v>#N/A</v>
      </c>
      <c r="F252" s="127"/>
      <c r="G252" s="127"/>
      <c r="H252" s="132" t="e">
        <f>VLOOKUP($A20,'Template IF 2'!$B$3:$HH$112,172,FALSE)</f>
        <v>#N/A</v>
      </c>
      <c r="I252" s="132" t="e">
        <f>VLOOKUP($A20,'Template IF 2'!$B$3:$HH$112,173,FALSE)</f>
        <v>#N/A</v>
      </c>
      <c r="J252" s="132" t="e">
        <f>VLOOKUP($A20,'Template IF 2'!$B$3:$HH$112,174,FALSE)</f>
        <v>#N/A</v>
      </c>
      <c r="K252" s="132" t="e">
        <f>VLOOKUP($A20,'Template IF 2'!$B$3:$HH$112,175,FALSE)</f>
        <v>#N/A</v>
      </c>
      <c r="L252" s="127"/>
      <c r="M252" s="24"/>
    </row>
    <row r="253" spans="1:24" ht="14.1" customHeight="1" x14ac:dyDescent="0.2">
      <c r="A253" s="131" t="str">
        <f>A22</f>
        <v>None</v>
      </c>
      <c r="B253" s="134" t="e">
        <f>VLOOKUP($A22,'Template IF 2'!$B$3:$HH$112,168,FALSE)</f>
        <v>#N/A</v>
      </c>
      <c r="C253" s="134" t="e">
        <f>VLOOKUP($A22,'Template IF 2'!$B$3:$HH$112,169,FALSE)</f>
        <v>#N/A</v>
      </c>
      <c r="D253" s="134" t="e">
        <f>VLOOKUP($A22,'Template IF 2'!$B$3:$HH$112,170,FALSE)</f>
        <v>#N/A</v>
      </c>
      <c r="E253" s="134" t="e">
        <f>VLOOKUP($A22,'Template IF 2'!$B$3:$HH$112,171,FALSE)</f>
        <v>#N/A</v>
      </c>
      <c r="F253" s="127"/>
      <c r="G253" s="127"/>
      <c r="H253" s="132" t="e">
        <f>VLOOKUP($A22,'Template IF 2'!$B$3:$HH$112,172,FALSE)</f>
        <v>#N/A</v>
      </c>
      <c r="I253" s="132" t="e">
        <f>VLOOKUP($A22,'Template IF 2'!$B$3:$HH$112,173,FALSE)</f>
        <v>#N/A</v>
      </c>
      <c r="J253" s="132" t="e">
        <f>VLOOKUP($A22,'Template IF 2'!$B$3:$HH$112,174,FALSE)</f>
        <v>#N/A</v>
      </c>
      <c r="K253" s="132" t="e">
        <f>VLOOKUP($A22,'Template IF 2'!$B$3:$HH$112,175,FALSE)</f>
        <v>#N/A</v>
      </c>
      <c r="L253" s="127"/>
    </row>
    <row r="254" spans="1:24" ht="14.1" customHeight="1" x14ac:dyDescent="0.2">
      <c r="A254" s="131" t="str">
        <f>A24</f>
        <v>None</v>
      </c>
      <c r="B254" s="134" t="e">
        <f>VLOOKUP($A24,'Template IF 2'!$B$3:$HH$112,168,FALSE)</f>
        <v>#N/A</v>
      </c>
      <c r="C254" s="134" t="e">
        <f>VLOOKUP($A24,'Template IF 2'!$B$3:$HH$112,169,FALSE)</f>
        <v>#N/A</v>
      </c>
      <c r="D254" s="134" t="e">
        <f>VLOOKUP($A24,'Template IF 2'!$B$3:$HH$112,170,FALSE)</f>
        <v>#N/A</v>
      </c>
      <c r="E254" s="134" t="e">
        <f>VLOOKUP($A24,'Template IF 2'!$B$3:$HH$112,171,FALSE)</f>
        <v>#N/A</v>
      </c>
      <c r="F254" s="127"/>
      <c r="G254" s="127"/>
      <c r="H254" s="132" t="e">
        <f>VLOOKUP($A24,'Template IF 2'!$B$3:$HH$112,172,FALSE)</f>
        <v>#N/A</v>
      </c>
      <c r="I254" s="132" t="e">
        <f>VLOOKUP($A24,'Template IF 2'!$B$3:$HH$112,173,FALSE)</f>
        <v>#N/A</v>
      </c>
      <c r="J254" s="132" t="e">
        <f>VLOOKUP($A24,'Template IF 2'!$B$3:$HH$112,174,FALSE)</f>
        <v>#N/A</v>
      </c>
      <c r="K254" s="132" t="e">
        <f>VLOOKUP($A24,'Template IF 2'!$B$3:$HH$112,175,FALSE)</f>
        <v>#N/A</v>
      </c>
      <c r="L254" s="127"/>
    </row>
    <row r="255" spans="1:24" ht="14.1" customHeight="1" x14ac:dyDescent="0.2">
      <c r="A255" s="118" t="str">
        <f>A26</f>
        <v>None</v>
      </c>
      <c r="B255" s="149" t="e">
        <f>VLOOKUP($A26,'Template IF 2'!$B$3:$HH$112,168,FALSE)</f>
        <v>#N/A</v>
      </c>
      <c r="C255" s="149" t="e">
        <f>VLOOKUP($A26,'Template IF 2'!$B$3:$HH$112,169,FALSE)</f>
        <v>#N/A</v>
      </c>
      <c r="D255" s="149" t="e">
        <f>VLOOKUP($A26,'Template IF 2'!$B$3:$HH$112,170,FALSE)</f>
        <v>#N/A</v>
      </c>
      <c r="E255" s="149" t="e">
        <f>VLOOKUP($A26,'Template IF 2'!$B$3:$HH$112,171,FALSE)</f>
        <v>#N/A</v>
      </c>
      <c r="F255" s="138"/>
      <c r="G255" s="138"/>
      <c r="H255" s="167" t="e">
        <f>VLOOKUP($A26,'Template IF 2'!$B$3:$HH$112,172,FALSE)</f>
        <v>#N/A</v>
      </c>
      <c r="I255" s="167" t="e">
        <f>VLOOKUP($A26,'Template IF 2'!$B$3:$HH$112,173,FALSE)</f>
        <v>#N/A</v>
      </c>
      <c r="J255" s="167" t="e">
        <f>VLOOKUP($A26,'Template IF 2'!$B$3:$HH$112,174,FALSE)</f>
        <v>#N/A</v>
      </c>
      <c r="K255" s="167" t="e">
        <f>VLOOKUP($A26,'Template IF 2'!$B$3:$HH$112,175,FALSE)</f>
        <v>#N/A</v>
      </c>
      <c r="L255" s="127"/>
    </row>
    <row r="256" spans="1:24" ht="10.5" customHeight="1" x14ac:dyDescent="0.2">
      <c r="A256" s="131"/>
      <c r="B256" s="187" t="s">
        <v>50</v>
      </c>
      <c r="C256" s="187"/>
      <c r="D256" s="187"/>
      <c r="E256" s="187"/>
      <c r="F256" s="157"/>
      <c r="G256" s="119"/>
      <c r="H256" s="187" t="s">
        <v>155</v>
      </c>
      <c r="I256" s="187"/>
      <c r="J256" s="187"/>
      <c r="K256" s="187"/>
      <c r="L256" s="157"/>
      <c r="N256"/>
    </row>
    <row r="257" spans="1:24" ht="14.25" customHeight="1" x14ac:dyDescent="0.2">
      <c r="A257" s="118"/>
      <c r="B257" s="158" t="s">
        <v>455</v>
      </c>
      <c r="C257" s="158" t="s">
        <v>456</v>
      </c>
      <c r="D257" s="158" t="s">
        <v>457</v>
      </c>
      <c r="E257" s="158" t="s">
        <v>454</v>
      </c>
      <c r="F257" s="120"/>
      <c r="G257" s="120"/>
      <c r="H257" s="158" t="s">
        <v>455</v>
      </c>
      <c r="I257" s="158" t="s">
        <v>456</v>
      </c>
      <c r="J257" s="158" t="s">
        <v>457</v>
      </c>
      <c r="K257" s="158" t="s">
        <v>454</v>
      </c>
      <c r="L257" s="28"/>
    </row>
    <row r="258" spans="1:24" ht="14.1" customHeight="1" x14ac:dyDescent="0.2">
      <c r="A258" s="131" t="s">
        <v>29</v>
      </c>
      <c r="B258" s="134">
        <f>'Template IF 2'!FU3</f>
        <v>14889</v>
      </c>
      <c r="C258" s="134">
        <f>'Template IF 2'!FV3</f>
        <v>14294</v>
      </c>
      <c r="D258" s="134">
        <f>'Template IF 2'!FW3</f>
        <v>12374</v>
      </c>
      <c r="E258" s="134">
        <f>'Template IF 2'!FX3</f>
        <v>10409</v>
      </c>
      <c r="F258" s="127"/>
      <c r="G258" s="127"/>
      <c r="H258" s="132">
        <f>'Template IF 2'!FY3</f>
        <v>65.107022978255316</v>
      </c>
      <c r="I258" s="132">
        <f>'Template IF 2'!FZ3</f>
        <v>57.35616825348599</v>
      </c>
      <c r="J258" s="132">
        <f>'Template IF 2'!GA3</f>
        <v>45.060093717209739</v>
      </c>
      <c r="K258" s="132">
        <f>'Template IF 2'!GB3</f>
        <v>35.03754929493536</v>
      </c>
      <c r="L258" s="127"/>
    </row>
    <row r="259" spans="1:24" ht="14.1" customHeight="1" x14ac:dyDescent="0.2">
      <c r="A259" s="131" t="str">
        <f>A16</f>
        <v>None</v>
      </c>
      <c r="B259" s="124" t="e">
        <f>VLOOKUP($A16,'Template IF 2'!$B$3:$HH$112,176,FALSE)</f>
        <v>#N/A</v>
      </c>
      <c r="C259" s="124" t="e">
        <f>VLOOKUP($A16,'Template IF 2'!$B$3:$HH$112,177,FALSE)</f>
        <v>#N/A</v>
      </c>
      <c r="D259" s="124" t="e">
        <f>VLOOKUP($A16,'Template IF 2'!$B$3:$HH$112,178,FALSE)</f>
        <v>#N/A</v>
      </c>
      <c r="E259" s="124" t="e">
        <f>VLOOKUP($A16,'Template IF 2'!$B$3:$HH$112,179,FALSE)</f>
        <v>#N/A</v>
      </c>
      <c r="F259" s="127"/>
      <c r="G259" s="127"/>
      <c r="H259" s="129" t="e">
        <f>VLOOKUP($A16,'Template IF 2'!$B$3:$HH$112,180,FALSE)</f>
        <v>#N/A</v>
      </c>
      <c r="I259" s="129" t="e">
        <f>VLOOKUP($A16,'Template IF 2'!$B$3:$HH$112,181,FALSE)</f>
        <v>#N/A</v>
      </c>
      <c r="J259" s="129" t="e">
        <f>VLOOKUP($A16,'Template IF 2'!$B$3:$HH$112,182,FALSE)</f>
        <v>#N/A</v>
      </c>
      <c r="K259" s="129" t="e">
        <f>VLOOKUP($A16,'Template IF 2'!$B$3:$HH$112,183,FALSE)</f>
        <v>#N/A</v>
      </c>
      <c r="L259" s="127"/>
    </row>
    <row r="260" spans="1:24" ht="14.1" customHeight="1" x14ac:dyDescent="0.2">
      <c r="A260" s="131" t="str">
        <f>A18</f>
        <v>None</v>
      </c>
      <c r="B260" s="124" t="e">
        <f>VLOOKUP($A18,'Template IF 2'!$B$3:$HH$112,176,FALSE)</f>
        <v>#N/A</v>
      </c>
      <c r="C260" s="124" t="e">
        <f>VLOOKUP($A18,'Template IF 2'!$B$3:$HH$112,177,FALSE)</f>
        <v>#N/A</v>
      </c>
      <c r="D260" s="124" t="e">
        <f>VLOOKUP($A18,'Template IF 2'!$B$3:$HH$112,178,FALSE)</f>
        <v>#N/A</v>
      </c>
      <c r="E260" s="124" t="e">
        <f>VLOOKUP($A18,'Template IF 2'!$B$3:$HH$112,179,FALSE)</f>
        <v>#N/A</v>
      </c>
      <c r="F260" s="127"/>
      <c r="G260" s="127"/>
      <c r="H260" s="129" t="e">
        <f>VLOOKUP($A18,'Template IF 2'!$B$3:$HH$112,180,FALSE)</f>
        <v>#N/A</v>
      </c>
      <c r="I260" s="129" t="e">
        <f>VLOOKUP($A18,'Template IF 2'!$B$3:$HH$112,181,FALSE)</f>
        <v>#N/A</v>
      </c>
      <c r="J260" s="129" t="e">
        <f>VLOOKUP($A18,'Template IF 2'!$B$3:$HH$112,182,FALSE)</f>
        <v>#N/A</v>
      </c>
      <c r="K260" s="129" t="e">
        <f>VLOOKUP($A18,'Template IF 2'!$B$3:$HH$112,183,FALSE)</f>
        <v>#N/A</v>
      </c>
      <c r="L260" s="127"/>
      <c r="S260" s="24"/>
      <c r="T260" s="24"/>
      <c r="U260" s="24"/>
      <c r="V260" s="24"/>
      <c r="X260" s="24"/>
    </row>
    <row r="261" spans="1:24" ht="14.1" customHeight="1" x14ac:dyDescent="0.2">
      <c r="A261" s="131" t="str">
        <f>A20</f>
        <v>None</v>
      </c>
      <c r="B261" s="124" t="e">
        <f>VLOOKUP($A20,'Template IF 2'!$B$3:$HH$112,176,FALSE)</f>
        <v>#N/A</v>
      </c>
      <c r="C261" s="124" t="e">
        <f>VLOOKUP($A20,'Template IF 2'!$B$3:$HH$112,177,FALSE)</f>
        <v>#N/A</v>
      </c>
      <c r="D261" s="124" t="e">
        <f>VLOOKUP($A20,'Template IF 2'!$B$3:$HH$112,178,FALSE)</f>
        <v>#N/A</v>
      </c>
      <c r="E261" s="124" t="e">
        <f>VLOOKUP($A20,'Template IF 2'!$B$3:$HH$112,179,FALSE)</f>
        <v>#N/A</v>
      </c>
      <c r="F261" s="127"/>
      <c r="G261" s="127"/>
      <c r="H261" s="129" t="e">
        <f>VLOOKUP($A20,'Template IF 2'!$B$3:$HH$112,180,FALSE)</f>
        <v>#N/A</v>
      </c>
      <c r="I261" s="129" t="e">
        <f>VLOOKUP($A20,'Template IF 2'!$B$3:$HH$112,181,FALSE)</f>
        <v>#N/A</v>
      </c>
      <c r="J261" s="129" t="e">
        <f>VLOOKUP($A20,'Template IF 2'!$B$3:$HH$112,182,FALSE)</f>
        <v>#N/A</v>
      </c>
      <c r="K261" s="129" t="e">
        <f>VLOOKUP($A20,'Template IF 2'!$B$3:$HH$112,183,FALSE)</f>
        <v>#N/A</v>
      </c>
      <c r="L261" s="127"/>
      <c r="S261" s="24"/>
      <c r="T261" s="24"/>
      <c r="U261" s="24"/>
      <c r="V261" s="24"/>
      <c r="X261" s="24"/>
    </row>
    <row r="262" spans="1:24" ht="14.1" customHeight="1" x14ac:dyDescent="0.2">
      <c r="A262" s="131" t="str">
        <f>A22</f>
        <v>None</v>
      </c>
      <c r="B262" s="124" t="e">
        <f>VLOOKUP($A22,'Template IF 2'!$B$3:$HH$112,176,FALSE)</f>
        <v>#N/A</v>
      </c>
      <c r="C262" s="124" t="e">
        <f>VLOOKUP($A22,'Template IF 2'!$B$3:$HH$112,177,FALSE)</f>
        <v>#N/A</v>
      </c>
      <c r="D262" s="124" t="e">
        <f>VLOOKUP($A22,'Template IF 2'!$B$3:$HH$112,178,FALSE)</f>
        <v>#N/A</v>
      </c>
      <c r="E262" s="124" t="e">
        <f>VLOOKUP($A22,'Template IF 2'!$B$3:$HH$112,179,FALSE)</f>
        <v>#N/A</v>
      </c>
      <c r="F262" s="127"/>
      <c r="G262" s="127"/>
      <c r="H262" s="129" t="e">
        <f>VLOOKUP($A22,'Template IF 2'!$B$3:$HH$112,180,FALSE)</f>
        <v>#N/A</v>
      </c>
      <c r="I262" s="129" t="e">
        <f>VLOOKUP($A22,'Template IF 2'!$B$3:$HH$112,181,FALSE)</f>
        <v>#N/A</v>
      </c>
      <c r="J262" s="129" t="e">
        <f>VLOOKUP($A22,'Template IF 2'!$B$3:$HH$112,182,FALSE)</f>
        <v>#N/A</v>
      </c>
      <c r="K262" s="129" t="e">
        <f>VLOOKUP($A22,'Template IF 2'!$B$3:$HH$112,183,FALSE)</f>
        <v>#N/A</v>
      </c>
      <c r="L262" s="127"/>
    </row>
    <row r="263" spans="1:24" ht="14.1" customHeight="1" x14ac:dyDescent="0.2">
      <c r="A263" s="131" t="str">
        <f>A24</f>
        <v>None</v>
      </c>
      <c r="B263" s="124" t="e">
        <f>VLOOKUP($A24,'Template IF 2'!$B$3:$HH$112,176,FALSE)</f>
        <v>#N/A</v>
      </c>
      <c r="C263" s="124" t="e">
        <f>VLOOKUP($A24,'Template IF 2'!$B$3:$HH$112,177,FALSE)</f>
        <v>#N/A</v>
      </c>
      <c r="D263" s="124" t="e">
        <f>VLOOKUP($A24,'Template IF 2'!$B$3:$HH$112,178,FALSE)</f>
        <v>#N/A</v>
      </c>
      <c r="E263" s="124" t="e">
        <f>VLOOKUP($A24,'Template IF 2'!$B$3:$HH$112,179,FALSE)</f>
        <v>#N/A</v>
      </c>
      <c r="F263" s="127"/>
      <c r="G263" s="127"/>
      <c r="H263" s="129" t="e">
        <f>VLOOKUP($A24,'Template IF 2'!$B$3:$HH$112,180,FALSE)</f>
        <v>#N/A</v>
      </c>
      <c r="I263" s="129" t="e">
        <f>VLOOKUP($A24,'Template IF 2'!$B$3:$HH$112,181,FALSE)</f>
        <v>#N/A</v>
      </c>
      <c r="J263" s="129" t="e">
        <f>VLOOKUP($A24,'Template IF 2'!$B$3:$HH$112,182,FALSE)</f>
        <v>#N/A</v>
      </c>
      <c r="K263" s="129" t="e">
        <f>VLOOKUP($A24,'Template IF 2'!$B$3:$HH$112,183,FALSE)</f>
        <v>#N/A</v>
      </c>
      <c r="L263" s="127"/>
    </row>
    <row r="264" spans="1:24" ht="14.1" customHeight="1" x14ac:dyDescent="0.2">
      <c r="A264" s="118" t="str">
        <f>A26</f>
        <v>None</v>
      </c>
      <c r="B264" s="126" t="e">
        <f>VLOOKUP($A26,'Template IF 2'!$B$3:$HH$112,176,FALSE)</f>
        <v>#N/A</v>
      </c>
      <c r="C264" s="126" t="e">
        <f>VLOOKUP($A26,'Template IF 2'!$B$3:$HH$112,177,FALSE)</f>
        <v>#N/A</v>
      </c>
      <c r="D264" s="126" t="e">
        <f>VLOOKUP($A26,'Template IF 2'!$B$3:$HH$112,178,FALSE)</f>
        <v>#N/A</v>
      </c>
      <c r="E264" s="126" t="e">
        <f>VLOOKUP($A26,'Template IF 2'!$B$3:$HH$112,179,FALSE)</f>
        <v>#N/A</v>
      </c>
      <c r="F264" s="138"/>
      <c r="G264" s="138"/>
      <c r="H264" s="130" t="e">
        <f>VLOOKUP($A26,'Template IF 2'!$B$3:$HH$112,180,FALSE)</f>
        <v>#N/A</v>
      </c>
      <c r="I264" s="130" t="e">
        <f>VLOOKUP($A26,'Template IF 2'!$B$3:$HH$112,181,FALSE)</f>
        <v>#N/A</v>
      </c>
      <c r="J264" s="130" t="e">
        <f>VLOOKUP($A26,'Template IF 2'!$B$3:$HH$112,182,FALSE)</f>
        <v>#N/A</v>
      </c>
      <c r="K264" s="130" t="e">
        <f>VLOOKUP($A26,'Template IF 2'!$B$3:$HH$112,183,FALSE)</f>
        <v>#N/A</v>
      </c>
      <c r="L264" s="127"/>
      <c r="N264"/>
      <c r="O264"/>
    </row>
    <row r="265" spans="1:24" ht="13.5" customHeight="1" x14ac:dyDescent="0.2">
      <c r="A265" s="131"/>
      <c r="B265" s="187" t="s">
        <v>51</v>
      </c>
      <c r="C265" s="187"/>
      <c r="D265" s="187"/>
      <c r="E265" s="187"/>
      <c r="F265" s="157"/>
      <c r="G265" s="119"/>
      <c r="H265" s="187" t="s">
        <v>172</v>
      </c>
      <c r="I265" s="187"/>
      <c r="J265" s="187"/>
      <c r="K265" s="187"/>
      <c r="L265" s="157"/>
      <c r="N265"/>
      <c r="O265"/>
    </row>
    <row r="266" spans="1:24" x14ac:dyDescent="0.2">
      <c r="A266" s="118"/>
      <c r="B266" s="158" t="s">
        <v>455</v>
      </c>
      <c r="C266" s="158" t="s">
        <v>456</v>
      </c>
      <c r="D266" s="158" t="s">
        <v>457</v>
      </c>
      <c r="E266" s="158" t="s">
        <v>454</v>
      </c>
      <c r="F266" s="120"/>
      <c r="G266" s="120"/>
      <c r="H266" s="158" t="s">
        <v>455</v>
      </c>
      <c r="I266" s="158" t="s">
        <v>456</v>
      </c>
      <c r="J266" s="158" t="s">
        <v>457</v>
      </c>
      <c r="K266" s="158" t="s">
        <v>454</v>
      </c>
      <c r="L266" s="28"/>
      <c r="N266"/>
      <c r="O266"/>
    </row>
    <row r="267" spans="1:24" ht="14.1" customHeight="1" x14ac:dyDescent="0.2">
      <c r="A267" s="131" t="s">
        <v>29</v>
      </c>
      <c r="B267" s="134">
        <f>'Template IF 2'!GC3</f>
        <v>7645</v>
      </c>
      <c r="C267" s="134">
        <f>'Template IF 2'!GD3</f>
        <v>8614</v>
      </c>
      <c r="D267" s="134">
        <f>'Template IF 2'!GE3</f>
        <v>9500</v>
      </c>
      <c r="E267" s="134">
        <f>'Template IF 2'!GF3</f>
        <v>10492</v>
      </c>
      <c r="F267" s="127"/>
      <c r="G267" s="127"/>
      <c r="H267" s="132">
        <f>'Template IF 2'!GG3</f>
        <v>33.142461162791385</v>
      </c>
      <c r="I267" s="132">
        <f>'Template IF 2'!GH3</f>
        <v>34.890846206213695</v>
      </c>
      <c r="J267" s="132">
        <f>'Template IF 2'!GI3</f>
        <v>35.354923234734287</v>
      </c>
      <c r="K267" s="132">
        <f>'Template IF 2'!GJ3</f>
        <v>36.850445687301963</v>
      </c>
      <c r="L267" s="127"/>
    </row>
    <row r="268" spans="1:24" ht="14.1" customHeight="1" x14ac:dyDescent="0.2">
      <c r="A268" s="131" t="str">
        <f>A16</f>
        <v>None</v>
      </c>
      <c r="B268" s="124" t="e">
        <f>VLOOKUP($A16,'Template IF 2'!$B$3:$HH$112,184,FALSE)</f>
        <v>#N/A</v>
      </c>
      <c r="C268" s="124" t="e">
        <f>VLOOKUP($A16,'Template IF 2'!$B$3:$HH$112,185,FALSE)</f>
        <v>#N/A</v>
      </c>
      <c r="D268" s="124" t="e">
        <f>VLOOKUP($A16,'Template IF 2'!$B$3:$HH$112,186,FALSE)</f>
        <v>#N/A</v>
      </c>
      <c r="E268" s="124" t="e">
        <f>VLOOKUP($A16,'Template IF 2'!$B$3:$HH$112,187,FALSE)</f>
        <v>#N/A</v>
      </c>
      <c r="F268" s="127"/>
      <c r="G268" s="127"/>
      <c r="H268" s="129" t="e">
        <f>VLOOKUP($A16,'Template IF 2'!$B$3:$HH$112,188,FALSE)</f>
        <v>#N/A</v>
      </c>
      <c r="I268" s="129" t="e">
        <f>VLOOKUP($A16,'Template IF 2'!$B$3:$HH$112,189,FALSE)</f>
        <v>#N/A</v>
      </c>
      <c r="J268" s="129" t="e">
        <f>VLOOKUP($A16,'Template IF 2'!$B$3:$HH$112,190,FALSE)</f>
        <v>#N/A</v>
      </c>
      <c r="K268" s="129" t="e">
        <f>VLOOKUP($A16,'Template IF 2'!$B$3:$HH$112,191,FALSE)</f>
        <v>#N/A</v>
      </c>
      <c r="L268" s="127"/>
    </row>
    <row r="269" spans="1:24" ht="14.1" customHeight="1" x14ac:dyDescent="0.2">
      <c r="A269" s="131" t="str">
        <f>A18</f>
        <v>None</v>
      </c>
      <c r="B269" s="124" t="e">
        <f>VLOOKUP($A18,'Template IF 2'!$B$3:$HH$112,184,FALSE)</f>
        <v>#N/A</v>
      </c>
      <c r="C269" s="124" t="e">
        <f>VLOOKUP($A18,'Template IF 2'!$B$3:$HH$112,185,FALSE)</f>
        <v>#N/A</v>
      </c>
      <c r="D269" s="124" t="e">
        <f>VLOOKUP($A18,'Template IF 2'!$B$3:$HH$112,186,FALSE)</f>
        <v>#N/A</v>
      </c>
      <c r="E269" s="124" t="e">
        <f>VLOOKUP($A18,'Template IF 2'!$B$3:$HH$112,187,FALSE)</f>
        <v>#N/A</v>
      </c>
      <c r="F269" s="127"/>
      <c r="G269" s="127"/>
      <c r="H269" s="129" t="e">
        <f>VLOOKUP($A18,'Template IF 2'!$B$3:$HH$112,188,FALSE)</f>
        <v>#N/A</v>
      </c>
      <c r="I269" s="129" t="e">
        <f>VLOOKUP($A18,'Template IF 2'!$B$3:$HH$112,189,FALSE)</f>
        <v>#N/A</v>
      </c>
      <c r="J269" s="129" t="e">
        <f>VLOOKUP($A18,'Template IF 2'!$B$3:$HH$112,190,FALSE)</f>
        <v>#N/A</v>
      </c>
      <c r="K269" s="129" t="e">
        <f>VLOOKUP($A18,'Template IF 2'!$B$3:$HH$112,191,FALSE)</f>
        <v>#N/A</v>
      </c>
      <c r="L269" s="127"/>
    </row>
    <row r="270" spans="1:24" ht="14.1" customHeight="1" x14ac:dyDescent="0.2">
      <c r="A270" s="131" t="str">
        <f>A20</f>
        <v>None</v>
      </c>
      <c r="B270" s="124" t="e">
        <f>VLOOKUP($A20,'Template IF 2'!$B$3:$HH$112,184,FALSE)</f>
        <v>#N/A</v>
      </c>
      <c r="C270" s="124" t="e">
        <f>VLOOKUP($A20,'Template IF 2'!$B$3:$HH$112,185,FALSE)</f>
        <v>#N/A</v>
      </c>
      <c r="D270" s="124" t="e">
        <f>VLOOKUP($A20,'Template IF 2'!$B$3:$HH$112,186,FALSE)</f>
        <v>#N/A</v>
      </c>
      <c r="E270" s="124" t="e">
        <f>VLOOKUP($A20,'Template IF 2'!$B$3:$HH$112,187,FALSE)</f>
        <v>#N/A</v>
      </c>
      <c r="F270" s="127"/>
      <c r="G270" s="127"/>
      <c r="H270" s="129" t="e">
        <f>VLOOKUP($A20,'Template IF 2'!$B$3:$HH$112,188,FALSE)</f>
        <v>#N/A</v>
      </c>
      <c r="I270" s="129" t="e">
        <f>VLOOKUP($A20,'Template IF 2'!$B$3:$HH$112,189,FALSE)</f>
        <v>#N/A</v>
      </c>
      <c r="J270" s="129" t="e">
        <f>VLOOKUP($A20,'Template IF 2'!$B$3:$HH$112,190,FALSE)</f>
        <v>#N/A</v>
      </c>
      <c r="K270" s="129" t="e">
        <f>VLOOKUP($A20,'Template IF 2'!$B$3:$HH$112,191,FALSE)</f>
        <v>#N/A</v>
      </c>
      <c r="L270" s="127"/>
    </row>
    <row r="271" spans="1:24" ht="14.1" customHeight="1" x14ac:dyDescent="0.2">
      <c r="A271" s="131" t="str">
        <f>A22</f>
        <v>None</v>
      </c>
      <c r="B271" s="124" t="e">
        <f>VLOOKUP($A22,'Template IF 2'!$B$3:$HH$112,184,FALSE)</f>
        <v>#N/A</v>
      </c>
      <c r="C271" s="124" t="e">
        <f>VLOOKUP($A22,'Template IF 2'!$B$3:$HH$112,185,FALSE)</f>
        <v>#N/A</v>
      </c>
      <c r="D271" s="124" t="e">
        <f>VLOOKUP($A22,'Template IF 2'!$B$3:$HH$112,186,FALSE)</f>
        <v>#N/A</v>
      </c>
      <c r="E271" s="124" t="e">
        <f>VLOOKUP($A22,'Template IF 2'!$B$3:$HH$112,187,FALSE)</f>
        <v>#N/A</v>
      </c>
      <c r="F271" s="127"/>
      <c r="G271" s="127"/>
      <c r="H271" s="129" t="e">
        <f>VLOOKUP($A22,'Template IF 2'!$B$3:$HH$112,188,FALSE)</f>
        <v>#N/A</v>
      </c>
      <c r="I271" s="129" t="e">
        <f>VLOOKUP($A22,'Template IF 2'!$B$3:$HH$112,189,FALSE)</f>
        <v>#N/A</v>
      </c>
      <c r="J271" s="129" t="e">
        <f>VLOOKUP($A22,'Template IF 2'!$B$3:$HH$112,190,FALSE)</f>
        <v>#N/A</v>
      </c>
      <c r="K271" s="129" t="e">
        <f>VLOOKUP($A22,'Template IF 2'!$B$3:$HH$112,191,FALSE)</f>
        <v>#N/A</v>
      </c>
      <c r="L271" s="127"/>
    </row>
    <row r="272" spans="1:24" ht="14.1" customHeight="1" x14ac:dyDescent="0.2">
      <c r="A272" s="131" t="str">
        <f>A24</f>
        <v>None</v>
      </c>
      <c r="B272" s="124" t="e">
        <f>VLOOKUP($A24,'Template IF 2'!$B$3:$HH$112,184,FALSE)</f>
        <v>#N/A</v>
      </c>
      <c r="C272" s="124" t="e">
        <f>VLOOKUP($A24,'Template IF 2'!$B$3:$HH$112,185,FALSE)</f>
        <v>#N/A</v>
      </c>
      <c r="D272" s="124" t="e">
        <f>VLOOKUP($A24,'Template IF 2'!$B$3:$HH$112,186,FALSE)</f>
        <v>#N/A</v>
      </c>
      <c r="E272" s="124" t="e">
        <f>VLOOKUP($A24,'Template IF 2'!$B$3:$HH$112,187,FALSE)</f>
        <v>#N/A</v>
      </c>
      <c r="F272" s="127"/>
      <c r="G272" s="127"/>
      <c r="H272" s="129" t="e">
        <f>VLOOKUP($A24,'Template IF 2'!$B$3:$HH$112,188,FALSE)</f>
        <v>#N/A</v>
      </c>
      <c r="I272" s="129" t="e">
        <f>VLOOKUP($A24,'Template IF 2'!$B$3:$HH$112,189,FALSE)</f>
        <v>#N/A</v>
      </c>
      <c r="J272" s="129" t="e">
        <f>VLOOKUP($A24,'Template IF 2'!$B$3:$HH$112,190,FALSE)</f>
        <v>#N/A</v>
      </c>
      <c r="K272" s="129" t="e">
        <f>VLOOKUP($A24,'Template IF 2'!$B$3:$HH$112,191,FALSE)</f>
        <v>#N/A</v>
      </c>
      <c r="L272" s="127"/>
    </row>
    <row r="273" spans="1:24" ht="14.1" customHeight="1" x14ac:dyDescent="0.2">
      <c r="A273" s="118" t="str">
        <f>A26</f>
        <v>None</v>
      </c>
      <c r="B273" s="126" t="e">
        <f>VLOOKUP($A26,'Template IF 2'!$B$3:$HH$112,184,FALSE)</f>
        <v>#N/A</v>
      </c>
      <c r="C273" s="126" t="e">
        <f>VLOOKUP($A26,'Template IF 2'!$B$3:$HH$112,185,FALSE)</f>
        <v>#N/A</v>
      </c>
      <c r="D273" s="126" t="e">
        <f>VLOOKUP($A26,'Template IF 2'!$B$3:$HH$112,186,FALSE)</f>
        <v>#N/A</v>
      </c>
      <c r="E273" s="126" t="e">
        <f>VLOOKUP($A26,'Template IF 2'!$B$3:$HH$112,187,FALSE)</f>
        <v>#N/A</v>
      </c>
      <c r="F273" s="138"/>
      <c r="G273" s="138"/>
      <c r="H273" s="130" t="e">
        <f>VLOOKUP($A26,'Template IF 2'!$B$3:$HH$112,188,FALSE)</f>
        <v>#N/A</v>
      </c>
      <c r="I273" s="130" t="e">
        <f>VLOOKUP($A26,'Template IF 2'!$B$3:$HH$112,189,FALSE)</f>
        <v>#N/A</v>
      </c>
      <c r="J273" s="130" t="e">
        <f>VLOOKUP($A26,'Template IF 2'!$B$3:$HH$112,190,FALSE)</f>
        <v>#N/A</v>
      </c>
      <c r="K273" s="130" t="e">
        <f>VLOOKUP($A26,'Template IF 2'!$B$3:$HH$112,191,FALSE)</f>
        <v>#N/A</v>
      </c>
      <c r="L273" s="127"/>
    </row>
    <row r="274" spans="1:24" x14ac:dyDescent="0.2">
      <c r="A274" s="146" t="s">
        <v>173</v>
      </c>
      <c r="B274" s="127"/>
      <c r="C274" s="127"/>
      <c r="D274" s="127"/>
      <c r="E274" s="127"/>
      <c r="F274" s="127"/>
      <c r="G274" s="127"/>
      <c r="H274" s="127"/>
      <c r="I274" s="127"/>
      <c r="J274" s="127"/>
      <c r="K274" s="127"/>
      <c r="L274" s="127"/>
      <c r="N274"/>
      <c r="O274"/>
    </row>
    <row r="275" spans="1:24" x14ac:dyDescent="0.2">
      <c r="A275" s="146"/>
      <c r="B275" s="127"/>
      <c r="C275" s="127"/>
      <c r="D275" s="127"/>
      <c r="E275" s="127"/>
      <c r="F275" s="127"/>
      <c r="G275" s="127"/>
      <c r="H275" s="127"/>
      <c r="I275" s="127"/>
      <c r="J275" s="127"/>
      <c r="K275" s="127"/>
      <c r="L275" s="127"/>
      <c r="N275"/>
      <c r="O275"/>
    </row>
    <row r="276" spans="1:24" x14ac:dyDescent="0.2">
      <c r="A276" s="146"/>
      <c r="B276" s="127"/>
      <c r="C276" s="127"/>
      <c r="D276" s="127"/>
      <c r="E276" s="127"/>
      <c r="F276" s="127"/>
      <c r="G276" s="127"/>
      <c r="H276" s="127"/>
      <c r="I276" s="127"/>
      <c r="J276" s="127"/>
      <c r="K276" s="127"/>
      <c r="L276" s="127"/>
      <c r="N276"/>
      <c r="O276"/>
    </row>
    <row r="277" spans="1:24" x14ac:dyDescent="0.2">
      <c r="A277" s="146"/>
      <c r="B277" s="127"/>
      <c r="C277" s="127"/>
      <c r="D277" s="127"/>
      <c r="E277" s="127"/>
      <c r="F277" s="127"/>
      <c r="G277" s="127"/>
      <c r="H277" s="127"/>
      <c r="I277" s="127"/>
      <c r="J277" s="127"/>
      <c r="K277" s="127"/>
      <c r="L277" s="127"/>
      <c r="N277"/>
      <c r="O277"/>
    </row>
    <row r="278" spans="1:24" x14ac:dyDescent="0.2">
      <c r="A278" s="146"/>
      <c r="B278" s="127"/>
      <c r="C278" s="127"/>
      <c r="D278" s="127"/>
      <c r="E278" s="127"/>
      <c r="F278" s="127"/>
      <c r="G278" s="127"/>
      <c r="H278" s="127"/>
      <c r="I278" s="127"/>
      <c r="J278" s="127"/>
      <c r="K278" s="127"/>
      <c r="L278" s="127"/>
      <c r="N278"/>
      <c r="O278"/>
    </row>
    <row r="279" spans="1:24" x14ac:dyDescent="0.2">
      <c r="A279" s="146"/>
      <c r="B279" s="127"/>
      <c r="C279" s="127"/>
      <c r="D279" s="127"/>
      <c r="E279" s="127"/>
      <c r="F279" s="127"/>
      <c r="G279" s="127"/>
      <c r="H279" s="127"/>
      <c r="I279" s="127"/>
      <c r="J279" s="127"/>
      <c r="K279" s="127"/>
      <c r="L279" s="127"/>
      <c r="M279" s="24"/>
      <c r="N279"/>
      <c r="O279"/>
      <c r="P279" s="24"/>
      <c r="Q279" s="24"/>
      <c r="S279" s="24"/>
      <c r="T279" s="24"/>
      <c r="U279" s="24"/>
      <c r="V279" s="24"/>
      <c r="X279" s="24"/>
    </row>
    <row r="280" spans="1:24" x14ac:dyDescent="0.2">
      <c r="A280" s="146"/>
      <c r="B280" s="127"/>
      <c r="C280" s="127"/>
      <c r="D280" s="127"/>
      <c r="E280" s="127"/>
      <c r="F280" s="127"/>
      <c r="G280" s="127"/>
      <c r="H280" s="127"/>
      <c r="I280" s="127"/>
      <c r="J280" s="127"/>
      <c r="K280" s="127"/>
      <c r="L280" s="127"/>
      <c r="M280" s="24"/>
      <c r="N280"/>
      <c r="O280"/>
      <c r="P280" s="24"/>
      <c r="Q280" s="24"/>
      <c r="S280" s="24"/>
      <c r="T280" s="24"/>
      <c r="U280" s="24"/>
      <c r="V280" s="24"/>
      <c r="X280" s="24"/>
    </row>
    <row r="281" spans="1:24" x14ac:dyDescent="0.2">
      <c r="A281" s="146"/>
      <c r="B281" s="127"/>
      <c r="C281" s="127"/>
      <c r="D281" s="127"/>
      <c r="E281" s="127"/>
      <c r="F281" s="127"/>
      <c r="G281" s="127"/>
      <c r="H281" s="127"/>
      <c r="I281" s="127"/>
      <c r="J281" s="127"/>
      <c r="K281" s="127"/>
      <c r="L281" s="127"/>
      <c r="N281"/>
      <c r="O281"/>
    </row>
    <row r="282" spans="1:24" x14ac:dyDescent="0.2">
      <c r="A282" s="146"/>
      <c r="B282" s="127"/>
      <c r="C282" s="127"/>
      <c r="D282" s="127"/>
      <c r="E282" s="127"/>
      <c r="F282" s="127"/>
      <c r="G282" s="127"/>
      <c r="H282" s="127"/>
      <c r="I282" s="127"/>
      <c r="J282" s="127"/>
      <c r="K282" s="127"/>
      <c r="L282" s="127"/>
      <c r="N282"/>
      <c r="O282"/>
    </row>
    <row r="283" spans="1:24" x14ac:dyDescent="0.2">
      <c r="A283" s="146"/>
      <c r="B283" s="127"/>
      <c r="C283" s="127"/>
      <c r="D283" s="127"/>
      <c r="E283" s="127"/>
      <c r="F283" s="127"/>
      <c r="G283" s="127"/>
      <c r="H283" s="127"/>
      <c r="I283" s="127"/>
      <c r="J283" s="127"/>
      <c r="K283" s="127"/>
      <c r="L283" s="127"/>
      <c r="N283"/>
      <c r="O283"/>
    </row>
    <row r="284" spans="1:24" x14ac:dyDescent="0.2">
      <c r="A284" s="146"/>
      <c r="B284" s="127"/>
      <c r="C284" s="127"/>
      <c r="D284" s="127"/>
      <c r="E284" s="127"/>
      <c r="F284" s="127"/>
      <c r="G284" s="127"/>
      <c r="H284" s="127"/>
      <c r="I284" s="127"/>
      <c r="J284" s="127"/>
      <c r="K284" s="127"/>
      <c r="L284" s="127"/>
      <c r="N284"/>
      <c r="O284"/>
    </row>
    <row r="285" spans="1:24" x14ac:dyDescent="0.2">
      <c r="A285" s="146"/>
      <c r="B285" s="127"/>
      <c r="C285" s="127"/>
      <c r="D285" s="127"/>
      <c r="E285" s="127"/>
      <c r="F285" s="127"/>
      <c r="G285" s="127"/>
      <c r="H285" s="127"/>
      <c r="I285" s="127"/>
      <c r="J285" s="127"/>
      <c r="K285" s="127"/>
      <c r="L285" s="127"/>
      <c r="N285"/>
      <c r="O285"/>
    </row>
    <row r="286" spans="1:24" x14ac:dyDescent="0.2">
      <c r="A286" s="146"/>
      <c r="B286" s="127"/>
      <c r="C286" s="127"/>
      <c r="D286" s="127"/>
      <c r="E286" s="127"/>
      <c r="F286" s="127"/>
      <c r="G286" s="127"/>
      <c r="H286" s="127"/>
      <c r="I286" s="127"/>
      <c r="J286" s="127"/>
      <c r="K286" s="127"/>
      <c r="L286" s="127"/>
      <c r="N286"/>
      <c r="O286"/>
    </row>
    <row r="287" spans="1:24" x14ac:dyDescent="0.2">
      <c r="A287" s="146"/>
      <c r="B287" s="127"/>
      <c r="C287" s="127"/>
      <c r="D287" s="127"/>
      <c r="E287" s="127"/>
      <c r="F287" s="127"/>
      <c r="G287" s="127"/>
      <c r="H287" s="127"/>
      <c r="I287" s="127"/>
      <c r="J287" s="127"/>
      <c r="K287" s="127"/>
      <c r="L287" s="127"/>
      <c r="N287"/>
      <c r="O287"/>
    </row>
    <row r="288" spans="1:24" x14ac:dyDescent="0.2">
      <c r="A288" s="146"/>
      <c r="B288" s="127"/>
      <c r="C288" s="127"/>
      <c r="D288" s="127"/>
      <c r="E288" s="127"/>
      <c r="F288" s="127"/>
      <c r="G288" s="127"/>
      <c r="H288" s="127"/>
      <c r="I288" s="127"/>
      <c r="J288" s="127"/>
      <c r="K288" s="127"/>
      <c r="L288" s="127"/>
      <c r="N288"/>
      <c r="O288"/>
    </row>
    <row r="289" spans="1:15" x14ac:dyDescent="0.2">
      <c r="A289" s="146"/>
      <c r="B289" s="127"/>
      <c r="C289" s="127"/>
      <c r="D289" s="127"/>
      <c r="E289" s="127"/>
      <c r="F289" s="127"/>
      <c r="G289" s="127"/>
      <c r="H289" s="127"/>
      <c r="I289" s="127"/>
      <c r="J289" s="127"/>
      <c r="K289" s="127"/>
      <c r="L289" s="127"/>
      <c r="N289"/>
      <c r="O289"/>
    </row>
    <row r="290" spans="1:15" x14ac:dyDescent="0.2">
      <c r="A290" s="146"/>
      <c r="B290" s="127"/>
      <c r="C290" s="127"/>
      <c r="D290" s="127"/>
      <c r="E290" s="127"/>
      <c r="F290" s="127"/>
      <c r="G290" s="127"/>
      <c r="H290" s="127"/>
      <c r="I290" s="127"/>
      <c r="J290" s="127"/>
      <c r="K290" s="127"/>
      <c r="L290" s="127"/>
      <c r="N290"/>
      <c r="O290"/>
    </row>
    <row r="291" spans="1:15" x14ac:dyDescent="0.2">
      <c r="A291" s="146"/>
      <c r="B291" s="127"/>
      <c r="C291" s="127"/>
      <c r="D291" s="127"/>
      <c r="E291" s="127"/>
      <c r="F291" s="127"/>
      <c r="G291" s="127"/>
      <c r="H291" s="127"/>
      <c r="I291" s="127"/>
      <c r="J291" s="127"/>
      <c r="K291" s="127"/>
      <c r="L291" s="127"/>
      <c r="N291"/>
      <c r="O291"/>
    </row>
    <row r="292" spans="1:15" x14ac:dyDescent="0.2">
      <c r="A292" s="146"/>
      <c r="B292" s="127"/>
      <c r="C292" s="127"/>
      <c r="D292" s="127"/>
      <c r="E292" s="127"/>
      <c r="F292" s="127"/>
      <c r="G292" s="127"/>
      <c r="H292" s="127"/>
      <c r="I292" s="127"/>
      <c r="J292" s="127"/>
      <c r="K292" s="127"/>
      <c r="L292" s="127"/>
      <c r="N292"/>
      <c r="O292"/>
    </row>
    <row r="293" spans="1:15" x14ac:dyDescent="0.2">
      <c r="A293" s="146"/>
      <c r="B293" s="127"/>
      <c r="C293" s="127"/>
      <c r="D293" s="127"/>
      <c r="E293" s="127"/>
      <c r="F293" s="127"/>
      <c r="G293" s="127"/>
      <c r="H293" s="127"/>
      <c r="I293" s="127"/>
      <c r="J293" s="127"/>
      <c r="K293" s="127"/>
      <c r="L293" s="127"/>
      <c r="N293"/>
      <c r="O293"/>
    </row>
    <row r="294" spans="1:15" x14ac:dyDescent="0.2">
      <c r="A294" s="146"/>
      <c r="B294" s="127"/>
      <c r="C294" s="127"/>
      <c r="D294" s="127"/>
      <c r="E294" s="127"/>
      <c r="F294" s="127"/>
      <c r="G294" s="127"/>
      <c r="H294" s="127"/>
      <c r="I294" s="127"/>
      <c r="J294" s="127"/>
      <c r="K294" s="127"/>
      <c r="L294" s="127"/>
      <c r="N294"/>
      <c r="O294"/>
    </row>
    <row r="295" spans="1:15" x14ac:dyDescent="0.2">
      <c r="A295" s="146"/>
      <c r="B295" s="127"/>
      <c r="C295" s="127"/>
      <c r="D295" s="127"/>
      <c r="E295" s="127"/>
      <c r="F295" s="127"/>
      <c r="G295" s="127"/>
      <c r="H295" s="127"/>
      <c r="I295" s="127"/>
      <c r="J295" s="127"/>
      <c r="K295" s="127"/>
      <c r="L295" s="127"/>
      <c r="N295"/>
      <c r="O295"/>
    </row>
    <row r="296" spans="1:15" x14ac:dyDescent="0.2">
      <c r="A296" s="146"/>
      <c r="B296" s="127"/>
      <c r="C296" s="127"/>
      <c r="D296" s="127"/>
      <c r="E296" s="127"/>
      <c r="F296" s="127"/>
      <c r="G296" s="127"/>
      <c r="H296" s="127"/>
      <c r="I296" s="127"/>
      <c r="J296" s="127"/>
      <c r="K296" s="127"/>
      <c r="L296" s="127"/>
      <c r="N296"/>
      <c r="O296"/>
    </row>
    <row r="297" spans="1:15" x14ac:dyDescent="0.2">
      <c r="A297" s="146"/>
      <c r="B297" s="127"/>
      <c r="C297" s="127"/>
      <c r="D297" s="127"/>
      <c r="E297" s="127"/>
      <c r="F297" s="127"/>
      <c r="G297" s="127"/>
      <c r="H297" s="127"/>
      <c r="I297" s="127"/>
      <c r="J297" s="127"/>
      <c r="K297" s="127"/>
      <c r="L297" s="127"/>
      <c r="N297"/>
      <c r="O297"/>
    </row>
    <row r="298" spans="1:15" x14ac:dyDescent="0.2">
      <c r="A298" s="146"/>
      <c r="B298" s="127"/>
      <c r="C298" s="127"/>
      <c r="D298" s="127"/>
      <c r="E298" s="127"/>
      <c r="F298" s="127"/>
      <c r="G298" s="127"/>
      <c r="H298" s="127"/>
      <c r="I298" s="127"/>
      <c r="J298" s="127"/>
      <c r="K298" s="127"/>
      <c r="L298" s="127"/>
      <c r="N298"/>
      <c r="O298"/>
    </row>
    <row r="299" spans="1:15" x14ac:dyDescent="0.2">
      <c r="A299" s="146"/>
      <c r="B299" s="127"/>
      <c r="C299" s="127"/>
      <c r="D299" s="127"/>
      <c r="E299" s="127"/>
      <c r="F299" s="127"/>
      <c r="G299" s="127"/>
      <c r="H299" s="127"/>
      <c r="I299" s="127"/>
      <c r="J299" s="127"/>
      <c r="K299" s="127"/>
      <c r="L299" s="127"/>
      <c r="N299"/>
      <c r="O299"/>
    </row>
    <row r="300" spans="1:15" x14ac:dyDescent="0.2">
      <c r="A300" s="146"/>
      <c r="B300" s="127"/>
      <c r="C300" s="127"/>
      <c r="D300" s="127"/>
      <c r="E300" s="127"/>
      <c r="F300" s="127"/>
      <c r="G300" s="127"/>
      <c r="H300" s="127"/>
      <c r="I300" s="127"/>
      <c r="J300" s="127"/>
      <c r="K300" s="127"/>
      <c r="L300" s="127"/>
      <c r="N300"/>
      <c r="O300"/>
    </row>
    <row r="301" spans="1:15" x14ac:dyDescent="0.2">
      <c r="A301" s="146"/>
      <c r="B301" s="127"/>
      <c r="C301" s="127"/>
      <c r="D301" s="127"/>
      <c r="E301" s="127"/>
      <c r="F301" s="127"/>
      <c r="G301" s="127"/>
      <c r="H301" s="127"/>
      <c r="I301" s="127"/>
      <c r="J301" s="127"/>
      <c r="K301" s="127"/>
      <c r="L301" s="127"/>
      <c r="N301"/>
      <c r="O301"/>
    </row>
    <row r="302" spans="1:15" x14ac:dyDescent="0.2">
      <c r="A302" s="146"/>
      <c r="B302" s="127"/>
      <c r="C302" s="127"/>
      <c r="D302" s="127"/>
      <c r="E302" s="127"/>
      <c r="F302" s="127"/>
      <c r="G302" s="127"/>
      <c r="H302" s="127"/>
      <c r="I302" s="127"/>
      <c r="J302" s="127"/>
      <c r="K302" s="127"/>
      <c r="L302" s="127"/>
      <c r="N302"/>
      <c r="O302"/>
    </row>
    <row r="303" spans="1:15" x14ac:dyDescent="0.2">
      <c r="A303" s="146" t="s">
        <v>174</v>
      </c>
      <c r="B303" s="127"/>
      <c r="C303" s="127"/>
      <c r="D303" s="127"/>
      <c r="E303" s="127"/>
      <c r="F303" s="127"/>
      <c r="G303" s="127"/>
      <c r="H303" s="127"/>
      <c r="I303" s="127"/>
      <c r="J303" s="127"/>
      <c r="K303" s="127"/>
      <c r="L303" s="127"/>
      <c r="N303"/>
      <c r="O303"/>
    </row>
    <row r="304" spans="1:15" x14ac:dyDescent="0.2">
      <c r="A304" s="146" t="s">
        <v>150</v>
      </c>
      <c r="B304" s="127"/>
      <c r="C304" s="127"/>
      <c r="D304" s="127"/>
      <c r="E304" s="127"/>
      <c r="F304" s="127"/>
      <c r="G304" s="127"/>
      <c r="H304" s="127"/>
      <c r="I304" s="127"/>
      <c r="J304" s="127"/>
      <c r="K304" s="127"/>
      <c r="L304" s="127"/>
      <c r="N304"/>
      <c r="O304"/>
    </row>
    <row r="305" spans="1:52" x14ac:dyDescent="0.2">
      <c r="A305" s="146" t="s">
        <v>175</v>
      </c>
      <c r="B305" s="127"/>
      <c r="C305" s="127"/>
      <c r="D305" s="127"/>
      <c r="E305" s="127"/>
      <c r="F305" s="127"/>
      <c r="G305" s="127"/>
      <c r="H305" s="127"/>
      <c r="I305" s="127"/>
      <c r="J305" s="127"/>
      <c r="K305" s="127"/>
      <c r="L305" s="127"/>
      <c r="N305"/>
      <c r="O305"/>
    </row>
    <row r="306" spans="1:52" x14ac:dyDescent="0.2">
      <c r="A306" s="169" t="s">
        <v>176</v>
      </c>
      <c r="B306" s="127"/>
      <c r="C306" s="127"/>
      <c r="D306" s="127"/>
      <c r="E306" s="127"/>
      <c r="F306" s="127"/>
      <c r="G306" s="127"/>
      <c r="H306" s="127"/>
      <c r="I306" s="127"/>
      <c r="J306" s="127"/>
      <c r="K306" s="127"/>
      <c r="L306" s="127"/>
      <c r="N306"/>
      <c r="O306"/>
    </row>
    <row r="307" spans="1:52" x14ac:dyDescent="0.2">
      <c r="A307" s="146" t="s">
        <v>177</v>
      </c>
      <c r="B307" s="127"/>
      <c r="C307" s="127"/>
      <c r="D307" s="127"/>
      <c r="E307" s="127"/>
      <c r="F307" s="127"/>
      <c r="G307" s="127"/>
      <c r="H307" s="127"/>
      <c r="I307" s="127"/>
      <c r="J307" s="127"/>
      <c r="K307" s="127"/>
      <c r="L307" s="127"/>
      <c r="N307"/>
      <c r="O307"/>
    </row>
    <row r="308" spans="1:52" x14ac:dyDescent="0.2">
      <c r="A308" s="169" t="s">
        <v>178</v>
      </c>
      <c r="B308" s="127"/>
      <c r="C308" s="127"/>
      <c r="D308" s="127"/>
      <c r="E308" s="127"/>
      <c r="F308" s="127"/>
      <c r="G308" s="127"/>
      <c r="H308" s="127"/>
      <c r="I308" s="127"/>
      <c r="J308" s="127"/>
      <c r="K308" s="127"/>
      <c r="L308" s="127"/>
      <c r="N308"/>
      <c r="O308"/>
    </row>
    <row r="309" spans="1:52" x14ac:dyDescent="0.2">
      <c r="A309" s="146"/>
      <c r="B309" s="127"/>
      <c r="C309" s="127"/>
      <c r="D309" s="127"/>
      <c r="E309" s="127"/>
      <c r="F309" s="127"/>
      <c r="G309" s="127"/>
      <c r="H309" s="127"/>
      <c r="I309" s="127"/>
      <c r="J309" s="127"/>
      <c r="K309" s="127"/>
      <c r="L309" s="127"/>
      <c r="N309"/>
      <c r="O309"/>
    </row>
    <row r="310" spans="1:52" x14ac:dyDescent="0.2">
      <c r="A310" s="146"/>
      <c r="B310" s="127"/>
      <c r="C310" s="127"/>
      <c r="D310" s="127"/>
      <c r="E310" s="127"/>
      <c r="F310" s="127"/>
      <c r="G310" s="127"/>
      <c r="H310" s="127"/>
      <c r="I310" s="127"/>
      <c r="J310" s="127"/>
      <c r="K310" s="127"/>
      <c r="L310" s="127"/>
      <c r="N310"/>
      <c r="O310"/>
    </row>
    <row r="311" spans="1:52" x14ac:dyDescent="0.2">
      <c r="A311" s="146"/>
      <c r="B311" s="127"/>
      <c r="C311" s="127"/>
      <c r="D311" s="127"/>
      <c r="E311" s="127"/>
      <c r="F311" s="127"/>
      <c r="G311" s="127"/>
      <c r="H311" s="127"/>
      <c r="I311" s="127"/>
      <c r="J311" s="127"/>
      <c r="K311" s="127"/>
      <c r="L311" s="127"/>
      <c r="N311"/>
      <c r="O311"/>
      <c r="R311" t="s">
        <v>441</v>
      </c>
    </row>
    <row r="312" spans="1:52" x14ac:dyDescent="0.2">
      <c r="A312" s="146"/>
      <c r="B312" s="127"/>
      <c r="C312" s="127"/>
      <c r="D312" s="127"/>
      <c r="E312" s="127"/>
      <c r="F312" s="127"/>
      <c r="G312" s="127"/>
      <c r="H312" s="127"/>
      <c r="I312" s="127"/>
      <c r="J312" s="127"/>
      <c r="K312" s="127"/>
      <c r="L312" s="127"/>
      <c r="N312"/>
      <c r="O312"/>
    </row>
    <row r="313" spans="1:52" x14ac:dyDescent="0.2">
      <c r="A313" s="146"/>
      <c r="B313" s="127"/>
      <c r="C313" s="127"/>
      <c r="D313" s="127"/>
      <c r="E313" s="127"/>
      <c r="F313" s="127"/>
      <c r="G313" s="127"/>
      <c r="H313" s="127"/>
      <c r="I313" s="127"/>
      <c r="J313" s="127"/>
      <c r="K313" s="127"/>
      <c r="L313" s="127"/>
      <c r="N313"/>
      <c r="O313"/>
      <c r="Q313" s="13">
        <f>'Template IF 2'!GK3</f>
        <v>191</v>
      </c>
      <c r="R313" s="13">
        <f>'Template IF 2'!GL3</f>
        <v>192</v>
      </c>
      <c r="S313" s="13">
        <f>'Template IF 2'!GM3</f>
        <v>193</v>
      </c>
      <c r="T313" s="13">
        <f>'Template IF 2'!GN3</f>
        <v>194</v>
      </c>
      <c r="U313" s="13">
        <f>'Template IF 2'!GO3</f>
        <v>195</v>
      </c>
      <c r="V313" s="13">
        <f>'Template IF 2'!GP3</f>
        <v>196</v>
      </c>
      <c r="W313" s="13">
        <f>'Template IF 2'!GQ3</f>
        <v>197</v>
      </c>
      <c r="X313" s="13">
        <f>'Template IF 2'!GR3</f>
        <v>198</v>
      </c>
      <c r="Y313" s="13">
        <f>'Template IF 2'!GS3</f>
        <v>199</v>
      </c>
      <c r="Z313" s="13">
        <f>'Template IF 2'!GT3</f>
        <v>200</v>
      </c>
      <c r="AA313" s="13">
        <f>'Template IF 2'!GU3</f>
        <v>201</v>
      </c>
      <c r="AB313" s="13">
        <f>'Template IF 2'!GV3</f>
        <v>202</v>
      </c>
      <c r="AC313" s="13">
        <f>'Template IF 2'!GW3</f>
        <v>203</v>
      </c>
      <c r="AD313" s="13">
        <f>'Template IF 2'!GX3</f>
        <v>204</v>
      </c>
      <c r="AE313" s="13">
        <f>'Template IF 2'!GY3</f>
        <v>205</v>
      </c>
      <c r="AF313" s="13">
        <f>'Template IF 2'!GZ3</f>
        <v>206</v>
      </c>
      <c r="AG313" s="13">
        <f>'Template IF 2'!HA3</f>
        <v>207</v>
      </c>
      <c r="AH313" s="13">
        <f>'Template IF 2'!HB3</f>
        <v>208</v>
      </c>
      <c r="AI313" s="13">
        <f>'Template IF 2'!HC3</f>
        <v>209</v>
      </c>
      <c r="AJ313" s="23">
        <f>'Template IF 2'!HD3</f>
        <v>210</v>
      </c>
      <c r="AK313" s="23">
        <f>'Template IF 2'!HE3</f>
        <v>211</v>
      </c>
      <c r="AL313" s="23">
        <f>'Template IF 2'!HF3</f>
        <v>212</v>
      </c>
      <c r="AM313" s="23">
        <f>'Template IF 2'!HG3</f>
        <v>213</v>
      </c>
      <c r="AN313" s="23">
        <f>'Template IF 2'!HH3</f>
        <v>214</v>
      </c>
      <c r="AO313" s="13">
        <f>'Template IF 2'!HI3</f>
        <v>215</v>
      </c>
      <c r="AP313" s="13">
        <f>'Template IF 2'!HJ3</f>
        <v>216</v>
      </c>
      <c r="AQ313" s="13">
        <f>'Template IF 2'!HK3</f>
        <v>217</v>
      </c>
      <c r="AR313" s="22">
        <f>'Template IF 2'!HL3</f>
        <v>218</v>
      </c>
      <c r="AS313" s="22">
        <f>'Template IF 2'!HM3</f>
        <v>219</v>
      </c>
      <c r="AT313" s="22">
        <f>'Template IF 2'!HN3</f>
        <v>220</v>
      </c>
      <c r="AU313" s="22">
        <f>'Template IF 2'!HO3</f>
        <v>221</v>
      </c>
      <c r="AV313" s="22">
        <f>'Template IF 2'!HP3</f>
        <v>222</v>
      </c>
      <c r="AW313" s="12">
        <f>'Template IF 2'!HQ3</f>
        <v>223</v>
      </c>
      <c r="AX313" s="12">
        <f>'Template IF 2'!HR3</f>
        <v>224</v>
      </c>
      <c r="AY313" s="12">
        <f>'Template IF 2'!HS3</f>
        <v>225</v>
      </c>
      <c r="AZ313" s="12">
        <f>'Template IF 2'!HT3</f>
        <v>226</v>
      </c>
    </row>
    <row r="314" spans="1:52" x14ac:dyDescent="0.2">
      <c r="A314" s="146"/>
      <c r="B314" s="127"/>
      <c r="C314" s="127"/>
      <c r="D314" s="127"/>
      <c r="E314" s="127"/>
      <c r="F314" s="127"/>
      <c r="G314" s="127"/>
      <c r="H314" s="127"/>
      <c r="I314" s="127"/>
      <c r="J314" s="127"/>
      <c r="K314" s="127"/>
      <c r="L314" s="127"/>
      <c r="N314"/>
      <c r="O314"/>
      <c r="Q314" s="18" t="e">
        <f>VLOOKUP($A16,'Template IF 2'!$B$3:$HH$112,192,FALSE)</f>
        <v>#N/A</v>
      </c>
      <c r="R314" s="18" t="e">
        <f>VLOOKUP($A16,'Template IF 2'!$B$3:$HH$112,193,FALSE)</f>
        <v>#N/A</v>
      </c>
      <c r="S314" s="18" t="e">
        <f>VLOOKUP($A16,'Template IF 2'!$B$3:$HH$112,194,FALSE)</f>
        <v>#N/A</v>
      </c>
      <c r="T314" s="18" t="e">
        <f>VLOOKUP($A16,'Template IF 2'!$B$3:$HH$112,195,FALSE)</f>
        <v>#N/A</v>
      </c>
      <c r="U314" s="13" t="e">
        <f>VLOOKUP($A16,'Template IF 2'!$B$3:$HH$112,196,FALSE)</f>
        <v>#N/A</v>
      </c>
      <c r="V314" s="13" t="e">
        <f>VLOOKUP($A16,'Template IF 2'!$B$3:$HH$112,197,FALSE)</f>
        <v>#N/A</v>
      </c>
      <c r="W314" s="13" t="e">
        <f>VLOOKUP($A16,'Template IF 2'!$B$3:$HH$112,198,FALSE)</f>
        <v>#N/A</v>
      </c>
      <c r="X314" s="13" t="e">
        <f>VLOOKUP($A16,'Template IF 2'!$B$3:$HH$112,199,FALSE)</f>
        <v>#N/A</v>
      </c>
      <c r="Y314" s="13" t="e">
        <f>VLOOKUP($A16,'Template IF 2'!$B$3:$HH$112,200,FALSE)</f>
        <v>#N/A</v>
      </c>
      <c r="Z314" s="13" t="e">
        <f>VLOOKUP($A16,'Template IF 2'!$B$3:$HH$112,201,FALSE)</f>
        <v>#N/A</v>
      </c>
      <c r="AA314" s="13" t="e">
        <f>VLOOKUP($A16,'Template IF 2'!$B$3:$HH$112,202,FALSE)</f>
        <v>#N/A</v>
      </c>
      <c r="AB314" s="13" t="e">
        <f>VLOOKUP($A16,'Template IF 2'!$B$3:$HH$112,203,FALSE)</f>
        <v>#N/A</v>
      </c>
      <c r="AC314" s="13" t="e">
        <f>VLOOKUP($A16,'Template IF 2'!$B$3:$HH$112,204,FALSE)</f>
        <v>#N/A</v>
      </c>
      <c r="AD314" s="13" t="e">
        <f>VLOOKUP($A16,'Template IF 2'!$B$3:$HH$112,205,FALSE)</f>
        <v>#N/A</v>
      </c>
      <c r="AE314" s="13" t="e">
        <f>VLOOKUP($A16,'Template IF 2'!$B$3:$HH$112,206,FALSE)</f>
        <v>#N/A</v>
      </c>
      <c r="AF314" s="13" t="e">
        <f>VLOOKUP($A16,'Template IF 2'!$B$3:$HH$112,207,FALSE)</f>
        <v>#N/A</v>
      </c>
      <c r="AG314" s="13" t="e">
        <f>VLOOKUP($A16,'Template IF 2'!$B$3:$HH$112,208,FALSE)</f>
        <v>#N/A</v>
      </c>
      <c r="AH314" s="13" t="e">
        <f>VLOOKUP($A16,'Template IF 2'!$B$3:$HH$112,209,FALSE)</f>
        <v>#N/A</v>
      </c>
      <c r="AI314" s="13" t="e">
        <f>VLOOKUP($A16,'Template IF 2'!$B$3:$HH$112,210,FALSE)</f>
        <v>#N/A</v>
      </c>
      <c r="AJ314" s="22" t="e">
        <f>VLOOKUP($A16,'Template IF 2'!$B$3:$HH$112,211,FALSE)</f>
        <v>#N/A</v>
      </c>
      <c r="AK314" s="22" t="e">
        <f>VLOOKUP($A16,'Template IF 2'!$B$3:$HH$112,212,FALSE)</f>
        <v>#N/A</v>
      </c>
      <c r="AL314" s="22" t="e">
        <f>VLOOKUP($A16,'Template IF 2'!$B$3:$HH$112,213,FALSE)</f>
        <v>#N/A</v>
      </c>
      <c r="AM314" s="22" t="e">
        <f>VLOOKUP($A16,'Template IF 2'!$B$3:$HH$112,214,FALSE)</f>
        <v>#N/A</v>
      </c>
      <c r="AN314" s="22" t="e">
        <f>VLOOKUP($A16,'Template IF 2'!$B$3:$HH$112,215,FALSE)</f>
        <v>#N/A</v>
      </c>
      <c r="AO314" s="16" t="e">
        <f>VLOOKUP($A16,'Template IF 2'!$B$3:$HK$112,216,FALSE)</f>
        <v>#N/A</v>
      </c>
      <c r="AP314" s="16" t="e">
        <f>VLOOKUP($A16,'Template IF 2'!$B$3:$HK$112,217,FALSE)</f>
        <v>#N/A</v>
      </c>
      <c r="AQ314" s="16" t="e">
        <f>VLOOKUP($A16,'Template IF 2'!$B$3:$HK$112,218,FALSE)</f>
        <v>#N/A</v>
      </c>
      <c r="AR314" s="22" t="e">
        <f>VLOOKUP($A16,'Template IF 2'!$B$3:$HU$112,219,FALSE)</f>
        <v>#N/A</v>
      </c>
      <c r="AS314" s="22" t="e">
        <f>VLOOKUP($A16,'Template IF 2'!$B$3:$HU$112,220,FALSE)</f>
        <v>#N/A</v>
      </c>
      <c r="AT314" s="22" t="e">
        <f>VLOOKUP($A16,'Template IF 2'!$B$3:$HU$112,221,FALSE)</f>
        <v>#N/A</v>
      </c>
      <c r="AU314" s="22" t="e">
        <f>VLOOKUP($A16,'Template IF 2'!$B$3:$HU$112,222,FALSE)</f>
        <v>#N/A</v>
      </c>
      <c r="AV314" s="22" t="e">
        <f>VLOOKUP($A16,'Template IF 2'!$B$3:$HU$112,223,FALSE)</f>
        <v>#N/A</v>
      </c>
      <c r="AW314" s="22" t="e">
        <f>VLOOKUP($A16,'Template IF 2'!$B$3:$HU$112,224,FALSE)</f>
        <v>#N/A</v>
      </c>
      <c r="AX314" s="22" t="e">
        <f>VLOOKUP($A16,'Template IF 2'!$B$3:$HU$112,225,FALSE)</f>
        <v>#N/A</v>
      </c>
      <c r="AY314" s="22" t="e">
        <f>VLOOKUP($A16,'Template IF 2'!$B$3:$HU$112,226,FALSE)</f>
        <v>#N/A</v>
      </c>
      <c r="AZ314" s="22" t="e">
        <f>VLOOKUP($A16,'Template IF 2'!$B$3:$HU$112,227,FALSE)</f>
        <v>#N/A</v>
      </c>
    </row>
    <row r="315" spans="1:52" x14ac:dyDescent="0.2">
      <c r="N315"/>
      <c r="O315"/>
      <c r="Q315" s="18" t="e">
        <f>VLOOKUP($A18,'Template IF 2'!$B$3:$HH$112,192,FALSE)</f>
        <v>#N/A</v>
      </c>
      <c r="R315" s="18" t="e">
        <f>VLOOKUP($A18,'Template IF 2'!$B$3:$HH$112,193,FALSE)</f>
        <v>#N/A</v>
      </c>
      <c r="S315" s="18" t="e">
        <f>VLOOKUP($A18,'Template IF 2'!$B$3:$HH$112,194,FALSE)</f>
        <v>#N/A</v>
      </c>
      <c r="T315" s="18" t="e">
        <f>VLOOKUP($A18,'Template IF 2'!$B$3:$HH$112,195,FALSE)</f>
        <v>#N/A</v>
      </c>
      <c r="U315" s="13" t="e">
        <f>VLOOKUP($A18,'Template IF 2'!$B$3:$HH$112,196,FALSE)</f>
        <v>#N/A</v>
      </c>
      <c r="V315" s="13" t="e">
        <f>VLOOKUP($A18,'Template IF 2'!$B$3:$HH$112,197,FALSE)</f>
        <v>#N/A</v>
      </c>
      <c r="W315" s="13" t="e">
        <f>VLOOKUP($A18,'Template IF 2'!$B$3:$HH$112,198,FALSE)</f>
        <v>#N/A</v>
      </c>
      <c r="X315" s="13" t="e">
        <f>VLOOKUP($A18,'Template IF 2'!$B$3:$HH$112,199,FALSE)</f>
        <v>#N/A</v>
      </c>
      <c r="Y315" s="13" t="e">
        <f>VLOOKUP($A18,'Template IF 2'!$B$3:$HH$112,200,FALSE)</f>
        <v>#N/A</v>
      </c>
      <c r="Z315" s="13" t="e">
        <f>VLOOKUP($A18,'Template IF 2'!$B$3:$HH$112,201,FALSE)</f>
        <v>#N/A</v>
      </c>
      <c r="AA315" s="13" t="e">
        <f>VLOOKUP($A18,'Template IF 2'!$B$3:$HH$112,202,FALSE)</f>
        <v>#N/A</v>
      </c>
      <c r="AB315" s="13" t="e">
        <f>VLOOKUP($A18,'Template IF 2'!$B$3:$HH$112,203,FALSE)</f>
        <v>#N/A</v>
      </c>
      <c r="AC315" s="13" t="e">
        <f>VLOOKUP($A18,'Template IF 2'!$B$3:$HH$112,204,FALSE)</f>
        <v>#N/A</v>
      </c>
      <c r="AD315" s="13" t="e">
        <f>VLOOKUP($A18,'Template IF 2'!$B$3:$HH$112,205,FALSE)</f>
        <v>#N/A</v>
      </c>
      <c r="AE315" s="13" t="e">
        <f>VLOOKUP($A18,'Template IF 2'!$B$3:$HH$112,206,FALSE)</f>
        <v>#N/A</v>
      </c>
      <c r="AF315" s="13" t="e">
        <f>VLOOKUP($A18,'Template IF 2'!$B$3:$HH$112,207,FALSE)</f>
        <v>#N/A</v>
      </c>
      <c r="AG315" s="13" t="e">
        <f>VLOOKUP($A18,'Template IF 2'!$B$3:$HH$112,208,FALSE)</f>
        <v>#N/A</v>
      </c>
      <c r="AH315" s="13" t="e">
        <f>VLOOKUP($A18,'Template IF 2'!$B$3:$HH$112,209,FALSE)</f>
        <v>#N/A</v>
      </c>
      <c r="AI315" s="13" t="e">
        <f>VLOOKUP($A18,'Template IF 2'!$B$3:$HH$112,210,FALSE)</f>
        <v>#N/A</v>
      </c>
      <c r="AJ315" s="22" t="e">
        <f>VLOOKUP($A18,'Template IF 2'!$B$3:$HH$112,211,FALSE)</f>
        <v>#N/A</v>
      </c>
      <c r="AK315" s="22" t="e">
        <f>VLOOKUP($A18,'Template IF 2'!$B$3:$HH$112,212,FALSE)</f>
        <v>#N/A</v>
      </c>
      <c r="AL315" s="22" t="e">
        <f>VLOOKUP($A18,'Template IF 2'!$B$3:$HH$112,213,FALSE)</f>
        <v>#N/A</v>
      </c>
      <c r="AM315" s="22" t="e">
        <f>VLOOKUP($A18,'Template IF 2'!$B$3:$HH$112,214,FALSE)</f>
        <v>#N/A</v>
      </c>
      <c r="AN315" s="22" t="e">
        <f>VLOOKUP($A18,'Template IF 2'!$B$3:$HH$112,215,FALSE)</f>
        <v>#N/A</v>
      </c>
      <c r="AO315" s="16" t="e">
        <f>VLOOKUP($A18,'Template IF 2'!$B$3:$HK$112,216,FALSE)</f>
        <v>#N/A</v>
      </c>
      <c r="AP315" s="16" t="e">
        <f>VLOOKUP($A18,'Template IF 2'!$B$3:$HK$112,217,FALSE)</f>
        <v>#N/A</v>
      </c>
      <c r="AQ315" s="16" t="e">
        <f>VLOOKUP($A18,'Template IF 2'!$B$3:$HK$112,218,FALSE)</f>
        <v>#N/A</v>
      </c>
      <c r="AR315" s="22" t="e">
        <f>VLOOKUP($A18,'Template IF 2'!$B$3:$HU$112,219,FALSE)</f>
        <v>#N/A</v>
      </c>
      <c r="AS315" s="22" t="e">
        <f>VLOOKUP($A18,'Template IF 2'!$B$3:$HU$112,220,FALSE)</f>
        <v>#N/A</v>
      </c>
      <c r="AT315" s="22" t="e">
        <f>VLOOKUP($A18,'Template IF 2'!$B$3:$HU$112,221,FALSE)</f>
        <v>#N/A</v>
      </c>
      <c r="AU315" s="22" t="e">
        <f>VLOOKUP($A18,'Template IF 2'!$B$3:$HU$112,222,FALSE)</f>
        <v>#N/A</v>
      </c>
      <c r="AV315" s="22" t="e">
        <f>VLOOKUP($A18,'Template IF 2'!$B$3:$HU$112,223,FALSE)</f>
        <v>#N/A</v>
      </c>
      <c r="AW315" s="22" t="e">
        <f>VLOOKUP($A18,'Template IF 2'!$B$3:$HU$112,224,FALSE)</f>
        <v>#N/A</v>
      </c>
      <c r="AX315" s="22" t="e">
        <f>VLOOKUP($A18,'Template IF 2'!$B$3:$HU$112,225,FALSE)</f>
        <v>#N/A</v>
      </c>
      <c r="AY315" s="22" t="e">
        <f>VLOOKUP($A18,'Template IF 2'!$B$3:$HU$112,226,FALSE)</f>
        <v>#N/A</v>
      </c>
      <c r="AZ315" s="22" t="e">
        <f>VLOOKUP($A18,'Template IF 2'!$B$3:$HU$112,227,FALSE)</f>
        <v>#N/A</v>
      </c>
    </row>
    <row r="316" spans="1:52" x14ac:dyDescent="0.2">
      <c r="N316"/>
      <c r="O316"/>
      <c r="Q316" s="18" t="e">
        <f>VLOOKUP($A20,'Template IF 2'!$B$3:$HH$112,192,FALSE)</f>
        <v>#N/A</v>
      </c>
      <c r="R316" s="18" t="e">
        <f>VLOOKUP($A20,'Template IF 2'!$B$3:$HH$112,193,FALSE)</f>
        <v>#N/A</v>
      </c>
      <c r="S316" s="18" t="e">
        <f>VLOOKUP($A20,'Template IF 2'!$B$3:$HH$112,194,FALSE)</f>
        <v>#N/A</v>
      </c>
      <c r="T316" s="18" t="e">
        <f>VLOOKUP($A20,'Template IF 2'!$B$3:$HH$112,195,FALSE)</f>
        <v>#N/A</v>
      </c>
      <c r="U316" s="13" t="e">
        <f>VLOOKUP($A20,'Template IF 2'!$B$3:$HH$112,196,FALSE)</f>
        <v>#N/A</v>
      </c>
      <c r="V316" s="13" t="e">
        <f>VLOOKUP($A20,'Template IF 2'!$B$3:$HH$112,197,FALSE)</f>
        <v>#N/A</v>
      </c>
      <c r="W316" s="13" t="e">
        <f>VLOOKUP($A20,'Template IF 2'!$B$3:$HH$112,198,FALSE)</f>
        <v>#N/A</v>
      </c>
      <c r="X316" s="13" t="e">
        <f>VLOOKUP($A20,'Template IF 2'!$B$3:$HH$112,199,FALSE)</f>
        <v>#N/A</v>
      </c>
      <c r="Y316" s="13" t="e">
        <f>VLOOKUP($A20,'Template IF 2'!$B$3:$HH$112,200,FALSE)</f>
        <v>#N/A</v>
      </c>
      <c r="Z316" s="13" t="e">
        <f>VLOOKUP($A20,'Template IF 2'!$B$3:$HH$112,201,FALSE)</f>
        <v>#N/A</v>
      </c>
      <c r="AA316" s="13" t="e">
        <f>VLOOKUP($A20,'Template IF 2'!$B$3:$HH$112,202,FALSE)</f>
        <v>#N/A</v>
      </c>
      <c r="AB316" s="13" t="e">
        <f>VLOOKUP($A20,'Template IF 2'!$B$3:$HH$112,203,FALSE)</f>
        <v>#N/A</v>
      </c>
      <c r="AC316" s="13" t="e">
        <f>VLOOKUP($A20,'Template IF 2'!$B$3:$HH$112,204,FALSE)</f>
        <v>#N/A</v>
      </c>
      <c r="AD316" s="13" t="e">
        <f>VLOOKUP($A20,'Template IF 2'!$B$3:$HH$112,205,FALSE)</f>
        <v>#N/A</v>
      </c>
      <c r="AE316" s="13" t="e">
        <f>VLOOKUP($A20,'Template IF 2'!$B$3:$HH$112,206,FALSE)</f>
        <v>#N/A</v>
      </c>
      <c r="AF316" s="13" t="e">
        <f>VLOOKUP($A20,'Template IF 2'!$B$3:$HH$112,207,FALSE)</f>
        <v>#N/A</v>
      </c>
      <c r="AG316" s="13" t="e">
        <f>VLOOKUP($A20,'Template IF 2'!$B$3:$HH$112,208,FALSE)</f>
        <v>#N/A</v>
      </c>
      <c r="AH316" s="13" t="e">
        <f>VLOOKUP($A20,'Template IF 2'!$B$3:$HH$112,209,FALSE)</f>
        <v>#N/A</v>
      </c>
      <c r="AI316" s="13" t="e">
        <f>VLOOKUP($A20,'Template IF 2'!$B$3:$HH$112,210,FALSE)</f>
        <v>#N/A</v>
      </c>
      <c r="AJ316" s="22" t="e">
        <f>VLOOKUP($A20,'Template IF 2'!$B$3:$HH$112,211,FALSE)</f>
        <v>#N/A</v>
      </c>
      <c r="AK316" s="22" t="e">
        <f>VLOOKUP($A20,'Template IF 2'!$B$3:$HH$112,212,FALSE)</f>
        <v>#N/A</v>
      </c>
      <c r="AL316" s="22" t="e">
        <f>VLOOKUP($A20,'Template IF 2'!$B$3:$HH$112,213,FALSE)</f>
        <v>#N/A</v>
      </c>
      <c r="AM316" s="22" t="e">
        <f>VLOOKUP($A20,'Template IF 2'!$B$3:$HH$112,214,FALSE)</f>
        <v>#N/A</v>
      </c>
      <c r="AN316" s="22" t="e">
        <f>VLOOKUP($A20,'Template IF 2'!$B$3:$HH$112,215,FALSE)</f>
        <v>#N/A</v>
      </c>
      <c r="AO316" s="16" t="e">
        <f>VLOOKUP($A20,'Template IF 2'!$B$3:$HK$112,216,FALSE)</f>
        <v>#N/A</v>
      </c>
      <c r="AP316" s="16" t="e">
        <f>VLOOKUP($A20,'Template IF 2'!$B$3:$HK$112,217,FALSE)</f>
        <v>#N/A</v>
      </c>
      <c r="AQ316" s="16" t="e">
        <f>VLOOKUP($A20,'Template IF 2'!$B$3:$HK$112,218,FALSE)</f>
        <v>#N/A</v>
      </c>
      <c r="AR316" s="22" t="e">
        <f>VLOOKUP($A20,'Template IF 2'!$B$3:$HU$112,219,FALSE)</f>
        <v>#N/A</v>
      </c>
      <c r="AS316" s="22" t="e">
        <f>VLOOKUP($A20,'Template IF 2'!$B$3:$HU$112,220,FALSE)</f>
        <v>#N/A</v>
      </c>
      <c r="AT316" s="22" t="e">
        <f>VLOOKUP($A20,'Template IF 2'!$B$3:$HU$112,221,FALSE)</f>
        <v>#N/A</v>
      </c>
      <c r="AU316" s="22" t="e">
        <f>VLOOKUP($A20,'Template IF 2'!$B$3:$HU$112,222,FALSE)</f>
        <v>#N/A</v>
      </c>
      <c r="AV316" s="22" t="e">
        <f>VLOOKUP($A20,'Template IF 2'!$B$3:$HU$112,223,FALSE)</f>
        <v>#N/A</v>
      </c>
      <c r="AW316" s="22" t="e">
        <f>VLOOKUP($A20,'Template IF 2'!$B$3:$HU$112,224,FALSE)</f>
        <v>#N/A</v>
      </c>
      <c r="AX316" s="22" t="e">
        <f>VLOOKUP($A20,'Template IF 2'!$B$3:$HU$112,225,FALSE)</f>
        <v>#N/A</v>
      </c>
      <c r="AY316" s="22" t="e">
        <f>VLOOKUP($A20,'Template IF 2'!$B$3:$HU$112,226,FALSE)</f>
        <v>#N/A</v>
      </c>
      <c r="AZ316" s="22" t="e">
        <f>VLOOKUP($A20,'Template IF 2'!$B$3:$HU$112,227,FALSE)</f>
        <v>#N/A</v>
      </c>
    </row>
    <row r="317" spans="1:52" x14ac:dyDescent="0.2">
      <c r="N317"/>
      <c r="O317"/>
      <c r="Q317" s="18" t="e">
        <f>VLOOKUP($A22,'Template IF 2'!$B$3:$HH$112,192,FALSE)</f>
        <v>#N/A</v>
      </c>
      <c r="R317" s="18" t="e">
        <f>VLOOKUP($A22,'Template IF 2'!$B$3:$HH$112,193,FALSE)</f>
        <v>#N/A</v>
      </c>
      <c r="S317" s="18" t="e">
        <f>VLOOKUP($A22,'Template IF 2'!$B$3:$HH$112,194,FALSE)</f>
        <v>#N/A</v>
      </c>
      <c r="T317" s="18" t="e">
        <f>VLOOKUP($A22,'Template IF 2'!$B$3:$HH$112,195,FALSE)</f>
        <v>#N/A</v>
      </c>
      <c r="U317" s="13" t="e">
        <f>VLOOKUP($A22,'Template IF 2'!$B$3:$HH$112,196,FALSE)</f>
        <v>#N/A</v>
      </c>
      <c r="V317" s="13" t="e">
        <f>VLOOKUP($A22,'Template IF 2'!$B$3:$HH$112,197,FALSE)</f>
        <v>#N/A</v>
      </c>
      <c r="W317" s="13" t="e">
        <f>VLOOKUP($A22,'Template IF 2'!$B$3:$HH$112,198,FALSE)</f>
        <v>#N/A</v>
      </c>
      <c r="X317" s="13" t="e">
        <f>VLOOKUP($A22,'Template IF 2'!$B$3:$HH$112,199,FALSE)</f>
        <v>#N/A</v>
      </c>
      <c r="Y317" s="13" t="e">
        <f>VLOOKUP($A22,'Template IF 2'!$B$3:$HH$112,200,FALSE)</f>
        <v>#N/A</v>
      </c>
      <c r="Z317" s="13" t="e">
        <f>VLOOKUP($A22,'Template IF 2'!$B$3:$HH$112,201,FALSE)</f>
        <v>#N/A</v>
      </c>
      <c r="AA317" s="13" t="e">
        <f>VLOOKUP($A22,'Template IF 2'!$B$3:$HH$112,202,FALSE)</f>
        <v>#N/A</v>
      </c>
      <c r="AB317" s="13" t="e">
        <f>VLOOKUP($A22,'Template IF 2'!$B$3:$HH$112,203,FALSE)</f>
        <v>#N/A</v>
      </c>
      <c r="AC317" s="13" t="e">
        <f>VLOOKUP($A22,'Template IF 2'!$B$3:$HH$112,204,FALSE)</f>
        <v>#N/A</v>
      </c>
      <c r="AD317" s="13" t="e">
        <f>VLOOKUP($A22,'Template IF 2'!$B$3:$HH$112,205,FALSE)</f>
        <v>#N/A</v>
      </c>
      <c r="AE317" s="13" t="e">
        <f>VLOOKUP($A22,'Template IF 2'!$B$3:$HH$112,206,FALSE)</f>
        <v>#N/A</v>
      </c>
      <c r="AF317" s="13" t="e">
        <f>VLOOKUP($A22,'Template IF 2'!$B$3:$HH$112,207,FALSE)</f>
        <v>#N/A</v>
      </c>
      <c r="AG317" s="13" t="e">
        <f>VLOOKUP($A22,'Template IF 2'!$B$3:$HH$112,208,FALSE)</f>
        <v>#N/A</v>
      </c>
      <c r="AH317" s="13" t="e">
        <f>VLOOKUP($A22,'Template IF 2'!$B$3:$HH$112,209,FALSE)</f>
        <v>#N/A</v>
      </c>
      <c r="AI317" s="13" t="e">
        <f>VLOOKUP($A22,'Template IF 2'!$B$3:$HH$112,210,FALSE)</f>
        <v>#N/A</v>
      </c>
      <c r="AJ317" s="22" t="e">
        <f>VLOOKUP($A22,'Template IF 2'!$B$3:$HH$112,211,FALSE)</f>
        <v>#N/A</v>
      </c>
      <c r="AK317" s="22" t="e">
        <f>VLOOKUP($A22,'Template IF 2'!$B$3:$HH$112,212,FALSE)</f>
        <v>#N/A</v>
      </c>
      <c r="AL317" s="22" t="e">
        <f>VLOOKUP($A22,'Template IF 2'!$B$3:$HH$112,213,FALSE)</f>
        <v>#N/A</v>
      </c>
      <c r="AM317" s="22" t="e">
        <f>VLOOKUP($A22,'Template IF 2'!$B$3:$HH$112,214,FALSE)</f>
        <v>#N/A</v>
      </c>
      <c r="AN317" s="22" t="e">
        <f>VLOOKUP($A22,'Template IF 2'!$B$3:$HH$112,215,FALSE)</f>
        <v>#N/A</v>
      </c>
      <c r="AO317" s="16" t="e">
        <f>VLOOKUP($A22,'Template IF 2'!$B$3:$HK$112,216,FALSE)</f>
        <v>#N/A</v>
      </c>
      <c r="AP317" s="16" t="e">
        <f>VLOOKUP($A22,'Template IF 2'!$B$3:$HK$112,217,FALSE)</f>
        <v>#N/A</v>
      </c>
      <c r="AQ317" s="16" t="e">
        <f>VLOOKUP($A22,'Template IF 2'!$B$3:$HK$112,218,FALSE)</f>
        <v>#N/A</v>
      </c>
      <c r="AR317" s="22" t="e">
        <f>VLOOKUP($A22,'Template IF 2'!$B$3:$HU$112,219,FALSE)</f>
        <v>#N/A</v>
      </c>
      <c r="AS317" s="22" t="e">
        <f>VLOOKUP($A22,'Template IF 2'!$B$3:$HU$112,220,FALSE)</f>
        <v>#N/A</v>
      </c>
      <c r="AT317" s="22" t="e">
        <f>VLOOKUP($A22,'Template IF 2'!$B$3:$HU$112,221,FALSE)</f>
        <v>#N/A</v>
      </c>
      <c r="AU317" s="22" t="e">
        <f>VLOOKUP($A22,'Template IF 2'!$B$3:$HU$112,222,FALSE)</f>
        <v>#N/A</v>
      </c>
      <c r="AV317" s="22" t="e">
        <f>VLOOKUP($A22,'Template IF 2'!$B$3:$HU$112,223,FALSE)</f>
        <v>#N/A</v>
      </c>
      <c r="AW317" s="22" t="e">
        <f>VLOOKUP($A22,'Template IF 2'!$B$3:$HU$112,224,FALSE)</f>
        <v>#N/A</v>
      </c>
      <c r="AX317" s="22" t="e">
        <f>VLOOKUP($A22,'Template IF 2'!$B$3:$HU$112,225,FALSE)</f>
        <v>#N/A</v>
      </c>
      <c r="AY317" s="22" t="e">
        <f>VLOOKUP($A22,'Template IF 2'!$B$3:$HU$112,226,FALSE)</f>
        <v>#N/A</v>
      </c>
      <c r="AZ317" s="22" t="e">
        <f>VLOOKUP($A22,'Template IF 2'!$B$3:$HU$112,227,FALSE)</f>
        <v>#N/A</v>
      </c>
    </row>
    <row r="318" spans="1:52" x14ac:dyDescent="0.2">
      <c r="N318"/>
      <c r="O318"/>
      <c r="Q318" s="18" t="e">
        <f>VLOOKUP($A24,'Template IF 2'!$B$3:$HH$112,192,FALSE)</f>
        <v>#N/A</v>
      </c>
      <c r="R318" s="18" t="e">
        <f>VLOOKUP($A24,'Template IF 2'!$B$3:$HH$112,193,FALSE)</f>
        <v>#N/A</v>
      </c>
      <c r="S318" s="18" t="e">
        <f>VLOOKUP($A24,'Template IF 2'!$B$3:$HH$112,194,FALSE)</f>
        <v>#N/A</v>
      </c>
      <c r="T318" s="18" t="e">
        <f>VLOOKUP($A24,'Template IF 2'!$B$3:$HH$112,195,FALSE)</f>
        <v>#N/A</v>
      </c>
      <c r="U318" s="13" t="e">
        <f>VLOOKUP($A24,'Template IF 2'!$B$3:$HH$112,196,FALSE)</f>
        <v>#N/A</v>
      </c>
      <c r="V318" s="13" t="e">
        <f>VLOOKUP($A24,'Template IF 2'!$B$3:$HH$112,197,FALSE)</f>
        <v>#N/A</v>
      </c>
      <c r="W318" s="13" t="e">
        <f>VLOOKUP($A24,'Template IF 2'!$B$3:$HH$112,198,FALSE)</f>
        <v>#N/A</v>
      </c>
      <c r="X318" s="13" t="e">
        <f>VLOOKUP($A24,'Template IF 2'!$B$3:$HH$112,199,FALSE)</f>
        <v>#N/A</v>
      </c>
      <c r="Y318" s="13" t="e">
        <f>VLOOKUP($A24,'Template IF 2'!$B$3:$HH$112,200,FALSE)</f>
        <v>#N/A</v>
      </c>
      <c r="Z318" s="13" t="e">
        <f>VLOOKUP($A24,'Template IF 2'!$B$3:$HH$112,201,FALSE)</f>
        <v>#N/A</v>
      </c>
      <c r="AA318" s="13" t="e">
        <f>VLOOKUP($A24,'Template IF 2'!$B$3:$HH$112,202,FALSE)</f>
        <v>#N/A</v>
      </c>
      <c r="AB318" s="13" t="e">
        <f>VLOOKUP($A24,'Template IF 2'!$B$3:$HH$112,203,FALSE)</f>
        <v>#N/A</v>
      </c>
      <c r="AC318" s="13" t="e">
        <f>VLOOKUP($A24,'Template IF 2'!$B$3:$HH$112,204,FALSE)</f>
        <v>#N/A</v>
      </c>
      <c r="AD318" s="13" t="e">
        <f>VLOOKUP($A24,'Template IF 2'!$B$3:$HH$112,205,FALSE)</f>
        <v>#N/A</v>
      </c>
      <c r="AE318" s="13" t="e">
        <f>VLOOKUP($A24,'Template IF 2'!$B$3:$HH$112,206,FALSE)</f>
        <v>#N/A</v>
      </c>
      <c r="AF318" s="13" t="e">
        <f>VLOOKUP($A24,'Template IF 2'!$B$3:$HH$112,207,FALSE)</f>
        <v>#N/A</v>
      </c>
      <c r="AG318" s="13" t="e">
        <f>VLOOKUP($A24,'Template IF 2'!$B$3:$HH$112,208,FALSE)</f>
        <v>#N/A</v>
      </c>
      <c r="AH318" s="13" t="e">
        <f>VLOOKUP($A24,'Template IF 2'!$B$3:$HH$112,209,FALSE)</f>
        <v>#N/A</v>
      </c>
      <c r="AI318" s="13" t="e">
        <f>VLOOKUP($A24,'Template IF 2'!$B$3:$HH$112,210,FALSE)</f>
        <v>#N/A</v>
      </c>
      <c r="AJ318" s="22" t="e">
        <f>VLOOKUP($A24,'Template IF 2'!$B$3:$HH$112,211,FALSE)</f>
        <v>#N/A</v>
      </c>
      <c r="AK318" s="22" t="e">
        <f>VLOOKUP($A24,'Template IF 2'!$B$3:$HH$112,212,FALSE)</f>
        <v>#N/A</v>
      </c>
      <c r="AL318" s="22" t="e">
        <f>VLOOKUP($A24,'Template IF 2'!$B$3:$HH$112,213,FALSE)</f>
        <v>#N/A</v>
      </c>
      <c r="AM318" s="22" t="e">
        <f>VLOOKUP($A24,'Template IF 2'!$B$3:$HH$112,214,FALSE)</f>
        <v>#N/A</v>
      </c>
      <c r="AN318" s="22" t="e">
        <f>VLOOKUP($A24,'Template IF 2'!$B$3:$HH$112,215,FALSE)</f>
        <v>#N/A</v>
      </c>
      <c r="AO318" s="16" t="e">
        <f>VLOOKUP($A24,'Template IF 2'!$B$3:$HK$112,216,FALSE)</f>
        <v>#N/A</v>
      </c>
      <c r="AP318" s="16" t="e">
        <f>VLOOKUP($A24,'Template IF 2'!$B$3:$HK$112,217,FALSE)</f>
        <v>#N/A</v>
      </c>
      <c r="AQ318" s="16" t="e">
        <f>VLOOKUP($A24,'Template IF 2'!$B$3:$HK$112,218,FALSE)</f>
        <v>#N/A</v>
      </c>
      <c r="AR318" s="22" t="e">
        <f>VLOOKUP($A24,'Template IF 2'!$B$3:$HU$112,219,FALSE)</f>
        <v>#N/A</v>
      </c>
      <c r="AS318" s="22" t="e">
        <f>VLOOKUP($A24,'Template IF 2'!$B$3:$HU$112,220,FALSE)</f>
        <v>#N/A</v>
      </c>
      <c r="AT318" s="22" t="e">
        <f>VLOOKUP($A24,'Template IF 2'!$B$3:$HU$112,221,FALSE)</f>
        <v>#N/A</v>
      </c>
      <c r="AU318" s="22" t="e">
        <f>VLOOKUP($A24,'Template IF 2'!$B$3:$HU$112,222,FALSE)</f>
        <v>#N/A</v>
      </c>
      <c r="AV318" s="22" t="e">
        <f>VLOOKUP($A24,'Template IF 2'!$B$3:$HU$112,223,FALSE)</f>
        <v>#N/A</v>
      </c>
      <c r="AW318" s="22" t="e">
        <f>VLOOKUP($A24,'Template IF 2'!$B$3:$HU$112,224,FALSE)</f>
        <v>#N/A</v>
      </c>
      <c r="AX318" s="22" t="e">
        <f>VLOOKUP($A24,'Template IF 2'!$B$3:$HU$112,225,FALSE)</f>
        <v>#N/A</v>
      </c>
      <c r="AY318" s="22" t="e">
        <f>VLOOKUP($A24,'Template IF 2'!$B$3:$HU$112,226,FALSE)</f>
        <v>#N/A</v>
      </c>
      <c r="AZ318" s="22" t="e">
        <f>VLOOKUP($A24,'Template IF 2'!$B$3:$HU$112,227,FALSE)</f>
        <v>#N/A</v>
      </c>
    </row>
    <row r="319" spans="1:52" x14ac:dyDescent="0.2">
      <c r="N319"/>
      <c r="O319"/>
      <c r="Q319" s="20" t="e">
        <f>VLOOKUP($A26,'Template IF 2'!$B$3:$HH$112,192,FALSE)</f>
        <v>#N/A</v>
      </c>
      <c r="R319" s="20" t="e">
        <f>VLOOKUP($A26,'Template IF 2'!$B$3:$HH$112,193,FALSE)</f>
        <v>#N/A</v>
      </c>
      <c r="S319" s="20" t="e">
        <f>VLOOKUP($A26,'Template IF 2'!$B$3:$HH$112,194,FALSE)</f>
        <v>#N/A</v>
      </c>
      <c r="T319" s="20" t="e">
        <f>VLOOKUP($A26,'Template IF 2'!$B$3:$HH$112,195,FALSE)</f>
        <v>#N/A</v>
      </c>
      <c r="U319" s="14" t="e">
        <f>VLOOKUP($A26,'Template IF 2'!$B$3:$HH$112,196,FALSE)</f>
        <v>#N/A</v>
      </c>
      <c r="V319" s="14" t="e">
        <f>VLOOKUP($A26,'Template IF 2'!$B$3:$HH$112,197,FALSE)</f>
        <v>#N/A</v>
      </c>
      <c r="W319" s="14" t="e">
        <f>VLOOKUP($A26,'Template IF 2'!$B$3:$HH$112,198,FALSE)</f>
        <v>#N/A</v>
      </c>
      <c r="X319" s="14" t="e">
        <f>VLOOKUP($A26,'Template IF 2'!$B$3:$HH$112,199,FALSE)</f>
        <v>#N/A</v>
      </c>
      <c r="Y319" s="14" t="e">
        <f>VLOOKUP($A26,'Template IF 2'!$B$3:$HH$112,200,FALSE)</f>
        <v>#N/A</v>
      </c>
      <c r="Z319" s="14" t="e">
        <f>VLOOKUP($A26,'Template IF 2'!$B$3:$HH$112,201,FALSE)</f>
        <v>#N/A</v>
      </c>
      <c r="AA319" s="14" t="e">
        <f>VLOOKUP($A26,'Template IF 2'!$B$3:$HH$112,202,FALSE)</f>
        <v>#N/A</v>
      </c>
      <c r="AB319" s="14" t="e">
        <f>VLOOKUP($A26,'Template IF 2'!$B$3:$HH$112,203,FALSE)</f>
        <v>#N/A</v>
      </c>
      <c r="AC319" s="14" t="e">
        <f>VLOOKUP($A26,'Template IF 2'!$B$3:$HH$112,204,FALSE)</f>
        <v>#N/A</v>
      </c>
      <c r="AD319" s="14" t="e">
        <f>VLOOKUP($A26,'Template IF 2'!$B$3:$HH$112,205,FALSE)</f>
        <v>#N/A</v>
      </c>
      <c r="AE319" s="14" t="e">
        <f>VLOOKUP($A26,'Template IF 2'!$B$3:$HH$112,206,FALSE)</f>
        <v>#N/A</v>
      </c>
      <c r="AF319" s="14" t="e">
        <f>VLOOKUP($A26,'Template IF 2'!$B$3:$HH$112,207,FALSE)</f>
        <v>#N/A</v>
      </c>
      <c r="AG319" s="14" t="e">
        <f>VLOOKUP($A26,'Template IF 2'!$B$3:$HH$112,208,FALSE)</f>
        <v>#N/A</v>
      </c>
      <c r="AH319" s="14" t="e">
        <f>VLOOKUP($A26,'Template IF 2'!$B$3:$HH$112,209,FALSE)</f>
        <v>#N/A</v>
      </c>
      <c r="AI319" s="14" t="e">
        <f>VLOOKUP($A26,'Template IF 2'!$B$3:$HH$112,210,FALSE)</f>
        <v>#N/A</v>
      </c>
      <c r="AJ319" s="19" t="e">
        <f>VLOOKUP($A26,'Template IF 2'!$B$3:$HH$112,211,FALSE)</f>
        <v>#N/A</v>
      </c>
      <c r="AK319" s="19" t="e">
        <f>VLOOKUP($A26,'Template IF 2'!$B$3:$HH$112,212,FALSE)</f>
        <v>#N/A</v>
      </c>
      <c r="AL319" s="19" t="e">
        <f>VLOOKUP($A26,'Template IF 2'!$B$3:$HH$112,213,FALSE)</f>
        <v>#N/A</v>
      </c>
      <c r="AM319" s="19" t="e">
        <f>VLOOKUP($A26,'Template IF 2'!$B$3:$HH$112,214,FALSE)</f>
        <v>#N/A</v>
      </c>
      <c r="AN319" s="19" t="e">
        <f>VLOOKUP($A26,'Template IF 2'!$B$3:$HH$112,215,FALSE)</f>
        <v>#N/A</v>
      </c>
      <c r="AO319" s="20" t="e">
        <f>VLOOKUP($A26,'Template IF 2'!$B$3:$HK$112,216,FALSE)</f>
        <v>#N/A</v>
      </c>
      <c r="AP319" s="20" t="e">
        <f>VLOOKUP($A26,'Template IF 2'!$B$3:$HK$112,217,FALSE)</f>
        <v>#N/A</v>
      </c>
      <c r="AQ319" s="20" t="e">
        <f>VLOOKUP($A26,'Template IF 2'!$B$3:$HK$112,218,FALSE)</f>
        <v>#N/A</v>
      </c>
      <c r="AR319" s="19" t="e">
        <f>VLOOKUP($A26,'Template IF 2'!$B$3:$HU$112,219,FALSE)</f>
        <v>#N/A</v>
      </c>
      <c r="AS319" s="19" t="e">
        <f>VLOOKUP($A26,'Template IF 2'!$B$3:$HU$112,220,FALSE)</f>
        <v>#N/A</v>
      </c>
      <c r="AT319" s="19" t="e">
        <f>VLOOKUP($A26,'Template IF 2'!$B$3:$HU$112,221,FALSE)</f>
        <v>#N/A</v>
      </c>
      <c r="AU319" s="19" t="e">
        <f>VLOOKUP($A26,'Template IF 2'!$B$3:$HU$112,222,FALSE)</f>
        <v>#N/A</v>
      </c>
      <c r="AV319" s="19" t="e">
        <f>VLOOKUP($A26,'Template IF 2'!$B$3:$HU$112,223,FALSE)</f>
        <v>#N/A</v>
      </c>
      <c r="AW319" s="19" t="e">
        <f>VLOOKUP($A26,'Template IF 2'!$B$3:$HU$112,224,FALSE)</f>
        <v>#N/A</v>
      </c>
      <c r="AX319" s="19" t="e">
        <f>VLOOKUP($A26,'Template IF 2'!$B$3:$HU$112,225,FALSE)</f>
        <v>#N/A</v>
      </c>
      <c r="AY319" s="19" t="e">
        <f>VLOOKUP($A26,'Template IF 2'!$B$3:$HU$112,226,FALSE)</f>
        <v>#N/A</v>
      </c>
      <c r="AZ319" s="19" t="e">
        <f>VLOOKUP($A26,'Template IF 2'!$B$3:$HU$112,227,FALSE)</f>
        <v>#N/A</v>
      </c>
    </row>
    <row r="320" spans="1:52" x14ac:dyDescent="0.2">
      <c r="N320"/>
      <c r="O320"/>
    </row>
    <row r="321" spans="14:18" x14ac:dyDescent="0.2">
      <c r="N321"/>
      <c r="O321"/>
    </row>
    <row r="322" spans="14:18" x14ac:dyDescent="0.2">
      <c r="N322"/>
      <c r="O322"/>
    </row>
    <row r="323" spans="14:18" x14ac:dyDescent="0.2">
      <c r="N323"/>
      <c r="O323"/>
      <c r="R323" t="s">
        <v>171</v>
      </c>
    </row>
    <row r="324" spans="14:18" x14ac:dyDescent="0.2">
      <c r="N324"/>
      <c r="O324"/>
      <c r="R324" t="s">
        <v>60</v>
      </c>
    </row>
    <row r="325" spans="14:18" x14ac:dyDescent="0.2">
      <c r="N325"/>
      <c r="O325"/>
      <c r="R325" t="s">
        <v>61</v>
      </c>
    </row>
    <row r="326" spans="14:18" x14ac:dyDescent="0.2">
      <c r="N326"/>
      <c r="O326"/>
      <c r="R326" t="s">
        <v>62</v>
      </c>
    </row>
    <row r="327" spans="14:18" x14ac:dyDescent="0.2">
      <c r="N327"/>
      <c r="O327"/>
      <c r="R327" t="s">
        <v>63</v>
      </c>
    </row>
    <row r="328" spans="14:18" x14ac:dyDescent="0.2">
      <c r="N328"/>
      <c r="O328"/>
      <c r="R328" t="s">
        <v>64</v>
      </c>
    </row>
    <row r="329" spans="14:18" x14ac:dyDescent="0.2">
      <c r="N329"/>
      <c r="O329"/>
      <c r="R329" t="s">
        <v>65</v>
      </c>
    </row>
    <row r="330" spans="14:18" x14ac:dyDescent="0.2">
      <c r="N330"/>
      <c r="O330"/>
      <c r="R330" t="s">
        <v>66</v>
      </c>
    </row>
    <row r="331" spans="14:18" x14ac:dyDescent="0.2">
      <c r="N331"/>
      <c r="O331"/>
      <c r="R331" t="s">
        <v>67</v>
      </c>
    </row>
    <row r="332" spans="14:18" x14ac:dyDescent="0.2">
      <c r="N332"/>
      <c r="O332"/>
      <c r="R332" t="s">
        <v>68</v>
      </c>
    </row>
    <row r="333" spans="14:18" x14ac:dyDescent="0.2">
      <c r="N333"/>
      <c r="O333"/>
      <c r="R333" t="s">
        <v>146</v>
      </c>
    </row>
    <row r="334" spans="14:18" x14ac:dyDescent="0.2">
      <c r="N334"/>
      <c r="O334"/>
      <c r="R334" t="s">
        <v>69</v>
      </c>
    </row>
    <row r="335" spans="14:18" x14ac:dyDescent="0.2">
      <c r="N335"/>
      <c r="O335"/>
      <c r="R335" t="s">
        <v>70</v>
      </c>
    </row>
    <row r="336" spans="14:18" x14ac:dyDescent="0.2">
      <c r="N336"/>
      <c r="O336"/>
      <c r="R336" t="s">
        <v>71</v>
      </c>
    </row>
    <row r="337" spans="14:18" x14ac:dyDescent="0.2">
      <c r="N337"/>
      <c r="O337"/>
      <c r="R337" t="s">
        <v>72</v>
      </c>
    </row>
    <row r="338" spans="14:18" x14ac:dyDescent="0.2">
      <c r="N338"/>
      <c r="O338"/>
      <c r="R338" t="s">
        <v>73</v>
      </c>
    </row>
    <row r="339" spans="14:18" x14ac:dyDescent="0.2">
      <c r="N339"/>
      <c r="O339"/>
      <c r="R339" t="s">
        <v>74</v>
      </c>
    </row>
    <row r="340" spans="14:18" x14ac:dyDescent="0.2">
      <c r="N340"/>
      <c r="O340"/>
      <c r="R340" t="s">
        <v>75</v>
      </c>
    </row>
    <row r="341" spans="14:18" x14ac:dyDescent="0.2">
      <c r="N341"/>
      <c r="O341"/>
      <c r="R341" t="s">
        <v>76</v>
      </c>
    </row>
    <row r="342" spans="14:18" x14ac:dyDescent="0.2">
      <c r="N342"/>
      <c r="O342"/>
      <c r="R342" t="s">
        <v>77</v>
      </c>
    </row>
    <row r="343" spans="14:18" x14ac:dyDescent="0.2">
      <c r="N343"/>
      <c r="O343"/>
      <c r="R343" t="s">
        <v>78</v>
      </c>
    </row>
    <row r="344" spans="14:18" x14ac:dyDescent="0.2">
      <c r="N344"/>
      <c r="O344"/>
      <c r="R344" t="s">
        <v>79</v>
      </c>
    </row>
    <row r="345" spans="14:18" x14ac:dyDescent="0.2">
      <c r="N345"/>
      <c r="O345"/>
      <c r="R345" t="s">
        <v>80</v>
      </c>
    </row>
    <row r="346" spans="14:18" x14ac:dyDescent="0.2">
      <c r="N346"/>
      <c r="O346"/>
      <c r="R346" t="s">
        <v>81</v>
      </c>
    </row>
    <row r="347" spans="14:18" x14ac:dyDescent="0.2">
      <c r="N347"/>
      <c r="O347"/>
      <c r="R347" t="s">
        <v>82</v>
      </c>
    </row>
    <row r="348" spans="14:18" x14ac:dyDescent="0.2">
      <c r="N348"/>
      <c r="O348"/>
      <c r="R348" t="s">
        <v>83</v>
      </c>
    </row>
    <row r="349" spans="14:18" x14ac:dyDescent="0.2">
      <c r="N349"/>
      <c r="O349"/>
      <c r="R349" t="s">
        <v>84</v>
      </c>
    </row>
    <row r="350" spans="14:18" x14ac:dyDescent="0.2">
      <c r="N350"/>
      <c r="O350"/>
      <c r="R350" t="s">
        <v>85</v>
      </c>
    </row>
    <row r="351" spans="14:18" x14ac:dyDescent="0.2">
      <c r="N351"/>
      <c r="O351"/>
      <c r="R351" t="s">
        <v>86</v>
      </c>
    </row>
    <row r="352" spans="14:18" x14ac:dyDescent="0.2">
      <c r="N352"/>
      <c r="O352"/>
      <c r="R352" t="s">
        <v>87</v>
      </c>
    </row>
    <row r="353" spans="18:18" x14ac:dyDescent="0.2">
      <c r="R353" t="s">
        <v>88</v>
      </c>
    </row>
    <row r="354" spans="18:18" x14ac:dyDescent="0.2">
      <c r="R354" t="s">
        <v>89</v>
      </c>
    </row>
    <row r="355" spans="18:18" x14ac:dyDescent="0.2">
      <c r="R355" t="s">
        <v>90</v>
      </c>
    </row>
    <row r="356" spans="18:18" x14ac:dyDescent="0.2">
      <c r="R356" t="s">
        <v>91</v>
      </c>
    </row>
    <row r="357" spans="18:18" x14ac:dyDescent="0.2">
      <c r="R357" t="s">
        <v>92</v>
      </c>
    </row>
    <row r="358" spans="18:18" x14ac:dyDescent="0.2">
      <c r="R358" t="s">
        <v>93</v>
      </c>
    </row>
    <row r="359" spans="18:18" x14ac:dyDescent="0.2">
      <c r="R359" t="s">
        <v>94</v>
      </c>
    </row>
    <row r="360" spans="18:18" x14ac:dyDescent="0.2">
      <c r="R360" t="s">
        <v>95</v>
      </c>
    </row>
    <row r="361" spans="18:18" x14ac:dyDescent="0.2">
      <c r="R361" t="s">
        <v>96</v>
      </c>
    </row>
    <row r="362" spans="18:18" x14ac:dyDescent="0.2">
      <c r="R362" t="s">
        <v>97</v>
      </c>
    </row>
    <row r="363" spans="18:18" x14ac:dyDescent="0.2">
      <c r="R363" t="s">
        <v>98</v>
      </c>
    </row>
    <row r="364" spans="18:18" x14ac:dyDescent="0.2">
      <c r="R364" t="s">
        <v>99</v>
      </c>
    </row>
    <row r="365" spans="18:18" x14ac:dyDescent="0.2">
      <c r="R365" t="s">
        <v>100</v>
      </c>
    </row>
    <row r="366" spans="18:18" x14ac:dyDescent="0.2">
      <c r="R366" t="s">
        <v>101</v>
      </c>
    </row>
    <row r="367" spans="18:18" x14ac:dyDescent="0.2">
      <c r="R367" t="s">
        <v>102</v>
      </c>
    </row>
    <row r="368" spans="18:18" x14ac:dyDescent="0.2">
      <c r="R368" t="s">
        <v>103</v>
      </c>
    </row>
    <row r="369" spans="18:18" x14ac:dyDescent="0.2">
      <c r="R369" t="s">
        <v>104</v>
      </c>
    </row>
    <row r="370" spans="18:18" x14ac:dyDescent="0.2">
      <c r="R370" t="s">
        <v>105</v>
      </c>
    </row>
    <row r="371" spans="18:18" x14ac:dyDescent="0.2">
      <c r="R371" t="s">
        <v>106</v>
      </c>
    </row>
    <row r="372" spans="18:18" x14ac:dyDescent="0.2">
      <c r="R372" t="s">
        <v>107</v>
      </c>
    </row>
    <row r="373" spans="18:18" x14ac:dyDescent="0.2">
      <c r="R373" t="s">
        <v>108</v>
      </c>
    </row>
    <row r="374" spans="18:18" x14ac:dyDescent="0.2">
      <c r="R374" t="s">
        <v>109</v>
      </c>
    </row>
    <row r="375" spans="18:18" x14ac:dyDescent="0.2">
      <c r="R375" t="s">
        <v>110</v>
      </c>
    </row>
    <row r="376" spans="18:18" x14ac:dyDescent="0.2">
      <c r="R376" t="s">
        <v>111</v>
      </c>
    </row>
    <row r="377" spans="18:18" x14ac:dyDescent="0.2">
      <c r="R377" t="s">
        <v>112</v>
      </c>
    </row>
    <row r="378" spans="18:18" x14ac:dyDescent="0.2">
      <c r="R378" t="s">
        <v>113</v>
      </c>
    </row>
    <row r="379" spans="18:18" x14ac:dyDescent="0.2">
      <c r="R379" t="s">
        <v>114</v>
      </c>
    </row>
    <row r="380" spans="18:18" x14ac:dyDescent="0.2">
      <c r="R380" t="s">
        <v>115</v>
      </c>
    </row>
    <row r="381" spans="18:18" x14ac:dyDescent="0.2">
      <c r="R381" t="s">
        <v>116</v>
      </c>
    </row>
    <row r="382" spans="18:18" x14ac:dyDescent="0.2">
      <c r="R382" t="s">
        <v>117</v>
      </c>
    </row>
    <row r="383" spans="18:18" x14ac:dyDescent="0.2">
      <c r="R383" t="s">
        <v>118</v>
      </c>
    </row>
    <row r="384" spans="18:18" x14ac:dyDescent="0.2">
      <c r="R384" t="s">
        <v>119</v>
      </c>
    </row>
    <row r="385" spans="18:18" x14ac:dyDescent="0.2">
      <c r="R385" t="s">
        <v>120</v>
      </c>
    </row>
    <row r="386" spans="18:18" x14ac:dyDescent="0.2">
      <c r="R386" t="s">
        <v>121</v>
      </c>
    </row>
    <row r="387" spans="18:18" x14ac:dyDescent="0.2">
      <c r="R387" t="s">
        <v>122</v>
      </c>
    </row>
    <row r="388" spans="18:18" x14ac:dyDescent="0.2">
      <c r="R388" t="s">
        <v>123</v>
      </c>
    </row>
    <row r="389" spans="18:18" x14ac:dyDescent="0.2">
      <c r="R389" t="s">
        <v>124</v>
      </c>
    </row>
    <row r="390" spans="18:18" x14ac:dyDescent="0.2">
      <c r="R390" t="s">
        <v>125</v>
      </c>
    </row>
    <row r="391" spans="18:18" x14ac:dyDescent="0.2">
      <c r="R391" t="s">
        <v>126</v>
      </c>
    </row>
    <row r="392" spans="18:18" x14ac:dyDescent="0.2">
      <c r="R392" t="s">
        <v>127</v>
      </c>
    </row>
    <row r="393" spans="18:18" x14ac:dyDescent="0.2">
      <c r="R393" t="s">
        <v>128</v>
      </c>
    </row>
    <row r="394" spans="18:18" x14ac:dyDescent="0.2">
      <c r="R394" t="s">
        <v>129</v>
      </c>
    </row>
    <row r="395" spans="18:18" x14ac:dyDescent="0.2">
      <c r="R395" t="s">
        <v>130</v>
      </c>
    </row>
    <row r="396" spans="18:18" x14ac:dyDescent="0.2">
      <c r="R396" t="s">
        <v>131</v>
      </c>
    </row>
    <row r="397" spans="18:18" x14ac:dyDescent="0.2">
      <c r="R397" t="s">
        <v>132</v>
      </c>
    </row>
    <row r="398" spans="18:18" x14ac:dyDescent="0.2">
      <c r="R398" t="s">
        <v>133</v>
      </c>
    </row>
    <row r="399" spans="18:18" x14ac:dyDescent="0.2">
      <c r="R399" t="s">
        <v>134</v>
      </c>
    </row>
    <row r="400" spans="18:18" x14ac:dyDescent="0.2">
      <c r="R400" t="s">
        <v>135</v>
      </c>
    </row>
    <row r="401" spans="18:18" x14ac:dyDescent="0.2">
      <c r="R401" t="s">
        <v>136</v>
      </c>
    </row>
    <row r="402" spans="18:18" x14ac:dyDescent="0.2">
      <c r="R402" t="s">
        <v>137</v>
      </c>
    </row>
    <row r="403" spans="18:18" x14ac:dyDescent="0.2">
      <c r="R403" t="s">
        <v>138</v>
      </c>
    </row>
    <row r="404" spans="18:18" x14ac:dyDescent="0.2">
      <c r="R404" t="s">
        <v>139</v>
      </c>
    </row>
    <row r="405" spans="18:18" x14ac:dyDescent="0.2">
      <c r="R405" t="s">
        <v>140</v>
      </c>
    </row>
    <row r="406" spans="18:18" x14ac:dyDescent="0.2">
      <c r="R406" t="s">
        <v>141</v>
      </c>
    </row>
    <row r="407" spans="18:18" x14ac:dyDescent="0.2">
      <c r="R407" t="s">
        <v>142</v>
      </c>
    </row>
    <row r="408" spans="18:18" x14ac:dyDescent="0.2">
      <c r="R408" t="s">
        <v>143</v>
      </c>
    </row>
    <row r="409" spans="18:18" x14ac:dyDescent="0.2">
      <c r="R409" t="s">
        <v>144</v>
      </c>
    </row>
    <row r="410" spans="18:18" x14ac:dyDescent="0.2">
      <c r="R410" t="s">
        <v>145</v>
      </c>
    </row>
    <row r="411" spans="18:18" x14ac:dyDescent="0.2">
      <c r="R411" s="90" t="s">
        <v>502</v>
      </c>
    </row>
    <row r="412" spans="18:18" x14ac:dyDescent="0.2">
      <c r="R412" s="90" t="s">
        <v>518</v>
      </c>
    </row>
    <row r="413" spans="18:18" x14ac:dyDescent="0.2">
      <c r="R413" s="90" t="s">
        <v>519</v>
      </c>
    </row>
    <row r="414" spans="18:18" x14ac:dyDescent="0.2">
      <c r="R414" s="90" t="s">
        <v>503</v>
      </c>
    </row>
    <row r="415" spans="18:18" x14ac:dyDescent="0.2">
      <c r="R415" s="90" t="s">
        <v>504</v>
      </c>
    </row>
    <row r="416" spans="18:18" x14ac:dyDescent="0.2">
      <c r="R416" s="90" t="s">
        <v>505</v>
      </c>
    </row>
    <row r="417" spans="18:18" x14ac:dyDescent="0.2">
      <c r="R417" s="90" t="s">
        <v>506</v>
      </c>
    </row>
    <row r="418" spans="18:18" x14ac:dyDescent="0.2">
      <c r="R418" s="90" t="s">
        <v>507</v>
      </c>
    </row>
    <row r="419" spans="18:18" x14ac:dyDescent="0.2">
      <c r="R419" s="90" t="s">
        <v>508</v>
      </c>
    </row>
    <row r="420" spans="18:18" x14ac:dyDescent="0.2">
      <c r="R420" s="90" t="s">
        <v>509</v>
      </c>
    </row>
    <row r="421" spans="18:18" x14ac:dyDescent="0.2">
      <c r="R421" s="90" t="s">
        <v>510</v>
      </c>
    </row>
    <row r="422" spans="18:18" x14ac:dyDescent="0.2">
      <c r="R422" s="90" t="s">
        <v>511</v>
      </c>
    </row>
    <row r="423" spans="18:18" x14ac:dyDescent="0.2">
      <c r="R423" s="90" t="s">
        <v>520</v>
      </c>
    </row>
    <row r="424" spans="18:18" x14ac:dyDescent="0.2">
      <c r="R424" s="90" t="s">
        <v>512</v>
      </c>
    </row>
    <row r="425" spans="18:18" x14ac:dyDescent="0.2">
      <c r="R425" s="90" t="s">
        <v>513</v>
      </c>
    </row>
    <row r="426" spans="18:18" x14ac:dyDescent="0.2">
      <c r="R426" s="90" t="s">
        <v>521</v>
      </c>
    </row>
    <row r="427" spans="18:18" x14ac:dyDescent="0.2">
      <c r="R427" s="90" t="s">
        <v>514</v>
      </c>
    </row>
    <row r="428" spans="18:18" x14ac:dyDescent="0.2">
      <c r="R428" s="90" t="s">
        <v>515</v>
      </c>
    </row>
    <row r="429" spans="18:18" x14ac:dyDescent="0.2">
      <c r="R429" s="90" t="s">
        <v>516</v>
      </c>
    </row>
    <row r="430" spans="18:18" x14ac:dyDescent="0.2">
      <c r="R430" s="90" t="s">
        <v>517</v>
      </c>
    </row>
  </sheetData>
  <mergeCells count="58">
    <mergeCell ref="A2:L11"/>
    <mergeCell ref="B113:E114"/>
    <mergeCell ref="H113:K114"/>
    <mergeCell ref="B46:F46"/>
    <mergeCell ref="B80:F80"/>
    <mergeCell ref="H80:L80"/>
    <mergeCell ref="A26:E26"/>
    <mergeCell ref="A16:E16"/>
    <mergeCell ref="A18:E18"/>
    <mergeCell ref="A20:E20"/>
    <mergeCell ref="A22:E22"/>
    <mergeCell ref="A24:E24"/>
    <mergeCell ref="A134:L134"/>
    <mergeCell ref="A34:L34"/>
    <mergeCell ref="B56:F57"/>
    <mergeCell ref="H56:L57"/>
    <mergeCell ref="A67:L67"/>
    <mergeCell ref="H69:L70"/>
    <mergeCell ref="B70:F70"/>
    <mergeCell ref="B123:E124"/>
    <mergeCell ref="B90:F90"/>
    <mergeCell ref="H90:L90"/>
    <mergeCell ref="A100:L100"/>
    <mergeCell ref="H102:K103"/>
    <mergeCell ref="B103:E103"/>
    <mergeCell ref="B35:F35"/>
    <mergeCell ref="H35:L35"/>
    <mergeCell ref="H45:L46"/>
    <mergeCell ref="H194:K194"/>
    <mergeCell ref="B206:E206"/>
    <mergeCell ref="A170:L170"/>
    <mergeCell ref="A237:L237"/>
    <mergeCell ref="B194:F194"/>
    <mergeCell ref="A204:L204"/>
    <mergeCell ref="H206:L206"/>
    <mergeCell ref="H182:K183"/>
    <mergeCell ref="H265:K265"/>
    <mergeCell ref="B265:E265"/>
    <mergeCell ref="B256:E256"/>
    <mergeCell ref="H256:K256"/>
    <mergeCell ref="B238:E238"/>
    <mergeCell ref="H238:K238"/>
    <mergeCell ref="H123:K124"/>
    <mergeCell ref="B227:E227"/>
    <mergeCell ref="H227:K227"/>
    <mergeCell ref="B247:E247"/>
    <mergeCell ref="H247:K247"/>
    <mergeCell ref="B217:E217"/>
    <mergeCell ref="H217:K217"/>
    <mergeCell ref="B138:E138"/>
    <mergeCell ref="H138:K138"/>
    <mergeCell ref="H148:K149"/>
    <mergeCell ref="B148:E149"/>
    <mergeCell ref="B159:E160"/>
    <mergeCell ref="H159:K160"/>
    <mergeCell ref="B171:E172"/>
    <mergeCell ref="H171:K172"/>
    <mergeCell ref="B183:E183"/>
  </mergeCells>
  <phoneticPr fontId="3" type="noConversion"/>
  <dataValidations count="1">
    <dataValidation type="list" allowBlank="1" showInputMessage="1" showErrorMessage="1" sqref="A16:E16 A18:E18 A20:E20 A22:E22 A24:E24 A26:E26">
      <formula1>$R$323:$R$430</formula1>
    </dataValidation>
  </dataValidations>
  <hyperlinks>
    <hyperlink ref="A306" r:id="rId1"/>
    <hyperlink ref="A308" r:id="rId2"/>
  </hyperlinks>
  <pageMargins left="0.5" right="0.25" top="0.5" bottom="0.75" header="0.3" footer="0.3"/>
  <pageSetup scale="99" fitToWidth="9" fitToHeight="9" orientation="landscape" r:id="rId3"/>
  <headerFooter differentFirst="1" alignWithMargins="0">
    <oddFooter>&amp;L&amp;"Tw Cen MT,Italic"
&amp;"Tw Cen MT,Regular"&amp;9Vital Statistics Trend Report&amp;"Tw Cen MT,Italic"
&amp;"Tw Cen MT,Regular"MDH, Center for Health Statistics&amp;C
&amp;R
&amp;"Tw Cen MT,Regular"&amp;9July 2013&amp;"Times New Roman,Regular"&amp;10
&amp;"Tw Cen MT,Regular"&amp;P</oddFooter>
  </headerFooter>
  <rowBreaks count="6" manualBreakCount="6">
    <brk id="33" max="11" man="1"/>
    <brk id="99" max="11" man="1"/>
    <brk id="133" max="11" man="1"/>
    <brk id="169" max="11" man="1"/>
    <brk id="203" max="11" man="1"/>
    <brk id="236" max="11"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Template IF 2</vt:lpstr>
      <vt:lpstr>Title Page</vt:lpstr>
      <vt:lpstr>Instructions</vt:lpstr>
      <vt:lpstr>Trends</vt:lpstr>
      <vt:lpstr>Trends!Print_Area</vt:lpstr>
    </vt:vector>
  </TitlesOfParts>
  <Company>MDH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Edelman</dc:creator>
  <cp:lastModifiedBy>Kim Edelman</cp:lastModifiedBy>
  <cp:lastPrinted>2013-07-25T14:53:31Z</cp:lastPrinted>
  <dcterms:created xsi:type="dcterms:W3CDTF">2007-03-30T18:14:35Z</dcterms:created>
  <dcterms:modified xsi:type="dcterms:W3CDTF">2014-01-13T17:04:48Z</dcterms:modified>
</cp:coreProperties>
</file>