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0" yWindow="135" windowWidth="9735" windowHeight="5655" tabRatio="875" firstSheet="1" activeTab="1"/>
  </bookViews>
  <sheets>
    <sheet name="Template IF 2" sheetId="1" state="hidden" r:id="rId1"/>
    <sheet name="Title Page" sheetId="10" r:id="rId2"/>
    <sheet name="Instructions" sheetId="5" r:id="rId3"/>
    <sheet name="Trends" sheetId="2" r:id="rId4"/>
  </sheets>
  <definedNames>
    <definedName name="_xlnm.Print_Area" localSheetId="3">Trends!$A$1:$L$314</definedName>
  </definedNames>
  <calcPr calcId="145621" iterateCount="1" iterateDelta="0"/>
</workbook>
</file>

<file path=xl/calcChain.xml><?xml version="1.0" encoding="utf-8"?>
<calcChain xmlns="http://schemas.openxmlformats.org/spreadsheetml/2006/main">
  <c r="F59" i="2" l="1"/>
  <c r="E59" i="2"/>
  <c r="D59" i="2"/>
  <c r="C59" i="2"/>
  <c r="B59" i="2"/>
  <c r="EF91" i="1" l="1"/>
  <c r="EG91" i="1"/>
  <c r="EH91" i="1"/>
  <c r="EI91" i="1"/>
  <c r="EF92" i="1"/>
  <c r="EG92" i="1"/>
  <c r="EH92" i="1"/>
  <c r="EI92" i="1"/>
  <c r="EF93" i="1"/>
  <c r="EG93" i="1"/>
  <c r="EH93" i="1"/>
  <c r="EI93" i="1"/>
  <c r="EF94" i="1"/>
  <c r="EG94" i="1"/>
  <c r="EH94" i="1"/>
  <c r="EI94" i="1"/>
  <c r="EF95" i="1"/>
  <c r="EG95" i="1"/>
  <c r="EH95" i="1"/>
  <c r="EI95" i="1"/>
  <c r="EF96" i="1"/>
  <c r="EG96" i="1"/>
  <c r="EH96" i="1"/>
  <c r="EI96" i="1"/>
  <c r="EF97" i="1"/>
  <c r="EG97" i="1"/>
  <c r="EH97" i="1"/>
  <c r="EI97" i="1"/>
  <c r="EF98" i="1"/>
  <c r="EG98" i="1"/>
  <c r="EH98" i="1"/>
  <c r="EI98" i="1"/>
  <c r="EF99" i="1"/>
  <c r="EG99" i="1"/>
  <c r="EH99" i="1"/>
  <c r="EI99" i="1"/>
  <c r="EF100" i="1"/>
  <c r="EG100" i="1"/>
  <c r="EH100" i="1"/>
  <c r="EI100" i="1"/>
  <c r="EF101" i="1"/>
  <c r="EG101" i="1"/>
  <c r="EH101" i="1"/>
  <c r="EI101" i="1"/>
  <c r="EF102" i="1"/>
  <c r="EG102" i="1"/>
  <c r="EH102" i="1"/>
  <c r="EI102" i="1"/>
  <c r="EF103" i="1"/>
  <c r="EG103" i="1"/>
  <c r="EH103" i="1"/>
  <c r="EI103" i="1"/>
  <c r="EF104" i="1"/>
  <c r="EG104" i="1"/>
  <c r="EH104" i="1"/>
  <c r="EI104" i="1"/>
  <c r="EF105" i="1"/>
  <c r="EG105" i="1"/>
  <c r="EH105" i="1"/>
  <c r="EI105" i="1"/>
  <c r="EF106" i="1"/>
  <c r="EG106" i="1"/>
  <c r="EH106" i="1"/>
  <c r="EI106" i="1"/>
  <c r="EF107" i="1"/>
  <c r="EG107" i="1"/>
  <c r="EH107" i="1"/>
  <c r="EI107" i="1"/>
  <c r="EF108" i="1"/>
  <c r="EG108" i="1"/>
  <c r="EH108" i="1"/>
  <c r="EI108" i="1"/>
  <c r="EF109" i="1"/>
  <c r="EG109" i="1"/>
  <c r="EH109" i="1"/>
  <c r="EI109" i="1"/>
  <c r="EF110" i="1"/>
  <c r="EG110" i="1"/>
  <c r="EH110" i="1"/>
  <c r="EI110" i="1"/>
  <c r="EK91" i="1"/>
  <c r="EL91" i="1"/>
  <c r="EM91" i="1"/>
  <c r="EN91" i="1"/>
  <c r="EK92" i="1"/>
  <c r="EL92" i="1"/>
  <c r="EM92" i="1"/>
  <c r="EN92" i="1"/>
  <c r="EK93" i="1"/>
  <c r="EL93" i="1"/>
  <c r="EM93" i="1"/>
  <c r="EN93" i="1"/>
  <c r="EK94" i="1"/>
  <c r="EL94" i="1"/>
  <c r="EM94" i="1"/>
  <c r="EN94" i="1"/>
  <c r="EK95" i="1"/>
  <c r="EL95" i="1"/>
  <c r="EM95" i="1"/>
  <c r="EN95" i="1"/>
  <c r="EK96" i="1"/>
  <c r="EL96" i="1"/>
  <c r="EM96" i="1"/>
  <c r="EN96" i="1"/>
  <c r="EK97" i="1"/>
  <c r="EL97" i="1"/>
  <c r="EM97" i="1"/>
  <c r="EN97" i="1"/>
  <c r="EK98" i="1"/>
  <c r="EL98" i="1"/>
  <c r="EM98" i="1"/>
  <c r="EN98" i="1"/>
  <c r="EK99" i="1"/>
  <c r="EL99" i="1"/>
  <c r="EM99" i="1"/>
  <c r="EN99" i="1"/>
  <c r="EK100" i="1"/>
  <c r="EL100" i="1"/>
  <c r="EM100" i="1"/>
  <c r="EN100" i="1"/>
  <c r="EK101" i="1"/>
  <c r="EL101" i="1"/>
  <c r="EM101" i="1"/>
  <c r="EN101" i="1"/>
  <c r="EK102" i="1"/>
  <c r="EL102" i="1"/>
  <c r="EM102" i="1"/>
  <c r="EN102" i="1"/>
  <c r="EK103" i="1"/>
  <c r="EL103" i="1"/>
  <c r="EM103" i="1"/>
  <c r="EN103" i="1"/>
  <c r="EK104" i="1"/>
  <c r="EL104" i="1"/>
  <c r="EM104" i="1"/>
  <c r="EN104" i="1"/>
  <c r="EK105" i="1"/>
  <c r="EL105" i="1"/>
  <c r="EM105" i="1"/>
  <c r="EN105" i="1"/>
  <c r="EK106" i="1"/>
  <c r="EL106" i="1"/>
  <c r="EM106" i="1"/>
  <c r="EN106" i="1"/>
  <c r="EK107" i="1"/>
  <c r="EL107" i="1"/>
  <c r="EM107" i="1"/>
  <c r="EN107" i="1"/>
  <c r="EK108" i="1"/>
  <c r="EL108" i="1"/>
  <c r="EM108" i="1"/>
  <c r="EN108" i="1"/>
  <c r="EK109" i="1"/>
  <c r="EL109" i="1"/>
  <c r="EM109" i="1"/>
  <c r="EN109" i="1"/>
  <c r="EK110" i="1"/>
  <c r="EL110" i="1"/>
  <c r="EM110" i="1"/>
  <c r="EN110" i="1"/>
  <c r="EJ110" i="1"/>
  <c r="EJ109" i="1"/>
  <c r="EJ108" i="1"/>
  <c r="EJ107" i="1"/>
  <c r="EJ106" i="1"/>
  <c r="EJ105" i="1"/>
  <c r="EJ104" i="1"/>
  <c r="EJ103" i="1"/>
  <c r="EJ102" i="1"/>
  <c r="EJ101" i="1"/>
  <c r="EJ100" i="1"/>
  <c r="EJ99" i="1"/>
  <c r="EJ98" i="1"/>
  <c r="EJ97" i="1"/>
  <c r="EJ96" i="1"/>
  <c r="EJ95" i="1"/>
  <c r="EJ94" i="1"/>
  <c r="EJ93" i="1"/>
  <c r="EJ92" i="1"/>
  <c r="EJ91" i="1"/>
  <c r="F37" i="2" l="1"/>
  <c r="O110" i="1"/>
  <c r="N110" i="1"/>
  <c r="M110" i="1"/>
  <c r="O109" i="1"/>
  <c r="N109" i="1"/>
  <c r="M109" i="1"/>
  <c r="O108" i="1"/>
  <c r="N108" i="1"/>
  <c r="M108" i="1"/>
  <c r="O107" i="1"/>
  <c r="N107" i="1"/>
  <c r="M107" i="1"/>
  <c r="O106" i="1"/>
  <c r="N106" i="1"/>
  <c r="M106" i="1"/>
  <c r="O105" i="1"/>
  <c r="N105" i="1"/>
  <c r="M105" i="1"/>
  <c r="O104" i="1"/>
  <c r="N104" i="1"/>
  <c r="M104" i="1"/>
  <c r="O103" i="1"/>
  <c r="N103" i="1"/>
  <c r="M103" i="1"/>
  <c r="O102" i="1"/>
  <c r="N102" i="1"/>
  <c r="M102" i="1"/>
  <c r="O101" i="1"/>
  <c r="N101" i="1"/>
  <c r="M101" i="1"/>
  <c r="O100" i="1"/>
  <c r="N100" i="1"/>
  <c r="M100" i="1"/>
  <c r="O99" i="1"/>
  <c r="N99" i="1"/>
  <c r="M99" i="1"/>
  <c r="O98" i="1"/>
  <c r="N98" i="1"/>
  <c r="M98" i="1"/>
  <c r="O97" i="1"/>
  <c r="N97" i="1"/>
  <c r="M97" i="1"/>
  <c r="O96" i="1"/>
  <c r="N96" i="1"/>
  <c r="M96" i="1"/>
  <c r="O95" i="1"/>
  <c r="N95" i="1"/>
  <c r="M95" i="1"/>
  <c r="O94" i="1"/>
  <c r="N94" i="1"/>
  <c r="M94" i="1"/>
  <c r="O93" i="1"/>
  <c r="N93" i="1"/>
  <c r="M93" i="1"/>
  <c r="O92" i="1"/>
  <c r="N92" i="1"/>
  <c r="M92" i="1"/>
  <c r="O91" i="1"/>
  <c r="N91" i="1"/>
  <c r="M91" i="1"/>
  <c r="C91" i="1" l="1"/>
  <c r="D91" i="1"/>
  <c r="E91" i="1"/>
  <c r="F91" i="1"/>
  <c r="C92" i="1"/>
  <c r="D92" i="1"/>
  <c r="E92" i="1"/>
  <c r="F92" i="1"/>
  <c r="C93" i="1"/>
  <c r="D93" i="1"/>
  <c r="E93" i="1"/>
  <c r="F93" i="1"/>
  <c r="C94" i="1"/>
  <c r="D94" i="1"/>
  <c r="E94" i="1"/>
  <c r="F94" i="1"/>
  <c r="C95" i="1"/>
  <c r="D95" i="1"/>
  <c r="E95" i="1"/>
  <c r="F95" i="1"/>
  <c r="C96" i="1"/>
  <c r="D96" i="1"/>
  <c r="E96" i="1"/>
  <c r="F96" i="1"/>
  <c r="C97" i="1"/>
  <c r="D97" i="1"/>
  <c r="E97" i="1"/>
  <c r="F97" i="1"/>
  <c r="C98" i="1"/>
  <c r="D98" i="1"/>
  <c r="E98" i="1"/>
  <c r="F98" i="1"/>
  <c r="C99" i="1"/>
  <c r="D99" i="1"/>
  <c r="E99" i="1"/>
  <c r="F99" i="1"/>
  <c r="C100" i="1"/>
  <c r="D100" i="1"/>
  <c r="E100" i="1"/>
  <c r="F100" i="1"/>
  <c r="C101" i="1"/>
  <c r="D101" i="1"/>
  <c r="E101" i="1"/>
  <c r="F101" i="1"/>
  <c r="C102" i="1"/>
  <c r="D102" i="1"/>
  <c r="E102" i="1"/>
  <c r="F102" i="1"/>
  <c r="C103" i="1"/>
  <c r="D103" i="1"/>
  <c r="E103" i="1"/>
  <c r="F103" i="1"/>
  <c r="C104" i="1"/>
  <c r="D104" i="1"/>
  <c r="E104" i="1"/>
  <c r="F104" i="1"/>
  <c r="C105" i="1"/>
  <c r="D105" i="1"/>
  <c r="E105" i="1"/>
  <c r="F105" i="1"/>
  <c r="C106" i="1"/>
  <c r="D106" i="1"/>
  <c r="E106" i="1"/>
  <c r="F106" i="1"/>
  <c r="C107" i="1"/>
  <c r="D107" i="1"/>
  <c r="E107" i="1"/>
  <c r="F107" i="1"/>
  <c r="C108" i="1"/>
  <c r="D108" i="1"/>
  <c r="E108" i="1"/>
  <c r="F108" i="1"/>
  <c r="C109" i="1"/>
  <c r="D109" i="1"/>
  <c r="E109" i="1"/>
  <c r="F109" i="1"/>
  <c r="C110" i="1"/>
  <c r="D110" i="1"/>
  <c r="E110" i="1"/>
  <c r="F110" i="1"/>
  <c r="I191" i="2" l="1"/>
  <c r="I190" i="2"/>
  <c r="I189" i="2"/>
  <c r="I188" i="2"/>
  <c r="I187" i="2"/>
  <c r="I186" i="2"/>
  <c r="I185" i="2"/>
  <c r="AI319" i="2"/>
  <c r="AI318" i="2"/>
  <c r="AI317" i="2"/>
  <c r="AI316" i="2"/>
  <c r="AI315" i="2"/>
  <c r="AI314" i="2"/>
  <c r="AI313" i="2"/>
  <c r="AH319" i="2"/>
  <c r="AH318" i="2"/>
  <c r="AH317" i="2"/>
  <c r="AH316" i="2"/>
  <c r="AH315" i="2"/>
  <c r="AH314" i="2"/>
  <c r="AH313" i="2"/>
  <c r="AG319" i="2"/>
  <c r="AG318" i="2"/>
  <c r="AG317" i="2"/>
  <c r="AG316" i="2"/>
  <c r="AG315" i="2"/>
  <c r="AG314" i="2"/>
  <c r="AF319" i="2"/>
  <c r="AF318" i="2"/>
  <c r="AF317" i="2"/>
  <c r="AF316" i="2"/>
  <c r="AF315" i="2"/>
  <c r="AF314" i="2"/>
  <c r="AE319" i="2"/>
  <c r="AE318" i="2"/>
  <c r="AE317" i="2"/>
  <c r="AE316" i="2"/>
  <c r="AE315" i="2"/>
  <c r="AE314" i="2"/>
  <c r="AE313" i="2"/>
  <c r="AF313" i="2"/>
  <c r="AG313" i="2"/>
  <c r="AD319" i="2"/>
  <c r="AD318" i="2"/>
  <c r="AD317" i="2"/>
  <c r="AD316" i="2"/>
  <c r="AD315" i="2"/>
  <c r="AD314" i="2"/>
  <c r="AD313" i="2"/>
  <c r="AV319" i="2"/>
  <c r="AV318" i="2"/>
  <c r="AV317" i="2"/>
  <c r="AV316" i="2"/>
  <c r="AV315" i="2"/>
  <c r="AV314" i="2"/>
  <c r="AV313" i="2"/>
  <c r="Y319" i="2"/>
  <c r="Y318" i="2"/>
  <c r="Y317" i="2"/>
  <c r="Y316" i="2"/>
  <c r="Y315" i="2"/>
  <c r="Y314" i="2"/>
  <c r="Y313" i="2"/>
  <c r="T319" i="2"/>
  <c r="T318" i="2"/>
  <c r="T317" i="2"/>
  <c r="T316" i="2"/>
  <c r="T315" i="2"/>
  <c r="T314" i="2"/>
  <c r="T313" i="2"/>
  <c r="J273" i="2"/>
  <c r="J272" i="2"/>
  <c r="J271" i="2"/>
  <c r="J270" i="2"/>
  <c r="J269" i="2"/>
  <c r="J268" i="2"/>
  <c r="J267" i="2"/>
  <c r="C273" i="2"/>
  <c r="C272" i="2"/>
  <c r="C271" i="2"/>
  <c r="C270" i="2"/>
  <c r="C269" i="2"/>
  <c r="C268" i="2"/>
  <c r="C267" i="2"/>
  <c r="H264" i="2"/>
  <c r="H263" i="2"/>
  <c r="H262" i="2"/>
  <c r="H261" i="2"/>
  <c r="H260" i="2"/>
  <c r="H259" i="2"/>
  <c r="H258" i="2"/>
  <c r="K255" i="2"/>
  <c r="K254" i="2"/>
  <c r="K253" i="2"/>
  <c r="K252" i="2"/>
  <c r="K251" i="2"/>
  <c r="K250" i="2"/>
  <c r="K249" i="2"/>
  <c r="D255" i="2"/>
  <c r="D254" i="2"/>
  <c r="D253" i="2"/>
  <c r="D252" i="2"/>
  <c r="D251" i="2"/>
  <c r="D250" i="2"/>
  <c r="D249" i="2"/>
  <c r="I246" i="2"/>
  <c r="I245" i="2"/>
  <c r="I244" i="2"/>
  <c r="I243" i="2"/>
  <c r="I242" i="2"/>
  <c r="I241" i="2"/>
  <c r="I240" i="2"/>
  <c r="B246" i="2"/>
  <c r="B245" i="2"/>
  <c r="B244" i="2"/>
  <c r="B243" i="2"/>
  <c r="B242" i="2"/>
  <c r="B241" i="2"/>
  <c r="B240" i="2"/>
  <c r="E235" i="2"/>
  <c r="E234" i="2"/>
  <c r="E233" i="2"/>
  <c r="E232" i="2"/>
  <c r="E231" i="2"/>
  <c r="E230" i="2"/>
  <c r="E229" i="2"/>
  <c r="J225" i="2"/>
  <c r="J224" i="2"/>
  <c r="J223" i="2"/>
  <c r="J222" i="2"/>
  <c r="J221" i="2"/>
  <c r="J220" i="2"/>
  <c r="J219" i="2"/>
  <c r="C225" i="2"/>
  <c r="C224" i="2"/>
  <c r="C223" i="2"/>
  <c r="C222" i="2"/>
  <c r="C221" i="2"/>
  <c r="C220" i="2"/>
  <c r="C219" i="2"/>
  <c r="I214" i="2"/>
  <c r="I213" i="2"/>
  <c r="I212" i="2"/>
  <c r="I211" i="2"/>
  <c r="I210" i="2"/>
  <c r="I209" i="2"/>
  <c r="I208" i="2"/>
  <c r="H214" i="2"/>
  <c r="H213" i="2"/>
  <c r="H212" i="2"/>
  <c r="H211" i="2"/>
  <c r="H210" i="2"/>
  <c r="H209" i="2"/>
  <c r="H208" i="2"/>
  <c r="J202" i="2" l="1"/>
  <c r="J201" i="2"/>
  <c r="J200" i="2"/>
  <c r="J199" i="2"/>
  <c r="J198" i="2"/>
  <c r="J197" i="2"/>
  <c r="J196" i="2"/>
  <c r="D202" i="2"/>
  <c r="D201" i="2"/>
  <c r="D200" i="2"/>
  <c r="D199" i="2"/>
  <c r="D198" i="2"/>
  <c r="D197" i="2"/>
  <c r="D196" i="2"/>
  <c r="B191" i="2"/>
  <c r="B190" i="2"/>
  <c r="B189" i="2"/>
  <c r="B188" i="2"/>
  <c r="B187" i="2"/>
  <c r="B186" i="2"/>
  <c r="B185" i="2"/>
  <c r="E180" i="2"/>
  <c r="E179" i="2"/>
  <c r="E178" i="2"/>
  <c r="E177" i="2"/>
  <c r="E176" i="2"/>
  <c r="E175" i="2"/>
  <c r="E174" i="2"/>
  <c r="J168" i="2"/>
  <c r="J167" i="2"/>
  <c r="J166" i="2"/>
  <c r="J165" i="2"/>
  <c r="J164" i="2"/>
  <c r="J163" i="2"/>
  <c r="J162" i="2"/>
  <c r="C168" i="2"/>
  <c r="C167" i="2"/>
  <c r="C166" i="2"/>
  <c r="C165" i="2"/>
  <c r="C164" i="2"/>
  <c r="C163" i="2"/>
  <c r="C162" i="2"/>
  <c r="H157" i="2"/>
  <c r="H156" i="2"/>
  <c r="H155" i="2"/>
  <c r="H154" i="2"/>
  <c r="H153" i="2"/>
  <c r="H152" i="2"/>
  <c r="H151" i="2"/>
  <c r="K146" i="2"/>
  <c r="K145" i="2"/>
  <c r="K144" i="2"/>
  <c r="K143" i="2"/>
  <c r="K142" i="2"/>
  <c r="K141" i="2"/>
  <c r="K140" i="2"/>
  <c r="H88" i="2"/>
  <c r="H87" i="2"/>
  <c r="H86" i="2"/>
  <c r="H85" i="2"/>
  <c r="H84" i="2"/>
  <c r="H83" i="2"/>
  <c r="H82" i="2"/>
  <c r="B88" i="2"/>
  <c r="B87" i="2"/>
  <c r="B86" i="2"/>
  <c r="B85" i="2"/>
  <c r="B84" i="2"/>
  <c r="B83" i="2"/>
  <c r="B82" i="2"/>
  <c r="H78" i="2"/>
  <c r="I78" i="2"/>
  <c r="J78" i="2"/>
  <c r="K78" i="2"/>
  <c r="L78" i="2"/>
  <c r="H77" i="2"/>
  <c r="I77" i="2"/>
  <c r="J77" i="2"/>
  <c r="K77" i="2"/>
  <c r="L77" i="2"/>
  <c r="H76" i="2"/>
  <c r="I76" i="2"/>
  <c r="J76" i="2"/>
  <c r="K76" i="2"/>
  <c r="L76" i="2"/>
  <c r="H75" i="2"/>
  <c r="I75" i="2"/>
  <c r="J75" i="2"/>
  <c r="K75" i="2"/>
  <c r="L75" i="2"/>
  <c r="L74" i="2"/>
  <c r="K74" i="2"/>
  <c r="J74" i="2"/>
  <c r="I74" i="2"/>
  <c r="H74" i="2"/>
  <c r="L73" i="2"/>
  <c r="K73" i="2"/>
  <c r="J73" i="2"/>
  <c r="I73" i="2"/>
  <c r="H73" i="2"/>
  <c r="I72" i="2"/>
  <c r="J72" i="2"/>
  <c r="K72" i="2"/>
  <c r="L72" i="2"/>
  <c r="H72" i="2"/>
  <c r="S318" i="2" l="1"/>
  <c r="F196" i="2" l="1"/>
  <c r="H196" i="2"/>
  <c r="I196" i="2"/>
  <c r="E196" i="2"/>
  <c r="E198" i="2"/>
  <c r="F198" i="2"/>
  <c r="H198" i="2"/>
  <c r="I198" i="2"/>
  <c r="E199" i="2"/>
  <c r="F199" i="2"/>
  <c r="H199" i="2"/>
  <c r="I199" i="2"/>
  <c r="E200" i="2"/>
  <c r="F200" i="2"/>
  <c r="H200" i="2"/>
  <c r="I200" i="2"/>
  <c r="E201" i="2"/>
  <c r="F201" i="2"/>
  <c r="H201" i="2"/>
  <c r="I201" i="2"/>
  <c r="E202" i="2"/>
  <c r="F202" i="2"/>
  <c r="H202" i="2"/>
  <c r="I202" i="2"/>
  <c r="I197" i="2"/>
  <c r="H197" i="2"/>
  <c r="F197" i="2"/>
  <c r="E197" i="2"/>
  <c r="AK313" i="2" l="1"/>
  <c r="AL313" i="2"/>
  <c r="AM313" i="2"/>
  <c r="AN313" i="2"/>
  <c r="AJ313" i="2"/>
  <c r="AA313" i="2"/>
  <c r="AB313" i="2"/>
  <c r="AC313" i="2"/>
  <c r="Z313" i="2"/>
  <c r="V313" i="2"/>
  <c r="W313" i="2"/>
  <c r="X313" i="2"/>
  <c r="U313" i="2"/>
  <c r="Q313" i="2"/>
  <c r="R313" i="2"/>
  <c r="S313" i="2"/>
  <c r="K267" i="2"/>
  <c r="E267" i="2"/>
  <c r="H267" i="2"/>
  <c r="I267" i="2"/>
  <c r="D267" i="2"/>
  <c r="J258" i="2"/>
  <c r="K258" i="2"/>
  <c r="B267" i="2"/>
  <c r="I258" i="2"/>
  <c r="C258" i="2"/>
  <c r="D258" i="2"/>
  <c r="E258" i="2"/>
  <c r="B258" i="2"/>
  <c r="H249" i="2"/>
  <c r="I249" i="2"/>
  <c r="J249" i="2"/>
  <c r="E249" i="2"/>
  <c r="K240" i="2"/>
  <c r="B249" i="2"/>
  <c r="C249" i="2"/>
  <c r="J240" i="2"/>
  <c r="D240" i="2"/>
  <c r="E240" i="2"/>
  <c r="H240" i="2"/>
  <c r="C240" i="2"/>
  <c r="I229" i="2"/>
  <c r="J229" i="2"/>
  <c r="K229" i="2"/>
  <c r="H229" i="2"/>
  <c r="B229" i="2"/>
  <c r="C229" i="2"/>
  <c r="D229" i="2"/>
  <c r="K219" i="2"/>
  <c r="I219" i="2"/>
  <c r="H219" i="2"/>
  <c r="E219" i="2"/>
  <c r="D219" i="2"/>
  <c r="K208" i="2"/>
  <c r="L208" i="2"/>
  <c r="B219" i="2"/>
  <c r="J208" i="2"/>
  <c r="AP313" i="2"/>
  <c r="AQ313" i="2"/>
  <c r="AO313" i="2"/>
  <c r="B208" i="2"/>
  <c r="C208" i="2"/>
  <c r="D208" i="2"/>
  <c r="E208" i="2"/>
  <c r="K196" i="2"/>
  <c r="K185" i="2"/>
  <c r="B196" i="2"/>
  <c r="C196" i="2"/>
  <c r="J185" i="2"/>
  <c r="D185" i="2"/>
  <c r="E185" i="2"/>
  <c r="H185" i="2"/>
  <c r="C185" i="2"/>
  <c r="I174" i="2"/>
  <c r="J174" i="2"/>
  <c r="K174" i="2"/>
  <c r="H174" i="2"/>
  <c r="B174" i="2"/>
  <c r="C174" i="2"/>
  <c r="D174" i="2"/>
  <c r="K162" i="2"/>
  <c r="E162" i="2"/>
  <c r="H162" i="2"/>
  <c r="I162" i="2"/>
  <c r="D162" i="2"/>
  <c r="J151" i="2"/>
  <c r="K151" i="2"/>
  <c r="B162" i="2"/>
  <c r="I151" i="2"/>
  <c r="AX313" i="2"/>
  <c r="AY313" i="2"/>
  <c r="AZ313" i="2"/>
  <c r="AW313" i="2"/>
  <c r="AS313" i="2"/>
  <c r="AT313" i="2"/>
  <c r="AU313" i="2"/>
  <c r="AR313" i="2"/>
  <c r="C151" i="2"/>
  <c r="D151" i="2"/>
  <c r="E151" i="2"/>
  <c r="B151" i="2"/>
  <c r="H140" i="2"/>
  <c r="I140" i="2"/>
  <c r="J140" i="2"/>
  <c r="E140" i="2"/>
  <c r="B140" i="2"/>
  <c r="C140" i="2"/>
  <c r="D140" i="2"/>
  <c r="K126" i="2"/>
  <c r="H126" i="2"/>
  <c r="I126" i="2"/>
  <c r="J126" i="2"/>
  <c r="E126" i="2"/>
  <c r="B126" i="2"/>
  <c r="C126" i="2"/>
  <c r="D126" i="2"/>
  <c r="K116" i="2"/>
  <c r="H116" i="2"/>
  <c r="I116" i="2"/>
  <c r="J116" i="2"/>
  <c r="E116" i="2"/>
  <c r="B116" i="2"/>
  <c r="C116" i="2"/>
  <c r="D116" i="2"/>
  <c r="K105" i="2"/>
  <c r="E105" i="2"/>
  <c r="H105" i="2"/>
  <c r="I105" i="2"/>
  <c r="J105" i="2"/>
  <c r="D105" i="2"/>
  <c r="K92" i="2"/>
  <c r="L92" i="2"/>
  <c r="B105" i="2"/>
  <c r="C105" i="2"/>
  <c r="J92" i="2"/>
  <c r="E92" i="2"/>
  <c r="F92" i="2"/>
  <c r="H92" i="2"/>
  <c r="I92" i="2"/>
  <c r="D92" i="2"/>
  <c r="K82" i="2"/>
  <c r="L82" i="2"/>
  <c r="B92" i="2"/>
  <c r="C92" i="2"/>
  <c r="J82" i="2"/>
  <c r="C72" i="2"/>
  <c r="D72" i="2"/>
  <c r="E72" i="2"/>
  <c r="F72" i="2"/>
  <c r="B72" i="2"/>
  <c r="I59" i="2"/>
  <c r="J59" i="2"/>
  <c r="K59" i="2"/>
  <c r="L59" i="2"/>
  <c r="H59" i="2"/>
  <c r="I48" i="2"/>
  <c r="J48" i="2"/>
  <c r="K48" i="2"/>
  <c r="L48" i="2"/>
  <c r="H48" i="2"/>
  <c r="E48" i="2"/>
  <c r="F48" i="2"/>
  <c r="C48" i="2"/>
  <c r="D48" i="2"/>
  <c r="B48" i="2"/>
  <c r="L37" i="2"/>
  <c r="K37" i="2"/>
  <c r="J37" i="2"/>
  <c r="I37" i="2"/>
  <c r="H37" i="2"/>
  <c r="I82" i="2"/>
  <c r="F82" i="2"/>
  <c r="E82" i="2"/>
  <c r="D82" i="2"/>
  <c r="C82" i="2"/>
  <c r="B37" i="2"/>
  <c r="C37" i="2"/>
  <c r="D37" i="2"/>
  <c r="E37" i="2"/>
  <c r="GB117" i="1" l="1"/>
  <c r="GC117" i="1"/>
  <c r="GD117" i="1"/>
  <c r="GE117" i="1"/>
  <c r="GF117" i="1"/>
  <c r="GG117" i="1"/>
  <c r="GH117" i="1"/>
  <c r="GI117" i="1"/>
  <c r="GJ117" i="1"/>
  <c r="GK117" i="1"/>
  <c r="GL117" i="1"/>
  <c r="GM117" i="1"/>
  <c r="GN117" i="1"/>
  <c r="GO117" i="1"/>
  <c r="GP117" i="1"/>
  <c r="GQ117" i="1"/>
  <c r="GR117" i="1"/>
  <c r="GS117" i="1"/>
  <c r="GT117" i="1"/>
  <c r="GU117" i="1"/>
  <c r="GV117" i="1"/>
  <c r="GW117" i="1"/>
  <c r="GX117" i="1"/>
  <c r="GY117" i="1"/>
  <c r="GZ117" i="1"/>
  <c r="HA117" i="1"/>
  <c r="HB117" i="1"/>
  <c r="HC117" i="1"/>
  <c r="HD117" i="1"/>
  <c r="HE117" i="1"/>
  <c r="HF117" i="1"/>
  <c r="HG117" i="1"/>
  <c r="HH117" i="1"/>
  <c r="HI117" i="1"/>
  <c r="HJ117" i="1"/>
  <c r="HK117" i="1"/>
  <c r="HL117" i="1"/>
  <c r="HM117" i="1"/>
  <c r="HN117" i="1"/>
  <c r="HO117" i="1"/>
  <c r="HP117" i="1"/>
  <c r="HQ117" i="1"/>
  <c r="HR117" i="1"/>
  <c r="HS117" i="1"/>
  <c r="HT117" i="1"/>
  <c r="HU117" i="1"/>
  <c r="CW117" i="1"/>
  <c r="CX117" i="1"/>
  <c r="CY117" i="1"/>
  <c r="CZ117" i="1"/>
  <c r="DA117" i="1"/>
  <c r="DB117" i="1"/>
  <c r="DC117" i="1"/>
  <c r="DD117" i="1"/>
  <c r="DE117" i="1"/>
  <c r="DF117" i="1"/>
  <c r="DG117" i="1"/>
  <c r="DH117" i="1"/>
  <c r="DI117" i="1"/>
  <c r="DJ117" i="1"/>
  <c r="DK117" i="1"/>
  <c r="DL117" i="1"/>
  <c r="DM117" i="1"/>
  <c r="DN117" i="1"/>
  <c r="DO117" i="1"/>
  <c r="DP117" i="1"/>
  <c r="DQ117" i="1"/>
  <c r="DR117" i="1"/>
  <c r="DS117" i="1"/>
  <c r="DT117" i="1"/>
  <c r="DU117" i="1"/>
  <c r="DV117" i="1"/>
  <c r="DW117" i="1"/>
  <c r="DX117" i="1"/>
  <c r="DY117" i="1"/>
  <c r="DZ117" i="1"/>
  <c r="EA117" i="1"/>
  <c r="EB117" i="1"/>
  <c r="EC117" i="1"/>
  <c r="ED117" i="1"/>
  <c r="EE117" i="1"/>
  <c r="EF117" i="1"/>
  <c r="EG117" i="1"/>
  <c r="EH117" i="1"/>
  <c r="EI117" i="1"/>
  <c r="EJ117" i="1"/>
  <c r="EK117" i="1"/>
  <c r="EL117" i="1"/>
  <c r="EM117" i="1"/>
  <c r="EN117" i="1"/>
  <c r="EO117" i="1"/>
  <c r="EP117" i="1"/>
  <c r="EQ117" i="1"/>
  <c r="ER117" i="1"/>
  <c r="ES117" i="1"/>
  <c r="ET117" i="1"/>
  <c r="EU117" i="1"/>
  <c r="EV117" i="1"/>
  <c r="EW117" i="1"/>
  <c r="EX117" i="1"/>
  <c r="EY117" i="1"/>
  <c r="EZ117" i="1"/>
  <c r="FA117" i="1"/>
  <c r="FB117" i="1"/>
  <c r="FC117" i="1"/>
  <c r="FD117" i="1"/>
  <c r="FE117" i="1"/>
  <c r="FF117" i="1"/>
  <c r="FG117" i="1"/>
  <c r="FH117" i="1"/>
  <c r="FI117" i="1"/>
  <c r="FJ117" i="1"/>
  <c r="FK117" i="1"/>
  <c r="FL117" i="1"/>
  <c r="FM117" i="1"/>
  <c r="FN117" i="1"/>
  <c r="FO117" i="1"/>
  <c r="FP117" i="1"/>
  <c r="FQ117" i="1"/>
  <c r="FR117" i="1"/>
  <c r="FS117" i="1"/>
  <c r="FT117" i="1"/>
  <c r="FU117" i="1"/>
  <c r="FV117" i="1"/>
  <c r="FW117" i="1"/>
  <c r="FX117" i="1"/>
  <c r="FY117" i="1"/>
  <c r="FZ117" i="1"/>
  <c r="GA117" i="1"/>
  <c r="CD117" i="1"/>
  <c r="CE117" i="1"/>
  <c r="CF117" i="1"/>
  <c r="CG117" i="1"/>
  <c r="CH117" i="1"/>
  <c r="CI117" i="1"/>
  <c r="CJ117" i="1"/>
  <c r="CK117" i="1"/>
  <c r="CL117" i="1"/>
  <c r="CM117" i="1"/>
  <c r="CN117" i="1"/>
  <c r="CO117" i="1"/>
  <c r="CP117" i="1"/>
  <c r="CQ117" i="1"/>
  <c r="CR117" i="1"/>
  <c r="CS117" i="1"/>
  <c r="CT117" i="1"/>
  <c r="CU117" i="1"/>
  <c r="CV117" i="1"/>
  <c r="BN117" i="1"/>
  <c r="BO117" i="1"/>
  <c r="BP117" i="1"/>
  <c r="BQ117" i="1"/>
  <c r="BR117" i="1"/>
  <c r="BS117" i="1"/>
  <c r="BT117" i="1"/>
  <c r="BU117" i="1"/>
  <c r="BV117" i="1"/>
  <c r="BW117" i="1"/>
  <c r="BX117" i="1"/>
  <c r="BY117" i="1"/>
  <c r="BZ117" i="1"/>
  <c r="CA117" i="1"/>
  <c r="CB117" i="1"/>
  <c r="CC117" i="1"/>
  <c r="AP117" i="1"/>
  <c r="AQ117" i="1"/>
  <c r="AR117" i="1"/>
  <c r="AS117" i="1"/>
  <c r="AT117" i="1"/>
  <c r="AU117" i="1"/>
  <c r="AV117" i="1"/>
  <c r="AW117" i="1"/>
  <c r="AX117" i="1"/>
  <c r="AY117" i="1"/>
  <c r="AZ117" i="1"/>
  <c r="BA117" i="1"/>
  <c r="BB117" i="1"/>
  <c r="BC117" i="1"/>
  <c r="BD117" i="1"/>
  <c r="BE117" i="1"/>
  <c r="BF117" i="1"/>
  <c r="BG117" i="1"/>
  <c r="BH117" i="1"/>
  <c r="BI117" i="1"/>
  <c r="BJ117" i="1"/>
  <c r="BK117" i="1"/>
  <c r="BL117" i="1"/>
  <c r="BM117" i="1"/>
  <c r="AC117" i="1"/>
  <c r="AD117" i="1"/>
  <c r="AE117" i="1"/>
  <c r="AF117" i="1"/>
  <c r="AG117" i="1"/>
  <c r="AH117" i="1"/>
  <c r="AI117" i="1"/>
  <c r="AJ117" i="1"/>
  <c r="AK117" i="1"/>
  <c r="AL117" i="1"/>
  <c r="AM117" i="1"/>
  <c r="AN117" i="1"/>
  <c r="AO117" i="1"/>
  <c r="K117" i="1"/>
  <c r="L117" i="1"/>
  <c r="M117" i="1"/>
  <c r="N117" i="1"/>
  <c r="O117" i="1"/>
  <c r="P117" i="1"/>
  <c r="Q117" i="1"/>
  <c r="R117" i="1"/>
  <c r="S117" i="1"/>
  <c r="T117" i="1"/>
  <c r="U117" i="1"/>
  <c r="V117" i="1"/>
  <c r="W117" i="1"/>
  <c r="X117" i="1"/>
  <c r="Y117" i="1"/>
  <c r="Z117" i="1"/>
  <c r="AA117" i="1"/>
  <c r="AB117" i="1"/>
  <c r="D117" i="1"/>
  <c r="E117" i="1"/>
  <c r="F117" i="1"/>
  <c r="G117" i="1"/>
  <c r="H117" i="1"/>
  <c r="I117" i="1"/>
  <c r="J117" i="1"/>
  <c r="C117" i="1"/>
  <c r="C116" i="1"/>
  <c r="D116" i="1" l="1"/>
  <c r="E116" i="1"/>
  <c r="F116" i="1"/>
  <c r="G116" i="1"/>
  <c r="H116" i="1"/>
  <c r="I116" i="1"/>
  <c r="J116" i="1"/>
  <c r="K116" i="1"/>
  <c r="L116" i="1"/>
  <c r="M116" i="1"/>
  <c r="N116" i="1"/>
  <c r="O116" i="1"/>
  <c r="P116" i="1"/>
  <c r="Q116" i="1"/>
  <c r="R116" i="1"/>
  <c r="S116" i="1"/>
  <c r="T116" i="1"/>
  <c r="U116" i="1"/>
  <c r="V116" i="1"/>
  <c r="W116" i="1"/>
  <c r="X116" i="1"/>
  <c r="Y116" i="1"/>
  <c r="Z116" i="1"/>
  <c r="AA116" i="1"/>
  <c r="AB116" i="1"/>
  <c r="AC116" i="1"/>
  <c r="AD116" i="1"/>
  <c r="AE116" i="1"/>
  <c r="AF116" i="1"/>
  <c r="AG116" i="1"/>
  <c r="AH116" i="1"/>
  <c r="AI116" i="1"/>
  <c r="AJ116" i="1"/>
  <c r="AK116" i="1"/>
  <c r="AL116" i="1"/>
  <c r="AM116" i="1"/>
  <c r="AN116" i="1"/>
  <c r="AO116" i="1"/>
  <c r="AP116" i="1"/>
  <c r="AQ116" i="1"/>
  <c r="AR116" i="1"/>
  <c r="AS116" i="1"/>
  <c r="AT116" i="1"/>
  <c r="AU116" i="1"/>
  <c r="AV116" i="1"/>
  <c r="AW116" i="1"/>
  <c r="AX116" i="1"/>
  <c r="AY116" i="1"/>
  <c r="AZ116" i="1"/>
  <c r="BA116" i="1"/>
  <c r="BB116" i="1"/>
  <c r="BC116" i="1"/>
  <c r="BD116" i="1"/>
  <c r="BE116" i="1"/>
  <c r="BF116" i="1"/>
  <c r="BG116" i="1"/>
  <c r="BH116" i="1"/>
  <c r="BI116" i="1"/>
  <c r="BJ116" i="1"/>
  <c r="BK116" i="1"/>
  <c r="BL116" i="1"/>
  <c r="BM116" i="1"/>
  <c r="BN116" i="1"/>
  <c r="BO116" i="1"/>
  <c r="BP116" i="1"/>
  <c r="BQ116" i="1"/>
  <c r="BR116" i="1"/>
  <c r="BS116" i="1"/>
  <c r="BT116" i="1"/>
  <c r="BU116" i="1"/>
  <c r="BV116" i="1"/>
  <c r="BW116" i="1"/>
  <c r="BX116" i="1"/>
  <c r="BY116" i="1"/>
  <c r="BZ116" i="1"/>
  <c r="CA116" i="1"/>
  <c r="CB116" i="1"/>
  <c r="CC116" i="1"/>
  <c r="CD116" i="1"/>
  <c r="CE116" i="1"/>
  <c r="CF116" i="1"/>
  <c r="CG116" i="1"/>
  <c r="CH116" i="1"/>
  <c r="CI116" i="1"/>
  <c r="CJ116" i="1"/>
  <c r="CK116" i="1"/>
  <c r="CL116" i="1"/>
  <c r="CM116" i="1"/>
  <c r="CN116" i="1"/>
  <c r="CO116" i="1"/>
  <c r="CP116" i="1"/>
  <c r="CQ116" i="1"/>
  <c r="CR116" i="1"/>
  <c r="CS116" i="1"/>
  <c r="CT116" i="1"/>
  <c r="CU116" i="1"/>
  <c r="CV116" i="1"/>
  <c r="CW116" i="1"/>
  <c r="CX116" i="1"/>
  <c r="CY116" i="1"/>
  <c r="CZ116" i="1"/>
  <c r="DA116" i="1"/>
  <c r="DB116" i="1"/>
  <c r="DC116" i="1"/>
  <c r="DD116" i="1"/>
  <c r="DE116" i="1"/>
  <c r="DF116" i="1"/>
  <c r="DG116" i="1"/>
  <c r="DH116" i="1"/>
  <c r="DI116" i="1"/>
  <c r="DJ116" i="1"/>
  <c r="DK116" i="1"/>
  <c r="DL116" i="1"/>
  <c r="DM116" i="1"/>
  <c r="DN116" i="1"/>
  <c r="DO116" i="1"/>
  <c r="DP116" i="1"/>
  <c r="DQ116" i="1"/>
  <c r="DR116" i="1"/>
  <c r="DS116" i="1"/>
  <c r="DT116" i="1"/>
  <c r="DU116" i="1"/>
  <c r="DV116" i="1"/>
  <c r="DW116" i="1"/>
  <c r="DX116" i="1"/>
  <c r="DY116" i="1"/>
  <c r="DZ116" i="1"/>
  <c r="EA116" i="1"/>
  <c r="EB116" i="1"/>
  <c r="EC116" i="1"/>
  <c r="ED116" i="1"/>
  <c r="EE116" i="1"/>
  <c r="EF116" i="1"/>
  <c r="EG116" i="1"/>
  <c r="EH116" i="1"/>
  <c r="EI116" i="1"/>
  <c r="EJ116" i="1"/>
  <c r="EK116" i="1"/>
  <c r="EL116" i="1"/>
  <c r="EM116" i="1"/>
  <c r="EN116" i="1"/>
  <c r="EO116" i="1"/>
  <c r="EP116" i="1"/>
  <c r="EQ116" i="1"/>
  <c r="ER116" i="1"/>
  <c r="ES116" i="1"/>
  <c r="ET116" i="1"/>
  <c r="EU116" i="1"/>
  <c r="EV116" i="1"/>
  <c r="EW116" i="1"/>
  <c r="EX116" i="1"/>
  <c r="EY116" i="1"/>
  <c r="EZ116" i="1"/>
  <c r="FA116" i="1"/>
  <c r="FB116" i="1"/>
  <c r="FC116" i="1"/>
  <c r="FD116" i="1"/>
  <c r="FE116" i="1"/>
  <c r="FF116" i="1"/>
  <c r="FG116" i="1"/>
  <c r="FH116" i="1"/>
  <c r="FI116" i="1"/>
  <c r="FJ116" i="1"/>
  <c r="FK116" i="1"/>
  <c r="FL116" i="1"/>
  <c r="FM116" i="1"/>
  <c r="FN116" i="1"/>
  <c r="FO116" i="1"/>
  <c r="FP116" i="1"/>
  <c r="FQ116" i="1"/>
  <c r="FR116" i="1"/>
  <c r="FS116" i="1"/>
  <c r="FT116" i="1"/>
  <c r="FU116" i="1"/>
  <c r="FV116" i="1"/>
  <c r="FW116" i="1"/>
  <c r="FX116" i="1"/>
  <c r="FY116" i="1"/>
  <c r="FZ116" i="1"/>
  <c r="GA116" i="1"/>
  <c r="GB116" i="1"/>
  <c r="GC116" i="1"/>
  <c r="GD116" i="1"/>
  <c r="GE116" i="1"/>
  <c r="GF116" i="1"/>
  <c r="GG116" i="1"/>
  <c r="GH116" i="1"/>
  <c r="GI116" i="1"/>
  <c r="GJ116" i="1"/>
  <c r="GK116" i="1"/>
  <c r="GL116" i="1"/>
  <c r="GM116" i="1"/>
  <c r="GN116" i="1"/>
  <c r="GO116" i="1"/>
  <c r="GP116" i="1"/>
  <c r="GQ116" i="1"/>
  <c r="GR116" i="1"/>
  <c r="GS116" i="1"/>
  <c r="GT116" i="1"/>
  <c r="GU116" i="1"/>
  <c r="GV116" i="1"/>
  <c r="GW116" i="1"/>
  <c r="GX116" i="1"/>
  <c r="GY116" i="1"/>
  <c r="GZ116" i="1"/>
  <c r="HA116" i="1"/>
  <c r="HB116" i="1"/>
  <c r="HC116" i="1"/>
  <c r="HD116" i="1"/>
  <c r="HE116" i="1"/>
  <c r="HF116" i="1"/>
  <c r="HG116" i="1"/>
  <c r="HH116" i="1"/>
  <c r="HI116" i="1"/>
  <c r="HJ116" i="1"/>
  <c r="HK116" i="1"/>
  <c r="HL116" i="1"/>
  <c r="HM116" i="1"/>
  <c r="HN116" i="1"/>
  <c r="HO116" i="1"/>
  <c r="HP116" i="1"/>
  <c r="HQ116" i="1"/>
  <c r="HR116" i="1"/>
  <c r="HS116" i="1"/>
  <c r="HT116" i="1"/>
  <c r="HU116" i="1"/>
  <c r="HV116" i="1" l="1"/>
  <c r="S319" i="2"/>
  <c r="R319" i="2"/>
  <c r="Q319" i="2"/>
  <c r="K273" i="2"/>
  <c r="J255" i="2"/>
  <c r="I255" i="2"/>
  <c r="H255" i="2"/>
  <c r="E255" i="2"/>
  <c r="R318" i="2"/>
  <c r="Q318" i="2"/>
  <c r="K272" i="2"/>
  <c r="J254" i="2"/>
  <c r="I254" i="2"/>
  <c r="H254" i="2"/>
  <c r="E254" i="2"/>
  <c r="S317" i="2"/>
  <c r="R317" i="2"/>
  <c r="Q317" i="2"/>
  <c r="K271" i="2"/>
  <c r="J253" i="2"/>
  <c r="I253" i="2"/>
  <c r="H253" i="2"/>
  <c r="E253" i="2"/>
  <c r="S316" i="2"/>
  <c r="R316" i="2"/>
  <c r="Q316" i="2"/>
  <c r="K270" i="2"/>
  <c r="J252" i="2"/>
  <c r="I252" i="2"/>
  <c r="H252" i="2"/>
  <c r="E252" i="2"/>
  <c r="S315" i="2"/>
  <c r="R315" i="2"/>
  <c r="Q315" i="2"/>
  <c r="K269" i="2"/>
  <c r="J251" i="2"/>
  <c r="I251" i="2"/>
  <c r="H251" i="2"/>
  <c r="E251" i="2"/>
  <c r="S314" i="2"/>
  <c r="R314" i="2"/>
  <c r="Q314" i="2"/>
  <c r="K268" i="2"/>
  <c r="J250" i="2"/>
  <c r="I250" i="2"/>
  <c r="H250" i="2"/>
  <c r="E250" i="2"/>
  <c r="I273" i="2"/>
  <c r="H273" i="2"/>
  <c r="E273" i="2"/>
  <c r="D273" i="2"/>
  <c r="C255" i="2"/>
  <c r="B255" i="2"/>
  <c r="K246" i="2"/>
  <c r="J246" i="2"/>
  <c r="I272" i="2"/>
  <c r="H272" i="2"/>
  <c r="E272" i="2"/>
  <c r="D272" i="2"/>
  <c r="C254" i="2"/>
  <c r="B254" i="2"/>
  <c r="K245" i="2"/>
  <c r="J245" i="2"/>
  <c r="I271" i="2"/>
  <c r="H271" i="2"/>
  <c r="E271" i="2"/>
  <c r="D271" i="2"/>
  <c r="C253" i="2"/>
  <c r="B253" i="2"/>
  <c r="K244" i="2"/>
  <c r="J244" i="2"/>
  <c r="I270" i="2"/>
  <c r="H270" i="2"/>
  <c r="E270" i="2"/>
  <c r="D270" i="2"/>
  <c r="C252" i="2"/>
  <c r="B252" i="2"/>
  <c r="K243" i="2"/>
  <c r="J243" i="2"/>
  <c r="I269" i="2"/>
  <c r="H269" i="2"/>
  <c r="E269" i="2"/>
  <c r="D269" i="2"/>
  <c r="C251" i="2"/>
  <c r="B251" i="2"/>
  <c r="K242" i="2"/>
  <c r="J242" i="2"/>
  <c r="I268" i="2"/>
  <c r="H268" i="2"/>
  <c r="E268" i="2"/>
  <c r="D268" i="2"/>
  <c r="C250" i="2"/>
  <c r="B250" i="2"/>
  <c r="K241" i="2"/>
  <c r="J241" i="2"/>
  <c r="B273" i="2"/>
  <c r="K264" i="2"/>
  <c r="J264" i="2"/>
  <c r="I264" i="2"/>
  <c r="H246" i="2"/>
  <c r="E246" i="2"/>
  <c r="D246" i="2"/>
  <c r="C246" i="2"/>
  <c r="B272" i="2"/>
  <c r="K263" i="2"/>
  <c r="J263" i="2"/>
  <c r="I263" i="2"/>
  <c r="H245" i="2"/>
  <c r="E245" i="2"/>
  <c r="D245" i="2"/>
  <c r="C245" i="2"/>
  <c r="B271" i="2"/>
  <c r="K262" i="2"/>
  <c r="J262" i="2"/>
  <c r="I262" i="2"/>
  <c r="H244" i="2"/>
  <c r="E244" i="2"/>
  <c r="D244" i="2"/>
  <c r="C244" i="2"/>
  <c r="B270" i="2"/>
  <c r="K261" i="2"/>
  <c r="J261" i="2"/>
  <c r="I261" i="2"/>
  <c r="H243" i="2"/>
  <c r="E243" i="2"/>
  <c r="D243" i="2"/>
  <c r="C243" i="2"/>
  <c r="B269" i="2"/>
  <c r="K260" i="2"/>
  <c r="J260" i="2"/>
  <c r="I260" i="2"/>
  <c r="H242" i="2"/>
  <c r="E242" i="2"/>
  <c r="D242" i="2"/>
  <c r="C242" i="2"/>
  <c r="B268" i="2"/>
  <c r="K259" i="2"/>
  <c r="J259" i="2"/>
  <c r="I259" i="2"/>
  <c r="H241" i="2"/>
  <c r="E241" i="2"/>
  <c r="D241" i="2"/>
  <c r="C241" i="2"/>
  <c r="E264" i="2"/>
  <c r="D264" i="2"/>
  <c r="C264" i="2"/>
  <c r="B264" i="2"/>
  <c r="K235" i="2"/>
  <c r="J235" i="2"/>
  <c r="I235" i="2"/>
  <c r="H235" i="2"/>
  <c r="E263" i="2"/>
  <c r="D263" i="2"/>
  <c r="C263" i="2"/>
  <c r="B263" i="2"/>
  <c r="K234" i="2"/>
  <c r="J234" i="2"/>
  <c r="I234" i="2"/>
  <c r="H234" i="2"/>
  <c r="E262" i="2"/>
  <c r="D262" i="2"/>
  <c r="C262" i="2"/>
  <c r="B262" i="2"/>
  <c r="K233" i="2"/>
  <c r="J233" i="2"/>
  <c r="I233" i="2"/>
  <c r="H233" i="2"/>
  <c r="E261" i="2"/>
  <c r="D261" i="2"/>
  <c r="C261" i="2"/>
  <c r="B261" i="2"/>
  <c r="K232" i="2"/>
  <c r="J232" i="2"/>
  <c r="I232" i="2"/>
  <c r="H232" i="2"/>
  <c r="E260" i="2"/>
  <c r="D260" i="2"/>
  <c r="C260" i="2"/>
  <c r="B260" i="2"/>
  <c r="K231" i="2"/>
  <c r="J231" i="2"/>
  <c r="I231" i="2"/>
  <c r="H231" i="2"/>
  <c r="E259" i="2"/>
  <c r="D259" i="2"/>
  <c r="C259" i="2"/>
  <c r="B259" i="2"/>
  <c r="K230" i="2"/>
  <c r="J230" i="2"/>
  <c r="I230" i="2"/>
  <c r="H230" i="2"/>
  <c r="AC319" i="2"/>
  <c r="AB319" i="2"/>
  <c r="AA319" i="2"/>
  <c r="Z319" i="2"/>
  <c r="X319" i="2"/>
  <c r="W319" i="2"/>
  <c r="V319" i="2"/>
  <c r="U319" i="2"/>
  <c r="AC318" i="2"/>
  <c r="AB318" i="2"/>
  <c r="AA318" i="2"/>
  <c r="Z318" i="2"/>
  <c r="X318" i="2"/>
  <c r="W318" i="2"/>
  <c r="V318" i="2"/>
  <c r="U318" i="2"/>
  <c r="AC317" i="2"/>
  <c r="AB317" i="2"/>
  <c r="AA317" i="2"/>
  <c r="Z317" i="2"/>
  <c r="X317" i="2"/>
  <c r="W317" i="2"/>
  <c r="V317" i="2"/>
  <c r="U317" i="2"/>
  <c r="AC316" i="2"/>
  <c r="AB316" i="2"/>
  <c r="AA316" i="2"/>
  <c r="Z316" i="2"/>
  <c r="X316" i="2"/>
  <c r="W316" i="2"/>
  <c r="V316" i="2"/>
  <c r="U316" i="2"/>
  <c r="AC315" i="2"/>
  <c r="AB315" i="2"/>
  <c r="AA315" i="2"/>
  <c r="Z315" i="2"/>
  <c r="X315" i="2"/>
  <c r="W315" i="2"/>
  <c r="V315" i="2"/>
  <c r="U315" i="2"/>
  <c r="AC314" i="2"/>
  <c r="AB314" i="2"/>
  <c r="AA314" i="2"/>
  <c r="Z314" i="2"/>
  <c r="X314" i="2"/>
  <c r="W314" i="2"/>
  <c r="V314" i="2"/>
  <c r="U314" i="2"/>
  <c r="I225" i="2"/>
  <c r="H225" i="2"/>
  <c r="E225" i="2"/>
  <c r="D225" i="2"/>
  <c r="D235" i="2"/>
  <c r="C235" i="2"/>
  <c r="B235" i="2"/>
  <c r="K225" i="2"/>
  <c r="I224" i="2"/>
  <c r="H224" i="2"/>
  <c r="E224" i="2"/>
  <c r="D224" i="2"/>
  <c r="D234" i="2"/>
  <c r="C234" i="2"/>
  <c r="B234" i="2"/>
  <c r="K224" i="2"/>
  <c r="I223" i="2"/>
  <c r="H223" i="2"/>
  <c r="E223" i="2"/>
  <c r="D223" i="2"/>
  <c r="D233" i="2"/>
  <c r="C233" i="2"/>
  <c r="B233" i="2"/>
  <c r="K223" i="2"/>
  <c r="I222" i="2"/>
  <c r="H222" i="2"/>
  <c r="E222" i="2"/>
  <c r="D222" i="2"/>
  <c r="D232" i="2"/>
  <c r="C232" i="2"/>
  <c r="B232" i="2"/>
  <c r="K222" i="2"/>
  <c r="I221" i="2"/>
  <c r="H221" i="2"/>
  <c r="E221" i="2"/>
  <c r="D221" i="2"/>
  <c r="D231" i="2"/>
  <c r="C231" i="2"/>
  <c r="B231" i="2"/>
  <c r="K221" i="2"/>
  <c r="I220" i="2"/>
  <c r="H220" i="2"/>
  <c r="E220" i="2"/>
  <c r="D220" i="2"/>
  <c r="D230" i="2"/>
  <c r="C230" i="2"/>
  <c r="B230" i="2"/>
  <c r="K220" i="2"/>
  <c r="AN319" i="2"/>
  <c r="AM319" i="2"/>
  <c r="AL319" i="2"/>
  <c r="AK319" i="2"/>
  <c r="AJ319" i="2"/>
  <c r="B225" i="2"/>
  <c r="L214" i="2"/>
  <c r="K214" i="2"/>
  <c r="J214" i="2"/>
  <c r="AN318" i="2"/>
  <c r="AM318" i="2"/>
  <c r="AL318" i="2"/>
  <c r="AK318" i="2"/>
  <c r="AJ318" i="2"/>
  <c r="B224" i="2"/>
  <c r="L213" i="2"/>
  <c r="K213" i="2"/>
  <c r="J213" i="2"/>
  <c r="AN317" i="2"/>
  <c r="AM317" i="2"/>
  <c r="AL317" i="2"/>
  <c r="AK317" i="2"/>
  <c r="AJ317" i="2"/>
  <c r="B223" i="2"/>
  <c r="L212" i="2"/>
  <c r="K212" i="2"/>
  <c r="J212" i="2"/>
  <c r="AN316" i="2"/>
  <c r="AM316" i="2"/>
  <c r="AL316" i="2"/>
  <c r="AK316" i="2"/>
  <c r="AJ316" i="2"/>
  <c r="B222" i="2"/>
  <c r="L211" i="2"/>
  <c r="K211" i="2"/>
  <c r="J211" i="2"/>
  <c r="AN315" i="2"/>
  <c r="AM315" i="2"/>
  <c r="AL315" i="2"/>
  <c r="AK315" i="2"/>
  <c r="AJ315" i="2"/>
  <c r="B221" i="2"/>
  <c r="L210" i="2"/>
  <c r="K210" i="2"/>
  <c r="J210" i="2"/>
  <c r="AN314" i="2"/>
  <c r="AM314" i="2"/>
  <c r="AL314" i="2"/>
  <c r="AK314" i="2"/>
  <c r="AJ314" i="2"/>
  <c r="B220" i="2"/>
  <c r="L209" i="2"/>
  <c r="K209" i="2"/>
  <c r="J209" i="2"/>
  <c r="AQ319" i="2"/>
  <c r="AP319" i="2"/>
  <c r="AO319" i="2"/>
  <c r="E214" i="2"/>
  <c r="D214" i="2"/>
  <c r="C214" i="2"/>
  <c r="B214" i="2"/>
  <c r="K202" i="2"/>
  <c r="AQ318" i="2"/>
  <c r="AP318" i="2"/>
  <c r="AO318" i="2"/>
  <c r="E213" i="2"/>
  <c r="D213" i="2"/>
  <c r="C213" i="2"/>
  <c r="B213" i="2"/>
  <c r="K201" i="2"/>
  <c r="AQ317" i="2"/>
  <c r="AP317" i="2"/>
  <c r="AO317" i="2"/>
  <c r="E212" i="2"/>
  <c r="D212" i="2"/>
  <c r="C212" i="2"/>
  <c r="B212" i="2"/>
  <c r="K200" i="2"/>
  <c r="AQ316" i="2"/>
  <c r="AP316" i="2"/>
  <c r="AO316" i="2"/>
  <c r="E211" i="2"/>
  <c r="D211" i="2"/>
  <c r="C211" i="2"/>
  <c r="B211" i="2"/>
  <c r="K199" i="2"/>
  <c r="AQ315" i="2"/>
  <c r="AP315" i="2"/>
  <c r="AO315" i="2"/>
  <c r="E210" i="2"/>
  <c r="D210" i="2"/>
  <c r="C210" i="2"/>
  <c r="B210" i="2"/>
  <c r="K198" i="2"/>
  <c r="AQ314" i="2"/>
  <c r="AP314" i="2"/>
  <c r="AO314" i="2"/>
  <c r="E209" i="2"/>
  <c r="D209" i="2"/>
  <c r="C209" i="2"/>
  <c r="B209" i="2"/>
  <c r="K197" i="2"/>
  <c r="C202" i="2"/>
  <c r="B202" i="2"/>
  <c r="K191" i="2"/>
  <c r="J191" i="2"/>
  <c r="H191" i="2"/>
  <c r="E191" i="2"/>
  <c r="D191" i="2"/>
  <c r="C191" i="2"/>
  <c r="C201" i="2"/>
  <c r="B201" i="2"/>
  <c r="K190" i="2"/>
  <c r="J190" i="2"/>
  <c r="H190" i="2"/>
  <c r="E190" i="2"/>
  <c r="D190" i="2"/>
  <c r="C190" i="2"/>
  <c r="C200" i="2"/>
  <c r="B200" i="2"/>
  <c r="K189" i="2"/>
  <c r="J189" i="2"/>
  <c r="H189" i="2"/>
  <c r="E189" i="2"/>
  <c r="D189" i="2"/>
  <c r="C189" i="2"/>
  <c r="C199" i="2"/>
  <c r="B199" i="2"/>
  <c r="K188" i="2"/>
  <c r="J188" i="2"/>
  <c r="H188" i="2"/>
  <c r="E188" i="2"/>
  <c r="D188" i="2"/>
  <c r="C188" i="2"/>
  <c r="C198" i="2"/>
  <c r="B198" i="2"/>
  <c r="K187" i="2"/>
  <c r="J187" i="2"/>
  <c r="H187" i="2"/>
  <c r="E187" i="2"/>
  <c r="D187" i="2"/>
  <c r="C187" i="2"/>
  <c r="C197" i="2"/>
  <c r="B197" i="2"/>
  <c r="K186" i="2"/>
  <c r="J186" i="2"/>
  <c r="H186" i="2"/>
  <c r="E186" i="2"/>
  <c r="D186" i="2"/>
  <c r="C186" i="2"/>
  <c r="K180" i="2"/>
  <c r="J180" i="2"/>
  <c r="I180" i="2"/>
  <c r="H180" i="2"/>
  <c r="D180" i="2"/>
  <c r="C180" i="2"/>
  <c r="B180" i="2"/>
  <c r="K168" i="2"/>
  <c r="K179" i="2"/>
  <c r="J179" i="2"/>
  <c r="I179" i="2"/>
  <c r="H179" i="2"/>
  <c r="D179" i="2"/>
  <c r="C179" i="2"/>
  <c r="B179" i="2"/>
  <c r="K167" i="2"/>
  <c r="K178" i="2"/>
  <c r="J178" i="2"/>
  <c r="I178" i="2"/>
  <c r="H178" i="2"/>
  <c r="D178" i="2"/>
  <c r="C178" i="2"/>
  <c r="B178" i="2"/>
  <c r="K166" i="2"/>
  <c r="K177" i="2"/>
  <c r="J177" i="2"/>
  <c r="I177" i="2"/>
  <c r="H177" i="2"/>
  <c r="D177" i="2"/>
  <c r="C177" i="2"/>
  <c r="B177" i="2"/>
  <c r="K165" i="2"/>
  <c r="K176" i="2"/>
  <c r="J176" i="2"/>
  <c r="I176" i="2"/>
  <c r="H176" i="2"/>
  <c r="D176" i="2"/>
  <c r="C176" i="2"/>
  <c r="B176" i="2"/>
  <c r="K164" i="2"/>
  <c r="K175" i="2"/>
  <c r="J175" i="2"/>
  <c r="I175" i="2"/>
  <c r="H175" i="2"/>
  <c r="D175" i="2"/>
  <c r="C175" i="2"/>
  <c r="B175" i="2"/>
  <c r="K163" i="2"/>
  <c r="I168" i="2"/>
  <c r="H168" i="2"/>
  <c r="E168" i="2"/>
  <c r="D168" i="2"/>
  <c r="AZ319" i="2"/>
  <c r="AY319" i="2"/>
  <c r="AX319" i="2"/>
  <c r="AW319" i="2"/>
  <c r="I167" i="2"/>
  <c r="H167" i="2"/>
  <c r="E167" i="2"/>
  <c r="D167" i="2"/>
  <c r="AZ318" i="2"/>
  <c r="AY318" i="2"/>
  <c r="AX318" i="2"/>
  <c r="AW318" i="2"/>
  <c r="I166" i="2"/>
  <c r="H166" i="2"/>
  <c r="E166" i="2"/>
  <c r="D166" i="2"/>
  <c r="AZ317" i="2"/>
  <c r="AY317" i="2"/>
  <c r="AX317" i="2"/>
  <c r="AW317" i="2"/>
  <c r="I165" i="2"/>
  <c r="H165" i="2"/>
  <c r="E165" i="2"/>
  <c r="D165" i="2"/>
  <c r="AZ316" i="2"/>
  <c r="AY316" i="2"/>
  <c r="AX316" i="2"/>
  <c r="AW316" i="2"/>
  <c r="I164" i="2"/>
  <c r="H164" i="2"/>
  <c r="E164" i="2"/>
  <c r="D164" i="2"/>
  <c r="AZ315" i="2"/>
  <c r="AY315" i="2"/>
  <c r="AX315" i="2"/>
  <c r="AW315" i="2"/>
  <c r="I163" i="2"/>
  <c r="H163" i="2"/>
  <c r="E163" i="2"/>
  <c r="D163" i="2"/>
  <c r="AZ314" i="2"/>
  <c r="AY314" i="2"/>
  <c r="AX314" i="2"/>
  <c r="AW314" i="2"/>
  <c r="B168" i="2"/>
  <c r="K157" i="2"/>
  <c r="J157" i="2"/>
  <c r="I157" i="2"/>
  <c r="AU319" i="2"/>
  <c r="AT319" i="2"/>
  <c r="AS319" i="2"/>
  <c r="AR319" i="2"/>
  <c r="B167" i="2"/>
  <c r="K156" i="2"/>
  <c r="J156" i="2"/>
  <c r="I156" i="2"/>
  <c r="AU318" i="2"/>
  <c r="AT318" i="2"/>
  <c r="AS318" i="2"/>
  <c r="AR318" i="2"/>
  <c r="B166" i="2"/>
  <c r="K155" i="2"/>
  <c r="J155" i="2"/>
  <c r="I155" i="2"/>
  <c r="AU317" i="2"/>
  <c r="AT317" i="2"/>
  <c r="AS317" i="2"/>
  <c r="AR317" i="2"/>
  <c r="B165" i="2"/>
  <c r="K154" i="2"/>
  <c r="J154" i="2"/>
  <c r="I154" i="2"/>
  <c r="AU316" i="2"/>
  <c r="AT316" i="2"/>
  <c r="AS316" i="2"/>
  <c r="AR316" i="2"/>
  <c r="B164" i="2"/>
  <c r="K153" i="2"/>
  <c r="J153" i="2"/>
  <c r="I153" i="2"/>
  <c r="AU315" i="2"/>
  <c r="AT315" i="2"/>
  <c r="AS315" i="2"/>
  <c r="AR315" i="2"/>
  <c r="B163" i="2"/>
  <c r="K152" i="2"/>
  <c r="J152" i="2"/>
  <c r="I152" i="2"/>
  <c r="AU314" i="2"/>
  <c r="AT314" i="2"/>
  <c r="AS314" i="2"/>
  <c r="AR314" i="2"/>
  <c r="E157" i="2"/>
  <c r="D157" i="2"/>
  <c r="C157" i="2"/>
  <c r="B157" i="2"/>
  <c r="J146" i="2"/>
  <c r="I146" i="2"/>
  <c r="H146" i="2"/>
  <c r="E146" i="2"/>
  <c r="E156" i="2"/>
  <c r="D156" i="2"/>
  <c r="C156" i="2"/>
  <c r="B156" i="2"/>
  <c r="J145" i="2"/>
  <c r="I145" i="2"/>
  <c r="H145" i="2"/>
  <c r="E145" i="2"/>
  <c r="E155" i="2"/>
  <c r="D155" i="2"/>
  <c r="C155" i="2"/>
  <c r="B155" i="2"/>
  <c r="J144" i="2"/>
  <c r="I144" i="2"/>
  <c r="H144" i="2"/>
  <c r="E144" i="2"/>
  <c r="E154" i="2"/>
  <c r="D154" i="2"/>
  <c r="C154" i="2"/>
  <c r="B154" i="2"/>
  <c r="J143" i="2"/>
  <c r="I143" i="2"/>
  <c r="H143" i="2"/>
  <c r="E143" i="2"/>
  <c r="E153" i="2"/>
  <c r="D153" i="2"/>
  <c r="C153" i="2"/>
  <c r="B153" i="2"/>
  <c r="J142" i="2"/>
  <c r="I142" i="2"/>
  <c r="H142" i="2"/>
  <c r="E142" i="2"/>
  <c r="E152" i="2"/>
  <c r="D152" i="2"/>
  <c r="C152" i="2"/>
  <c r="B152" i="2"/>
  <c r="J141" i="2"/>
  <c r="I141" i="2"/>
  <c r="H141" i="2"/>
  <c r="E141" i="2"/>
  <c r="D146" i="2"/>
  <c r="C146" i="2"/>
  <c r="B146" i="2"/>
  <c r="K132" i="2"/>
  <c r="D145" i="2"/>
  <c r="C145" i="2"/>
  <c r="B145" i="2"/>
  <c r="K131" i="2"/>
  <c r="D144" i="2"/>
  <c r="C144" i="2"/>
  <c r="B144" i="2"/>
  <c r="K130" i="2"/>
  <c r="D143" i="2"/>
  <c r="C143" i="2"/>
  <c r="B143" i="2"/>
  <c r="K129" i="2"/>
  <c r="D142" i="2"/>
  <c r="C142" i="2"/>
  <c r="B142" i="2"/>
  <c r="K128" i="2"/>
  <c r="D141" i="2"/>
  <c r="C141" i="2"/>
  <c r="B141" i="2"/>
  <c r="K127" i="2"/>
  <c r="J132" i="2"/>
  <c r="I132" i="2"/>
  <c r="H132" i="2"/>
  <c r="E132" i="2"/>
  <c r="D132" i="2"/>
  <c r="C132" i="2"/>
  <c r="B132" i="2"/>
  <c r="K122" i="2"/>
  <c r="J131" i="2"/>
  <c r="I131" i="2"/>
  <c r="H131" i="2"/>
  <c r="E131" i="2"/>
  <c r="D131" i="2"/>
  <c r="C131" i="2"/>
  <c r="B131" i="2"/>
  <c r="K121" i="2"/>
  <c r="J130" i="2"/>
  <c r="I130" i="2"/>
  <c r="H130" i="2"/>
  <c r="E130" i="2"/>
  <c r="D130" i="2"/>
  <c r="C130" i="2"/>
  <c r="B130" i="2"/>
  <c r="K120" i="2"/>
  <c r="J129" i="2"/>
  <c r="I129" i="2"/>
  <c r="H129" i="2"/>
  <c r="E129" i="2"/>
  <c r="D129" i="2"/>
  <c r="C129" i="2"/>
  <c r="B129" i="2"/>
  <c r="K119" i="2"/>
  <c r="J128" i="2"/>
  <c r="I128" i="2"/>
  <c r="H128" i="2"/>
  <c r="E128" i="2"/>
  <c r="D128" i="2"/>
  <c r="C128" i="2"/>
  <c r="B128" i="2"/>
  <c r="K118" i="2"/>
  <c r="J127" i="2"/>
  <c r="I127" i="2"/>
  <c r="H127" i="2"/>
  <c r="E127" i="2"/>
  <c r="D127" i="2"/>
  <c r="C127" i="2"/>
  <c r="B127" i="2"/>
  <c r="K117" i="2"/>
  <c r="J122" i="2"/>
  <c r="I122" i="2"/>
  <c r="H122" i="2"/>
  <c r="E122" i="2"/>
  <c r="D122" i="2"/>
  <c r="C122" i="2"/>
  <c r="B122" i="2"/>
  <c r="K111" i="2"/>
  <c r="J121" i="2"/>
  <c r="I121" i="2"/>
  <c r="H121" i="2"/>
  <c r="E121" i="2"/>
  <c r="D121" i="2"/>
  <c r="C121" i="2"/>
  <c r="B121" i="2"/>
  <c r="K110" i="2"/>
  <c r="J120" i="2"/>
  <c r="I120" i="2"/>
  <c r="H120" i="2"/>
  <c r="E120" i="2"/>
  <c r="D120" i="2"/>
  <c r="C120" i="2"/>
  <c r="B120" i="2"/>
  <c r="K109" i="2"/>
  <c r="J119" i="2"/>
  <c r="I119" i="2"/>
  <c r="H119" i="2"/>
  <c r="E119" i="2"/>
  <c r="D119" i="2"/>
  <c r="C119" i="2"/>
  <c r="B119" i="2"/>
  <c r="K108" i="2"/>
  <c r="J118" i="2"/>
  <c r="I118" i="2"/>
  <c r="H118" i="2"/>
  <c r="E118" i="2"/>
  <c r="D118" i="2"/>
  <c r="C118" i="2"/>
  <c r="B118" i="2"/>
  <c r="K107" i="2"/>
  <c r="J117" i="2"/>
  <c r="I117" i="2"/>
  <c r="H117" i="2"/>
  <c r="E117" i="2"/>
  <c r="D117" i="2"/>
  <c r="C117" i="2"/>
  <c r="B117" i="2"/>
  <c r="K106" i="2"/>
  <c r="J111" i="2"/>
  <c r="I111" i="2"/>
  <c r="H111" i="2"/>
  <c r="E111" i="2"/>
  <c r="D111" i="2"/>
  <c r="C111" i="2"/>
  <c r="B111" i="2"/>
  <c r="L98" i="2"/>
  <c r="K98" i="2"/>
  <c r="J98" i="2"/>
  <c r="J110" i="2"/>
  <c r="I110" i="2"/>
  <c r="H110" i="2"/>
  <c r="E110" i="2"/>
  <c r="D110" i="2"/>
  <c r="C110" i="2"/>
  <c r="B110" i="2"/>
  <c r="L97" i="2"/>
  <c r="K97" i="2"/>
  <c r="J97" i="2"/>
  <c r="J109" i="2"/>
  <c r="I109" i="2"/>
  <c r="H109" i="2"/>
  <c r="E109" i="2"/>
  <c r="D109" i="2"/>
  <c r="C109" i="2"/>
  <c r="B109" i="2"/>
  <c r="L96" i="2"/>
  <c r="K96" i="2"/>
  <c r="J96" i="2"/>
  <c r="J108" i="2"/>
  <c r="I108" i="2"/>
  <c r="H108" i="2"/>
  <c r="E108" i="2"/>
  <c r="D108" i="2"/>
  <c r="C108" i="2"/>
  <c r="B108" i="2"/>
  <c r="L95" i="2"/>
  <c r="K95" i="2"/>
  <c r="J95" i="2"/>
  <c r="J107" i="2"/>
  <c r="I107" i="2"/>
  <c r="H107" i="2"/>
  <c r="E107" i="2"/>
  <c r="D107" i="2"/>
  <c r="C107" i="2"/>
  <c r="B107" i="2"/>
  <c r="L94" i="2"/>
  <c r="K94" i="2"/>
  <c r="J94" i="2"/>
  <c r="J106" i="2"/>
  <c r="I106" i="2"/>
  <c r="H106" i="2"/>
  <c r="E106" i="2"/>
  <c r="D106" i="2"/>
  <c r="C106" i="2"/>
  <c r="B106" i="2"/>
  <c r="L93" i="2"/>
  <c r="K93" i="2"/>
  <c r="J93" i="2"/>
  <c r="I98" i="2"/>
  <c r="H98" i="2"/>
  <c r="F98" i="2"/>
  <c r="E98" i="2"/>
  <c r="D98" i="2"/>
  <c r="C98" i="2"/>
  <c r="B98" i="2"/>
  <c r="L88" i="2"/>
  <c r="K88" i="2"/>
  <c r="J88" i="2"/>
  <c r="I97" i="2"/>
  <c r="H97" i="2"/>
  <c r="F97" i="2"/>
  <c r="E97" i="2"/>
  <c r="D97" i="2"/>
  <c r="C97" i="2"/>
  <c r="B97" i="2"/>
  <c r="L87" i="2"/>
  <c r="K87" i="2"/>
  <c r="J87" i="2"/>
  <c r="I96" i="2"/>
  <c r="H96" i="2"/>
  <c r="F96" i="2"/>
  <c r="E96" i="2"/>
  <c r="D96" i="2"/>
  <c r="C96" i="2"/>
  <c r="B96" i="2"/>
  <c r="L86" i="2"/>
  <c r="K86" i="2"/>
  <c r="J86" i="2"/>
  <c r="I95" i="2"/>
  <c r="H95" i="2"/>
  <c r="F95" i="2"/>
  <c r="E95" i="2"/>
  <c r="D95" i="2"/>
  <c r="C95" i="2"/>
  <c r="B95" i="2"/>
  <c r="L85" i="2"/>
  <c r="K85" i="2"/>
  <c r="J85" i="2"/>
  <c r="I94" i="2"/>
  <c r="H94" i="2"/>
  <c r="F94" i="2"/>
  <c r="E94" i="2"/>
  <c r="D94" i="2"/>
  <c r="C94" i="2"/>
  <c r="B94" i="2"/>
  <c r="L84" i="2"/>
  <c r="K84" i="2"/>
  <c r="J84" i="2"/>
  <c r="I93" i="2"/>
  <c r="H93" i="2"/>
  <c r="F93" i="2"/>
  <c r="E93" i="2"/>
  <c r="D93" i="2"/>
  <c r="C93" i="2"/>
  <c r="B93" i="2"/>
  <c r="L83" i="2"/>
  <c r="K83" i="2"/>
  <c r="J83" i="2"/>
  <c r="F78" i="2"/>
  <c r="E78" i="2"/>
  <c r="D78" i="2"/>
  <c r="C78" i="2"/>
  <c r="B78" i="2"/>
  <c r="L65" i="2"/>
  <c r="K65" i="2"/>
  <c r="J65" i="2"/>
  <c r="I65" i="2"/>
  <c r="H65" i="2"/>
  <c r="F77" i="2"/>
  <c r="E77" i="2"/>
  <c r="D77" i="2"/>
  <c r="C77" i="2"/>
  <c r="B77" i="2"/>
  <c r="L64" i="2"/>
  <c r="K64" i="2"/>
  <c r="J64" i="2"/>
  <c r="I64" i="2"/>
  <c r="H64" i="2"/>
  <c r="F76" i="2"/>
  <c r="E76" i="2"/>
  <c r="D76" i="2"/>
  <c r="C76" i="2"/>
  <c r="B76" i="2"/>
  <c r="L63" i="2"/>
  <c r="K63" i="2"/>
  <c r="J63" i="2"/>
  <c r="I63" i="2"/>
  <c r="H63" i="2"/>
  <c r="F75" i="2"/>
  <c r="E75" i="2"/>
  <c r="D75" i="2"/>
  <c r="C75" i="2"/>
  <c r="B75" i="2"/>
  <c r="L62" i="2"/>
  <c r="K62" i="2"/>
  <c r="J62" i="2"/>
  <c r="I62" i="2"/>
  <c r="H62" i="2"/>
  <c r="F74" i="2"/>
  <c r="E74" i="2"/>
  <c r="D74" i="2"/>
  <c r="C74" i="2"/>
  <c r="B74" i="2"/>
  <c r="L61" i="2"/>
  <c r="K61" i="2"/>
  <c r="J61" i="2"/>
  <c r="I61" i="2"/>
  <c r="H61" i="2"/>
  <c r="F73" i="2"/>
  <c r="E73" i="2"/>
  <c r="D73" i="2"/>
  <c r="C73" i="2"/>
  <c r="B73" i="2"/>
  <c r="L60" i="2"/>
  <c r="K60" i="2"/>
  <c r="J60" i="2"/>
  <c r="I60" i="2"/>
  <c r="H60" i="2"/>
  <c r="F65" i="2"/>
  <c r="E65" i="2"/>
  <c r="D65" i="2"/>
  <c r="C65" i="2"/>
  <c r="B65" i="2"/>
  <c r="L54" i="2"/>
  <c r="K54" i="2"/>
  <c r="J54" i="2"/>
  <c r="I54" i="2"/>
  <c r="H54" i="2"/>
  <c r="F64" i="2"/>
  <c r="E64" i="2"/>
  <c r="D64" i="2"/>
  <c r="C64" i="2"/>
  <c r="B64" i="2"/>
  <c r="L53" i="2"/>
  <c r="K53" i="2"/>
  <c r="J53" i="2"/>
  <c r="I53" i="2"/>
  <c r="H53" i="2"/>
  <c r="F63" i="2"/>
  <c r="E63" i="2"/>
  <c r="D63" i="2"/>
  <c r="C63" i="2"/>
  <c r="B63" i="2"/>
  <c r="L52" i="2"/>
  <c r="K52" i="2"/>
  <c r="J52" i="2"/>
  <c r="I52" i="2"/>
  <c r="H52" i="2"/>
  <c r="F62" i="2"/>
  <c r="E62" i="2"/>
  <c r="D62" i="2"/>
  <c r="C62" i="2"/>
  <c r="B62" i="2"/>
  <c r="L51" i="2"/>
  <c r="K51" i="2"/>
  <c r="J51" i="2"/>
  <c r="I51" i="2"/>
  <c r="H51" i="2"/>
  <c r="F61" i="2"/>
  <c r="E61" i="2"/>
  <c r="D61" i="2"/>
  <c r="C61" i="2"/>
  <c r="B61" i="2"/>
  <c r="L50" i="2"/>
  <c r="K50" i="2"/>
  <c r="J50" i="2"/>
  <c r="I50" i="2"/>
  <c r="H50" i="2"/>
  <c r="F60" i="2"/>
  <c r="E60" i="2"/>
  <c r="D60" i="2"/>
  <c r="C60" i="2"/>
  <c r="B60" i="2"/>
  <c r="L49" i="2"/>
  <c r="K49" i="2"/>
  <c r="J49" i="2"/>
  <c r="I49" i="2"/>
  <c r="H49" i="2"/>
  <c r="F54" i="2"/>
  <c r="E54" i="2"/>
  <c r="D54" i="2"/>
  <c r="C54" i="2"/>
  <c r="B54" i="2"/>
  <c r="L43" i="2"/>
  <c r="K43" i="2"/>
  <c r="J43" i="2"/>
  <c r="I43" i="2"/>
  <c r="H43" i="2"/>
  <c r="F53" i="2"/>
  <c r="E53" i="2"/>
  <c r="D53" i="2"/>
  <c r="C53" i="2"/>
  <c r="B53" i="2"/>
  <c r="L42" i="2"/>
  <c r="K42" i="2"/>
  <c r="J42" i="2"/>
  <c r="I42" i="2"/>
  <c r="H42" i="2"/>
  <c r="F52" i="2"/>
  <c r="E52" i="2"/>
  <c r="D52" i="2"/>
  <c r="C52" i="2"/>
  <c r="B52" i="2"/>
  <c r="L41" i="2"/>
  <c r="K41" i="2"/>
  <c r="J41" i="2"/>
  <c r="I41" i="2"/>
  <c r="H41" i="2"/>
  <c r="F51" i="2"/>
  <c r="E51" i="2"/>
  <c r="D51" i="2"/>
  <c r="C51" i="2"/>
  <c r="B51" i="2"/>
  <c r="L40" i="2"/>
  <c r="K40" i="2"/>
  <c r="J40" i="2"/>
  <c r="I40" i="2"/>
  <c r="H40" i="2"/>
  <c r="F50" i="2"/>
  <c r="E50" i="2"/>
  <c r="D50" i="2"/>
  <c r="C50" i="2"/>
  <c r="B50" i="2"/>
  <c r="L39" i="2"/>
  <c r="K39" i="2"/>
  <c r="J39" i="2"/>
  <c r="I39" i="2"/>
  <c r="H39" i="2"/>
  <c r="F49" i="2"/>
  <c r="E49" i="2"/>
  <c r="D49" i="2"/>
  <c r="C49" i="2"/>
  <c r="B49" i="2"/>
  <c r="L38" i="2"/>
  <c r="K38" i="2"/>
  <c r="J38" i="2"/>
  <c r="I38" i="2"/>
  <c r="H38" i="2"/>
  <c r="I88" i="2"/>
  <c r="F88" i="2"/>
  <c r="E88" i="2"/>
  <c r="D88" i="2"/>
  <c r="C88" i="2"/>
  <c r="F43" i="2"/>
  <c r="E43" i="2"/>
  <c r="D43" i="2"/>
  <c r="C43" i="2"/>
  <c r="B43" i="2"/>
  <c r="I87" i="2"/>
  <c r="F87" i="2"/>
  <c r="E87" i="2"/>
  <c r="D87" i="2"/>
  <c r="C87" i="2"/>
  <c r="F42" i="2"/>
  <c r="E42" i="2"/>
  <c r="D42" i="2"/>
  <c r="C42" i="2"/>
  <c r="B42" i="2"/>
  <c r="I86" i="2"/>
  <c r="F86" i="2"/>
  <c r="E86" i="2"/>
  <c r="D86" i="2"/>
  <c r="C86" i="2"/>
  <c r="F41" i="2"/>
  <c r="E41" i="2"/>
  <c r="D41" i="2"/>
  <c r="C41" i="2"/>
  <c r="B41" i="2"/>
  <c r="I85" i="2"/>
  <c r="F85" i="2"/>
  <c r="E85" i="2"/>
  <c r="D85" i="2"/>
  <c r="C85" i="2"/>
  <c r="F40" i="2"/>
  <c r="E40" i="2"/>
  <c r="D40" i="2"/>
  <c r="C40" i="2"/>
  <c r="B40" i="2"/>
  <c r="I84" i="2"/>
  <c r="F84" i="2"/>
  <c r="E84" i="2"/>
  <c r="D84" i="2"/>
  <c r="C84" i="2"/>
  <c r="F39" i="2"/>
  <c r="E39" i="2"/>
  <c r="D39" i="2"/>
  <c r="C39" i="2"/>
  <c r="B39" i="2"/>
  <c r="I83" i="2"/>
  <c r="F83" i="2"/>
  <c r="E83" i="2"/>
  <c r="D83" i="2"/>
  <c r="C83" i="2"/>
  <c r="F38" i="2"/>
  <c r="E38" i="2"/>
  <c r="D38" i="2"/>
  <c r="C38" i="2"/>
  <c r="B38" i="2"/>
  <c r="A269" i="2"/>
  <c r="A270" i="2"/>
  <c r="A271" i="2"/>
  <c r="A272" i="2"/>
  <c r="A273" i="2"/>
  <c r="A268" i="2"/>
  <c r="A260" i="2"/>
  <c r="A261" i="2"/>
  <c r="A262" i="2"/>
  <c r="A263" i="2"/>
  <c r="A264" i="2"/>
  <c r="A259" i="2"/>
  <c r="A251" i="2"/>
  <c r="A252" i="2"/>
  <c r="A253" i="2"/>
  <c r="A254" i="2"/>
  <c r="A255" i="2"/>
  <c r="A250" i="2"/>
  <c r="A242" i="2"/>
  <c r="A243" i="2"/>
  <c r="A244" i="2"/>
  <c r="A245" i="2"/>
  <c r="A246" i="2"/>
  <c r="A241" i="2"/>
  <c r="A231" i="2"/>
  <c r="A232" i="2"/>
  <c r="A233" i="2"/>
  <c r="A234" i="2"/>
  <c r="A235" i="2"/>
  <c r="A230" i="2"/>
  <c r="A221" i="2"/>
  <c r="A222" i="2"/>
  <c r="A223" i="2"/>
  <c r="A224" i="2"/>
  <c r="A225" i="2"/>
  <c r="A220" i="2"/>
  <c r="A210" i="2"/>
  <c r="A211" i="2"/>
  <c r="A212" i="2"/>
  <c r="A213" i="2"/>
  <c r="A214" i="2"/>
  <c r="A209" i="2"/>
  <c r="A198" i="2"/>
  <c r="A199" i="2"/>
  <c r="A200" i="2"/>
  <c r="A201" i="2"/>
  <c r="A202" i="2"/>
  <c r="A197" i="2"/>
  <c r="A187" i="2"/>
  <c r="A188" i="2"/>
  <c r="A189" i="2"/>
  <c r="A190" i="2"/>
  <c r="A191" i="2"/>
  <c r="A186" i="2"/>
  <c r="A176" i="2"/>
  <c r="A177" i="2"/>
  <c r="A178" i="2"/>
  <c r="A179" i="2"/>
  <c r="A180" i="2"/>
  <c r="A175" i="2"/>
  <c r="A164" i="2"/>
  <c r="A165" i="2"/>
  <c r="A166" i="2"/>
  <c r="A167" i="2"/>
  <c r="A168" i="2"/>
  <c r="A163" i="2"/>
  <c r="A153" i="2"/>
  <c r="A154" i="2"/>
  <c r="A155" i="2"/>
  <c r="A156" i="2"/>
  <c r="A157" i="2"/>
  <c r="A152" i="2"/>
  <c r="A142" i="2"/>
  <c r="A143" i="2"/>
  <c r="A144" i="2"/>
  <c r="A145" i="2"/>
  <c r="A146" i="2"/>
  <c r="A141" i="2"/>
  <c r="A128" i="2"/>
  <c r="A129" i="2"/>
  <c r="A130" i="2"/>
  <c r="A131" i="2"/>
  <c r="A132" i="2"/>
  <c r="A127" i="2"/>
  <c r="A118" i="2"/>
  <c r="A119" i="2"/>
  <c r="A120" i="2"/>
  <c r="A121" i="2"/>
  <c r="A122" i="2"/>
  <c r="A117" i="2"/>
  <c r="A107" i="2"/>
  <c r="A108" i="2"/>
  <c r="A109" i="2"/>
  <c r="A110" i="2"/>
  <c r="A111" i="2"/>
  <c r="A106" i="2"/>
  <c r="A94" i="2"/>
  <c r="A95" i="2"/>
  <c r="A96" i="2"/>
  <c r="A97" i="2"/>
  <c r="A98" i="2"/>
  <c r="A93" i="2"/>
  <c r="A84" i="2"/>
  <c r="A85" i="2"/>
  <c r="A86" i="2"/>
  <c r="A87" i="2"/>
  <c r="A88" i="2"/>
  <c r="A83" i="2"/>
  <c r="A74" i="2"/>
  <c r="A75" i="2"/>
  <c r="A76" i="2"/>
  <c r="A77" i="2"/>
  <c r="A78" i="2"/>
  <c r="A73" i="2"/>
  <c r="A61" i="2"/>
  <c r="A62" i="2"/>
  <c r="A63" i="2"/>
  <c r="A64" i="2"/>
  <c r="A65" i="2"/>
  <c r="A60" i="2"/>
  <c r="A54" i="2"/>
  <c r="A50" i="2"/>
  <c r="A51" i="2"/>
  <c r="A52" i="2"/>
  <c r="A53" i="2"/>
  <c r="A49" i="2"/>
  <c r="A39" i="2"/>
  <c r="A40" i="2"/>
  <c r="A41" i="2"/>
  <c r="A42" i="2"/>
  <c r="A43" i="2"/>
  <c r="A38" i="2"/>
</calcChain>
</file>

<file path=xl/sharedStrings.xml><?xml version="1.0" encoding="utf-8"?>
<sst xmlns="http://schemas.openxmlformats.org/spreadsheetml/2006/main" count="1054" uniqueCount="526">
  <si>
    <t>Total Population</t>
  </si>
  <si>
    <t>Elderly Dependency Ratio</t>
  </si>
  <si>
    <t>All Ages in Poverty</t>
  </si>
  <si>
    <t>0-17 in Poverty</t>
  </si>
  <si>
    <t>Median Household Income</t>
  </si>
  <si>
    <t>Unemployed Annual Average</t>
  </si>
  <si>
    <t>Food Stamp Utilization - Avg Monthly Households</t>
  </si>
  <si>
    <t>School Enrollment PreK-12</t>
  </si>
  <si>
    <t>Free or Reduced Meals P-12</t>
  </si>
  <si>
    <t>Have Limited English Proficiency P-12</t>
  </si>
  <si>
    <t>Receive Special Education P-12</t>
  </si>
  <si>
    <t>Number of Resident Births</t>
  </si>
  <si>
    <t>Birth Rate 
(per 1,000 population)</t>
  </si>
  <si>
    <t>Percent Prenatal Care 
Initiated 1st Trimester</t>
  </si>
  <si>
    <t>Percent of Births to Unmarried Women</t>
  </si>
  <si>
    <t>Number of Infant Deaths 
(birth/death linked cohort)</t>
  </si>
  <si>
    <t>Number of Deaths</t>
  </si>
  <si>
    <t>Crude Death Rate</t>
  </si>
  <si>
    <t>Age Adjusted Death Rate</t>
  </si>
  <si>
    <t>Heart Disease - Number of Deaths</t>
  </si>
  <si>
    <t>Cancer - Number of Deaths</t>
  </si>
  <si>
    <t>Stroke - Number of Deaths</t>
  </si>
  <si>
    <t>Unintentional Injury - Number of Deaths</t>
  </si>
  <si>
    <t>Heart Disease AA Rates</t>
  </si>
  <si>
    <t>Cancer AA Rates</t>
  </si>
  <si>
    <t>Stroke AA Rates</t>
  </si>
  <si>
    <t>UI AA Rates</t>
  </si>
  <si>
    <t>AA Rates Male</t>
  </si>
  <si>
    <t>AA Rates female</t>
  </si>
  <si>
    <t>State of Minnesota</t>
  </si>
  <si>
    <t>Number</t>
  </si>
  <si>
    <t>County</t>
  </si>
  <si>
    <t>White</t>
  </si>
  <si>
    <t>Afr. Amer.</t>
  </si>
  <si>
    <t>Amer. Ind.</t>
  </si>
  <si>
    <t>Asian</t>
  </si>
  <si>
    <t>Latino</t>
  </si>
  <si>
    <t>AA</t>
  </si>
  <si>
    <t>AI</t>
  </si>
  <si>
    <t>*</t>
  </si>
  <si>
    <t>Child Dependency Ratio</t>
  </si>
  <si>
    <t>Total Dependency Ratio</t>
  </si>
  <si>
    <t>Low Birth Weight - Singletons % 
(Under 2,500 grams)</t>
  </si>
  <si>
    <t xml:space="preserve">African American </t>
  </si>
  <si>
    <t>American Indian</t>
  </si>
  <si>
    <t>Number of Births</t>
  </si>
  <si>
    <t>Birth Rate per 1,000 Population</t>
  </si>
  <si>
    <t>African American</t>
  </si>
  <si>
    <t>Heart Disease, Number</t>
  </si>
  <si>
    <t>Cancer, Number</t>
  </si>
  <si>
    <t>Stroke, Number</t>
  </si>
  <si>
    <t>Unintentional Injury, Number</t>
  </si>
  <si>
    <t>Demographics</t>
  </si>
  <si>
    <t>Age Adjusted Death Rate per 100,000 Population</t>
  </si>
  <si>
    <t>Latina**</t>
  </si>
  <si>
    <t>Latino**</t>
  </si>
  <si>
    <t>Latino*</t>
  </si>
  <si>
    <t>*Can be any race</t>
  </si>
  <si>
    <t>Aitkin County</t>
  </si>
  <si>
    <t>Anoka County</t>
  </si>
  <si>
    <t>Becker County</t>
  </si>
  <si>
    <t>Beltrami County</t>
  </si>
  <si>
    <t>Benton County</t>
  </si>
  <si>
    <t>Big Stone County</t>
  </si>
  <si>
    <t>Blue Earth County</t>
  </si>
  <si>
    <t>Brown County</t>
  </si>
  <si>
    <t>Carlton County</t>
  </si>
  <si>
    <t>Cass County</t>
  </si>
  <si>
    <t>Chippewa County</t>
  </si>
  <si>
    <t>Chisago County</t>
  </si>
  <si>
    <t>Clay County</t>
  </si>
  <si>
    <t>Clearwater County</t>
  </si>
  <si>
    <t>Cook County</t>
  </si>
  <si>
    <t>Cottonwood County</t>
  </si>
  <si>
    <t>Crow Wing County</t>
  </si>
  <si>
    <t>Dakota County</t>
  </si>
  <si>
    <t>Dodge County</t>
  </si>
  <si>
    <t>Douglas County</t>
  </si>
  <si>
    <t>Faribault County</t>
  </si>
  <si>
    <t>Fillmore County</t>
  </si>
  <si>
    <t>Freeborn County</t>
  </si>
  <si>
    <t>Goodhue County</t>
  </si>
  <si>
    <t>Grant County</t>
  </si>
  <si>
    <t>Hennepin County</t>
  </si>
  <si>
    <t>Houston County</t>
  </si>
  <si>
    <t>Hubbard County</t>
  </si>
  <si>
    <t>Isanti County</t>
  </si>
  <si>
    <t>Itasca County</t>
  </si>
  <si>
    <t>Jackson County</t>
  </si>
  <si>
    <t>Kanabec County</t>
  </si>
  <si>
    <t>Kandiyohi County</t>
  </si>
  <si>
    <t>Kittson County</t>
  </si>
  <si>
    <t>Koochiching County</t>
  </si>
  <si>
    <t>Lac Qui Parle County</t>
  </si>
  <si>
    <t>Lake County</t>
  </si>
  <si>
    <t>Lake of the Woods County</t>
  </si>
  <si>
    <t>Le Sueur County</t>
  </si>
  <si>
    <t>Lincoln County</t>
  </si>
  <si>
    <t>Lyon County</t>
  </si>
  <si>
    <t>McLeod County</t>
  </si>
  <si>
    <t>Mahnomen County</t>
  </si>
  <si>
    <t>Marshall County</t>
  </si>
  <si>
    <t>Martin County</t>
  </si>
  <si>
    <t>Meeker County</t>
  </si>
  <si>
    <t>Mille Lacs County</t>
  </si>
  <si>
    <t>Morrison County</t>
  </si>
  <si>
    <t>Mower County</t>
  </si>
  <si>
    <t>Murray County</t>
  </si>
  <si>
    <t>Nicollet County</t>
  </si>
  <si>
    <t>Nobles County</t>
  </si>
  <si>
    <t>Norman County</t>
  </si>
  <si>
    <t>Olmsted County</t>
  </si>
  <si>
    <t>Otter Tail County</t>
  </si>
  <si>
    <t>Pennington County</t>
  </si>
  <si>
    <t>Pine County</t>
  </si>
  <si>
    <t>Pipestone County</t>
  </si>
  <si>
    <t>Polk County</t>
  </si>
  <si>
    <t>Pope County</t>
  </si>
  <si>
    <t>Ramsey County</t>
  </si>
  <si>
    <t>Red Lake County</t>
  </si>
  <si>
    <t>Redwood County</t>
  </si>
  <si>
    <t>Renville County</t>
  </si>
  <si>
    <t>Rice County</t>
  </si>
  <si>
    <t>Rock County</t>
  </si>
  <si>
    <t>Roseau County</t>
  </si>
  <si>
    <t>St. Louis County</t>
  </si>
  <si>
    <t>Scott County</t>
  </si>
  <si>
    <t>Sherburne County</t>
  </si>
  <si>
    <t>Sibley County</t>
  </si>
  <si>
    <t>Stearns County</t>
  </si>
  <si>
    <t>Steele County</t>
  </si>
  <si>
    <t>Stevens County</t>
  </si>
  <si>
    <t>Swift County</t>
  </si>
  <si>
    <t>Todd County</t>
  </si>
  <si>
    <t>Traverse County</t>
  </si>
  <si>
    <t>Wabasha County</t>
  </si>
  <si>
    <t>Wadena County</t>
  </si>
  <si>
    <t>Waseca County</t>
  </si>
  <si>
    <t>Washington County</t>
  </si>
  <si>
    <t>Watonwan County</t>
  </si>
  <si>
    <t>Wilkin County</t>
  </si>
  <si>
    <t>Winona County</t>
  </si>
  <si>
    <t>Wright County</t>
  </si>
  <si>
    <t>Yellow Medicine County</t>
  </si>
  <si>
    <t>Carver County</t>
  </si>
  <si>
    <t>Births to Unmarried Women- Percent</t>
  </si>
  <si>
    <t>Center for Health Statistics</t>
  </si>
  <si>
    <t>Division of Health Policy</t>
  </si>
  <si>
    <t>Minnesota Department of Health</t>
  </si>
  <si>
    <r>
      <t xml:space="preserve">PO Box 64882 </t>
    </r>
    <r>
      <rPr>
        <sz val="8"/>
        <rFont val="Symbol"/>
        <family val="1"/>
        <charset val="2"/>
      </rPr>
      <t>·</t>
    </r>
    <r>
      <rPr>
        <sz val="12"/>
        <rFont val="Eras Medium ITC"/>
        <family val="2"/>
      </rPr>
      <t xml:space="preserve"> St. Paul, MN  </t>
    </r>
    <r>
      <rPr>
        <sz val="8"/>
        <rFont val="Symbol"/>
        <family val="1"/>
        <charset val="2"/>
      </rPr>
      <t>·</t>
    </r>
    <r>
      <rPr>
        <sz val="12"/>
        <rFont val="Eras Medium ITC"/>
        <family val="2"/>
      </rPr>
      <t xml:space="preserve">  55164-0884</t>
    </r>
  </si>
  <si>
    <t>http://www.health.state.mn.us/divs/chs/top_2.htm</t>
  </si>
  <si>
    <t>Heart Disease, Age Adjusted Death Rate</t>
  </si>
  <si>
    <t>Cancer, Age Adjusted Death Rate</t>
  </si>
  <si>
    <t>Stroke, Age Adjusted Death Rate</t>
  </si>
  <si>
    <t>Crude Death Rate per 100,000 Population</t>
  </si>
  <si>
    <t>651/201-3504  ·  healthstats@state.mn.us</t>
  </si>
  <si>
    <t>2009-10</t>
  </si>
  <si>
    <t>2010-11</t>
  </si>
  <si>
    <t>NA</t>
  </si>
  <si>
    <t>Four Year Graduation Rate per 100</t>
  </si>
  <si>
    <t>Socioeconomics</t>
  </si>
  <si>
    <t>Students Eligible for Free or Reduced Meals - 
Percent, School Year</t>
  </si>
  <si>
    <t>Total Enrollment  - School Year</t>
  </si>
  <si>
    <t>Students with Limited English Proficiency - 
Percent, School Year</t>
  </si>
  <si>
    <t>Students Receiving Special Education - 
Percent, School Year</t>
  </si>
  <si>
    <t>Low Birth Weight (less than 2,500 grams),
 Singletons - Number</t>
  </si>
  <si>
    <t>Premature Births (less than 37 weeks gestation), Singletons - Number</t>
  </si>
  <si>
    <t>Receiving Prenatal Care in the 1st Trimester - 
Percent</t>
  </si>
  <si>
    <t>None</t>
  </si>
  <si>
    <t>Unintent. Injury, Age Adjusted Death Rate</t>
  </si>
  <si>
    <t>*Rates not calculated for less than 20 events</t>
  </si>
  <si>
    <t>Minnesota Center for Health Statistics</t>
  </si>
  <si>
    <t>PO Box 64882 * St. Paul, MN * 55164-0882</t>
  </si>
  <si>
    <t>www.health.state.mn.us/divs/chs</t>
  </si>
  <si>
    <t>651.201.3504</t>
  </si>
  <si>
    <t>healthstats@state.mn.us</t>
  </si>
  <si>
    <t>NA - Data not available</t>
  </si>
  <si>
    <t>**Can be any race</t>
  </si>
  <si>
    <t>*Percentages based on numerators less than or equal to 20 may be unstable and should be interpreted with caution</t>
  </si>
  <si>
    <t>Premature Births (less than 37 weeks gestation), Singletons - Percent*</t>
  </si>
  <si>
    <t>Low Birth Weight (less than 2,500 grams),
 Singletons - Percent*</t>
  </si>
  <si>
    <t>Percent of Mothers who Smoked during Pregnancy</t>
  </si>
  <si>
    <t>High School Drop Out Rate per 100</t>
  </si>
  <si>
    <t>High School Dropout Rate per 100</t>
  </si>
  <si>
    <t xml:space="preserve"> Four-Year High School Graduation Rate per 100</t>
  </si>
  <si>
    <t>--</t>
  </si>
  <si>
    <t>The Minnesota Vital Statistics Trend Report is a report on demographic, natality and mortality trends for Minnesota, its 87 counties and community health boards (CHBs).  This report provides information on selected indicators including age dependency ratios, low birth weight, prenatal care, and selected causes of death.</t>
  </si>
  <si>
    <t>Instructions</t>
  </si>
  <si>
    <t>a191</t>
  </si>
  <si>
    <t>a192</t>
  </si>
  <si>
    <t>a193</t>
  </si>
  <si>
    <t>a194</t>
  </si>
  <si>
    <t>a195</t>
  </si>
  <si>
    <t>a196</t>
  </si>
  <si>
    <t>a197</t>
  </si>
  <si>
    <t>a198</t>
  </si>
  <si>
    <t>a199</t>
  </si>
  <si>
    <t>a200</t>
  </si>
  <si>
    <t>a201</t>
  </si>
  <si>
    <t>a202</t>
  </si>
  <si>
    <t>a203</t>
  </si>
  <si>
    <t>a204</t>
  </si>
  <si>
    <t>a205</t>
  </si>
  <si>
    <t>a206</t>
  </si>
  <si>
    <t>a207</t>
  </si>
  <si>
    <t>a208</t>
  </si>
  <si>
    <t>a209</t>
  </si>
  <si>
    <t>a210</t>
  </si>
  <si>
    <t>a211</t>
  </si>
  <si>
    <t>a212</t>
  </si>
  <si>
    <t>a213</t>
  </si>
  <si>
    <t>a214</t>
  </si>
  <si>
    <t>a215</t>
  </si>
  <si>
    <t>a216</t>
  </si>
  <si>
    <t>a217</t>
  </si>
  <si>
    <t>a218</t>
  </si>
  <si>
    <t>a219</t>
  </si>
  <si>
    <t>a220</t>
  </si>
  <si>
    <t>a221</t>
  </si>
  <si>
    <t>a222</t>
  </si>
  <si>
    <t>a223</t>
  </si>
  <si>
    <t>a224</t>
  </si>
  <si>
    <t>a225</t>
  </si>
  <si>
    <t>a226</t>
  </si>
  <si>
    <t>a227</t>
  </si>
  <si>
    <t>a228</t>
  </si>
  <si>
    <t>a229</t>
  </si>
  <si>
    <t>a230</t>
  </si>
  <si>
    <t>a231</t>
  </si>
  <si>
    <t>b191</t>
  </si>
  <si>
    <t>b192</t>
  </si>
  <si>
    <t>b193</t>
  </si>
  <si>
    <t>b194</t>
  </si>
  <si>
    <t>b195</t>
  </si>
  <si>
    <t>b196</t>
  </si>
  <si>
    <t>b197</t>
  </si>
  <si>
    <t>b198</t>
  </si>
  <si>
    <t>b199</t>
  </si>
  <si>
    <t>b200</t>
  </si>
  <si>
    <t>b201</t>
  </si>
  <si>
    <t>b202</t>
  </si>
  <si>
    <t>b203</t>
  </si>
  <si>
    <t>b204</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</si>
  <si>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</si>
  <si>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</si>
  <si>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</si>
  <si>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</si>
  <si>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</si>
  <si>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</si>
  <si>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</si>
  <si>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</si>
  <si>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</si>
  <si>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</si>
  <si>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</si>
  <si>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</si>
  <si>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</si>
  <si>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</si>
  <si>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</si>
  <si>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</si>
  <si>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</si>
  <si>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</si>
  <si>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</si>
  <si>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</si>
  <si>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</si>
  <si>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</si>
  <si>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</si>
  <si>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</si>
  <si>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</si>
  <si>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</si>
  <si>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</si>
  <si>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c191</t>
  </si>
  <si>
    <t>c192</t>
  </si>
  <si>
    <t>c193</t>
  </si>
  <si>
    <t>c194</t>
  </si>
  <si>
    <t>c195</t>
  </si>
  <si>
    <t>c196</t>
  </si>
  <si>
    <t>c197</t>
  </si>
  <si>
    <t>c198</t>
  </si>
  <si>
    <t>c199</t>
  </si>
  <si>
    <t>c200</t>
  </si>
  <si>
    <t>c201</t>
  </si>
  <si>
    <t>c202</t>
  </si>
  <si>
    <t>c203</t>
  </si>
  <si>
    <t>c204</t>
  </si>
  <si>
    <t>c205</t>
  </si>
  <si>
    <t>c206</t>
  </si>
  <si>
    <t>c207</t>
  </si>
  <si>
    <t>c208</t>
  </si>
  <si>
    <t>c209</t>
  </si>
  <si>
    <t>c210</t>
  </si>
  <si>
    <t>c211</t>
  </si>
  <si>
    <t>c212</t>
  </si>
  <si>
    <t>c213</t>
  </si>
  <si>
    <t>c214</t>
  </si>
  <si>
    <t>c215</t>
  </si>
  <si>
    <t>c216</t>
  </si>
  <si>
    <t>c217</t>
  </si>
  <si>
    <t>c218</t>
  </si>
  <si>
    <t>c219</t>
  </si>
  <si>
    <t>c220</t>
  </si>
  <si>
    <t>c221</t>
  </si>
  <si>
    <t>c222</t>
  </si>
  <si>
    <t>c223</t>
  </si>
  <si>
    <t>c224</t>
  </si>
  <si>
    <t>c225</t>
  </si>
  <si>
    <t>c226</t>
  </si>
  <si>
    <t>c227</t>
  </si>
  <si>
    <t>c228</t>
  </si>
  <si>
    <t>c229</t>
  </si>
  <si>
    <t>c230</t>
  </si>
  <si>
    <t>c231</t>
  </si>
  <si>
    <t>d191</t>
  </si>
  <si>
    <t>d192</t>
  </si>
  <si>
    <t>d193</t>
  </si>
  <si>
    <t>d194</t>
  </si>
  <si>
    <t>d195</t>
  </si>
  <si>
    <t>d196</t>
  </si>
  <si>
    <t>d197</t>
  </si>
  <si>
    <t>d198</t>
  </si>
  <si>
    <t>d199</t>
  </si>
  <si>
    <t>d200</t>
  </si>
  <si>
    <t>d201</t>
  </si>
  <si>
    <t>d202</t>
  </si>
  <si>
    <t>d203</t>
  </si>
  <si>
    <t>d204</t>
  </si>
  <si>
    <t>d205</t>
  </si>
  <si>
    <t>d206</t>
  </si>
  <si>
    <t>d207</t>
  </si>
  <si>
    <t>d208</t>
  </si>
  <si>
    <t>d209</t>
  </si>
  <si>
    <t>d210</t>
  </si>
  <si>
    <t>d211</t>
  </si>
  <si>
    <t>d212</t>
  </si>
  <si>
    <t>d213</t>
  </si>
  <si>
    <t>d214</t>
  </si>
  <si>
    <t>d215</t>
  </si>
  <si>
    <t>d216</t>
  </si>
  <si>
    <t>d217</t>
  </si>
  <si>
    <t>d218</t>
  </si>
  <si>
    <t>d219</t>
  </si>
  <si>
    <t>d220</t>
  </si>
  <si>
    <t>d221</t>
  </si>
  <si>
    <t>d222</t>
  </si>
  <si>
    <t>d223</t>
  </si>
  <si>
    <t>d224</t>
  </si>
  <si>
    <t>d225</t>
  </si>
  <si>
    <t>d226</t>
  </si>
  <si>
    <t>d227</t>
  </si>
  <si>
    <t>d228</t>
  </si>
  <si>
    <t>d229</t>
  </si>
  <si>
    <t>d230</t>
  </si>
  <si>
    <t>d231</t>
  </si>
  <si>
    <t>e191</t>
  </si>
  <si>
    <t>e192</t>
  </si>
  <si>
    <t>e193</t>
  </si>
  <si>
    <t>e194</t>
  </si>
  <si>
    <t>e195</t>
  </si>
  <si>
    <t>e196</t>
  </si>
  <si>
    <t>e197</t>
  </si>
  <si>
    <t>e198</t>
  </si>
  <si>
    <t>e199</t>
  </si>
  <si>
    <t>e200</t>
  </si>
  <si>
    <t>e201</t>
  </si>
  <si>
    <t>e202</t>
  </si>
  <si>
    <t>e203</t>
  </si>
  <si>
    <t>e204</t>
  </si>
  <si>
    <t>e205</t>
  </si>
  <si>
    <t>e206</t>
  </si>
  <si>
    <t>e207</t>
  </si>
  <si>
    <t>e208</t>
  </si>
  <si>
    <t>e209</t>
  </si>
  <si>
    <t>e210</t>
  </si>
  <si>
    <t>e211</t>
  </si>
  <si>
    <t>e212</t>
  </si>
  <si>
    <t>e213</t>
  </si>
  <si>
    <t>e214</t>
  </si>
  <si>
    <t>e215</t>
  </si>
  <si>
    <t>e216</t>
  </si>
  <si>
    <t>e217</t>
  </si>
  <si>
    <t>e218</t>
  </si>
  <si>
    <t>e219</t>
  </si>
  <si>
    <t>e220</t>
  </si>
  <si>
    <t>e221</t>
  </si>
  <si>
    <t>e222</t>
  </si>
  <si>
    <t>e223</t>
  </si>
  <si>
    <t>e224</t>
  </si>
  <si>
    <t>e225</t>
  </si>
  <si>
    <t>e226</t>
  </si>
  <si>
    <t>e227</t>
  </si>
  <si>
    <t>e228</t>
  </si>
  <si>
    <t>e229</t>
  </si>
  <si>
    <t>e230</t>
  </si>
  <si>
    <t>e231</t>
  </si>
  <si>
    <t>f191</t>
  </si>
  <si>
    <t>f192</t>
  </si>
  <si>
    <t>f193</t>
  </si>
  <si>
    <t>f194</t>
  </si>
  <si>
    <t>f195</t>
  </si>
  <si>
    <t>f196</t>
  </si>
  <si>
    <t>f197</t>
  </si>
  <si>
    <t>f198</t>
  </si>
  <si>
    <t>f199</t>
  </si>
  <si>
    <t>f200</t>
  </si>
  <si>
    <t>f201</t>
  </si>
  <si>
    <t>f202</t>
  </si>
  <si>
    <t>f203</t>
  </si>
  <si>
    <t>f204</t>
  </si>
  <si>
    <t>f205</t>
  </si>
  <si>
    <t>f206</t>
  </si>
  <si>
    <t>f207</t>
  </si>
  <si>
    <t>f208</t>
  </si>
  <si>
    <t>f209</t>
  </si>
  <si>
    <t>f210</t>
  </si>
  <si>
    <t>f211</t>
  </si>
  <si>
    <t>f212</t>
  </si>
  <si>
    <t>f213</t>
  </si>
  <si>
    <t>f214</t>
  </si>
  <si>
    <t>f215</t>
  </si>
  <si>
    <t>f216</t>
  </si>
  <si>
    <t>f217</t>
  </si>
  <si>
    <t>f218</t>
  </si>
  <si>
    <t>f219</t>
  </si>
  <si>
    <t>f220</t>
  </si>
  <si>
    <t>f221</t>
  </si>
  <si>
    <t>f222</t>
  </si>
  <si>
    <t>f223</t>
  </si>
  <si>
    <t>f224</t>
  </si>
  <si>
    <t>f225</t>
  </si>
  <si>
    <t>f226</t>
  </si>
  <si>
    <t>f227</t>
  </si>
  <si>
    <t>f228</t>
  </si>
  <si>
    <t>f229</t>
  </si>
  <si>
    <t>f230</t>
  </si>
  <si>
    <t>f231</t>
  </si>
  <si>
    <t>Extra cells for new data</t>
  </si>
  <si>
    <t>Number of Households</t>
  </si>
  <si>
    <t>Per Capital Income</t>
  </si>
  <si>
    <t>Low Birth Weight - Singletons #
(Under 2,500 grams)</t>
  </si>
  <si>
    <t>Teen Birth Rate per 1,000 15-19 fe</t>
  </si>
  <si>
    <t>RE of Mother</t>
  </si>
  <si>
    <t>Preterm - Singletons %</t>
  </si>
  <si>
    <t>Preterm - Singletons#
(less than 37 weeks)</t>
  </si>
  <si>
    <t>Latina</t>
  </si>
  <si>
    <t>AS</t>
  </si>
  <si>
    <t>Extra Cells</t>
  </si>
  <si>
    <t>2011-12</t>
  </si>
  <si>
    <t>2007-2011</t>
  </si>
  <si>
    <t>1992-1996</t>
  </si>
  <si>
    <t>1997-2001</t>
  </si>
  <si>
    <t>2002-2006</t>
  </si>
  <si>
    <t>Aitkin, Itasca and Koochiching</t>
  </si>
  <si>
    <t>Beltrami, Clearwater, Hubbard and Lake of the Woods</t>
  </si>
  <si>
    <t>Big Stone, Chippewa, Lac Qui Parle, Swift and Yellow Medicine</t>
  </si>
  <si>
    <t>Brown and Nicollet</t>
  </si>
  <si>
    <t>Carlton, Cook, Lake and St. Louis</t>
  </si>
  <si>
    <t>Cottonwood and Jackson</t>
  </si>
  <si>
    <t>Clay and Wilkin</t>
  </si>
  <si>
    <t>Douglas, Grant, Pope, Stevens and Traverse</t>
  </si>
  <si>
    <t>Dodge and Steele</t>
  </si>
  <si>
    <t>Fillmore and Houston</t>
  </si>
  <si>
    <t>Faribault and Martin</t>
  </si>
  <si>
    <t>Isanti and Mille Lacs</t>
  </si>
  <si>
    <t>Kittson, Marshall, Pennington, Red Lake and Roseau</t>
  </si>
  <si>
    <t>Kanabec and Pine</t>
  </si>
  <si>
    <t>Kandiyohi and Renvilee</t>
  </si>
  <si>
    <t>Lincoln, Lyon, Murray, Pipestone, Redwood and Rock</t>
  </si>
  <si>
    <t>Le Sueur and Waseca</t>
  </si>
  <si>
    <t>Meeker, McCleod and Sibley</t>
  </si>
  <si>
    <t>Mahnomen, Norman and Polk</t>
  </si>
  <si>
    <t>Morrison, Todd and Wadena</t>
  </si>
  <si>
    <t>na</t>
  </si>
  <si>
    <t xml:space="preserve">Minnesota Center for Health Statistics
</t>
  </si>
  <si>
    <r>
      <t>Total Population</t>
    </r>
    <r>
      <rPr>
        <b/>
        <vertAlign val="superscript"/>
        <sz val="9"/>
        <color theme="1"/>
        <rFont val="Tw Cen MT"/>
        <family val="2"/>
      </rPr>
      <t>1</t>
    </r>
  </si>
  <si>
    <r>
      <t>Elderly (age 65+) Dependency Ratio 
per 100 people aged 15-64</t>
    </r>
    <r>
      <rPr>
        <b/>
        <vertAlign val="superscript"/>
        <sz val="9"/>
        <color theme="1"/>
        <rFont val="Tw Cen MT"/>
        <family val="2"/>
      </rPr>
      <t>1</t>
    </r>
  </si>
  <si>
    <r>
      <t>Estimated Number of Households</t>
    </r>
    <r>
      <rPr>
        <b/>
        <vertAlign val="superscript"/>
        <sz val="9"/>
        <color theme="1"/>
        <rFont val="Tw Cen MT"/>
        <family val="2"/>
      </rPr>
      <t>2</t>
    </r>
  </si>
  <si>
    <r>
      <t>Child (under age 15) Dependency Ratio 
per 100 people aged 15-64</t>
    </r>
    <r>
      <rPr>
        <b/>
        <vertAlign val="superscript"/>
        <sz val="9"/>
        <color theme="1"/>
        <rFont val="Tw Cen MT"/>
        <family val="2"/>
      </rPr>
      <t>1</t>
    </r>
  </si>
  <si>
    <r>
      <t>Total Dependency (under 15, 65+) Ratio 
per 100 people aged 15-64</t>
    </r>
    <r>
      <rPr>
        <b/>
        <vertAlign val="superscript"/>
        <sz val="9"/>
        <color theme="1"/>
        <rFont val="Tw Cen MT"/>
        <family val="2"/>
      </rPr>
      <t>1</t>
    </r>
  </si>
  <si>
    <r>
      <t>Food Stamp Utilization - 
Average Monthly Households (Cases)</t>
    </r>
    <r>
      <rPr>
        <b/>
        <vertAlign val="superscript"/>
        <sz val="9"/>
        <color theme="1"/>
        <rFont val="Tw Cen MT"/>
        <family val="2"/>
      </rPr>
      <t>4</t>
    </r>
  </si>
  <si>
    <r>
      <t>Unemployed (Annual Average)</t>
    </r>
    <r>
      <rPr>
        <b/>
        <vertAlign val="superscript"/>
        <sz val="9"/>
        <color theme="1"/>
        <rFont val="Tw Cen MT"/>
        <family val="2"/>
      </rPr>
      <t>3</t>
    </r>
    <r>
      <rPr>
        <b/>
        <sz val="9"/>
        <color theme="1"/>
        <rFont val="Tw Cen MT"/>
        <family val="2"/>
      </rPr>
      <t xml:space="preserve"> - Percent</t>
    </r>
  </si>
  <si>
    <r>
      <t>Percent of All Ages Living in Poverty</t>
    </r>
    <r>
      <rPr>
        <b/>
        <vertAlign val="superscript"/>
        <sz val="9"/>
        <color theme="1"/>
        <rFont val="Tw Cen MT"/>
        <family val="2"/>
      </rPr>
      <t>1</t>
    </r>
  </si>
  <si>
    <r>
      <t>Percent of People under 18 Years Living in Poverty</t>
    </r>
    <r>
      <rPr>
        <b/>
        <vertAlign val="superscript"/>
        <sz val="9"/>
        <color theme="1"/>
        <rFont val="Tw Cen MT"/>
        <family val="2"/>
      </rPr>
      <t xml:space="preserve">1 </t>
    </r>
  </si>
  <si>
    <r>
      <t>Education (PreKindergarten to 12th Grade)</t>
    </r>
    <r>
      <rPr>
        <b/>
        <vertAlign val="superscript"/>
        <sz val="9"/>
        <color theme="1"/>
        <rFont val="Tw Cen MT"/>
        <family val="2"/>
      </rPr>
      <t>6</t>
    </r>
  </si>
  <si>
    <r>
      <t>Natality</t>
    </r>
    <r>
      <rPr>
        <b/>
        <vertAlign val="superscript"/>
        <sz val="9"/>
        <color theme="1"/>
        <rFont val="Tw Cen MT"/>
        <family val="2"/>
      </rPr>
      <t>7</t>
    </r>
  </si>
  <si>
    <r>
      <t>Number of Infant Deaths</t>
    </r>
    <r>
      <rPr>
        <b/>
        <vertAlign val="superscript"/>
        <sz val="9"/>
        <color theme="1"/>
        <rFont val="Tw Cen MT"/>
        <family val="2"/>
      </rPr>
      <t xml:space="preserve">8 </t>
    </r>
    <r>
      <rPr>
        <b/>
        <sz val="9"/>
        <color theme="1"/>
        <rFont val="Tw Cen MT"/>
        <family val="2"/>
      </rPr>
      <t>by</t>
    </r>
    <r>
      <rPr>
        <b/>
        <vertAlign val="superscript"/>
        <sz val="9"/>
        <color theme="1"/>
        <rFont val="Tw Cen MT"/>
        <family val="2"/>
      </rPr>
      <t xml:space="preserve"> </t>
    </r>
    <r>
      <rPr>
        <b/>
        <sz val="9"/>
        <color theme="1"/>
        <rFont val="Tw Cen MT"/>
        <family val="2"/>
      </rPr>
      <t>Birth Year</t>
    </r>
  </si>
  <si>
    <r>
      <t>Mortality</t>
    </r>
    <r>
      <rPr>
        <b/>
        <vertAlign val="superscript"/>
        <sz val="9"/>
        <color theme="1"/>
        <rFont val="Tw Cen MT"/>
        <family val="2"/>
      </rPr>
      <t>7</t>
    </r>
  </si>
  <si>
    <t>Mothers who Smoked during Pregnancy - 
Percent</t>
  </si>
  <si>
    <t>Teen Birth Rate 
per 1,000 15-19 year old females</t>
  </si>
  <si>
    <t>Aitkin, Itasca, Koochiching</t>
  </si>
  <si>
    <t>Brown, Nicollet</t>
  </si>
  <si>
    <t>Carlton, Cook, Lake, St. Louis</t>
  </si>
  <si>
    <t>Cottonwood, Jackson</t>
  </si>
  <si>
    <t>Clay, Wilkin</t>
  </si>
  <si>
    <t>Douglas, Grant, Pope, Stevens, Traverse</t>
  </si>
  <si>
    <t>Dodge, Steele</t>
  </si>
  <si>
    <t>Fillmore, Houston</t>
  </si>
  <si>
    <t>Faribault, Martin</t>
  </si>
  <si>
    <t>Isanti, Mille Lacs</t>
  </si>
  <si>
    <t>Kanabec, Pine</t>
  </si>
  <si>
    <t>Kandiyohi, Renville</t>
  </si>
  <si>
    <t>LeSueur, Waseca</t>
  </si>
  <si>
    <t>Meeker, McLeod, Sibley</t>
  </si>
  <si>
    <t>Mahnomen, Norman, Polk</t>
  </si>
  <si>
    <t>Morrison, Todd, Wadena</t>
  </si>
  <si>
    <t>Beltrami, Clearwtr, Hubbard, LakeoftheWoods</t>
  </si>
  <si>
    <t>Big Stone, Chipp, LacquiParle, Swift, YM</t>
  </si>
  <si>
    <t>Kittson, Marshall, Pennington, RedLake, Roseau</t>
  </si>
  <si>
    <t>Lincoln, Lyon, Murray, Pipestne, Redwood, Rock</t>
  </si>
  <si>
    <t>Select counties and/or Community Health Boards:</t>
  </si>
  <si>
    <r>
      <t>Population by Race/Ethnicity</t>
    </r>
    <r>
      <rPr>
        <b/>
        <vertAlign val="superscript"/>
        <sz val="9"/>
        <color theme="1"/>
        <rFont val="Tw Cen MT"/>
        <family val="2"/>
      </rPr>
      <t xml:space="preserve">1 </t>
    </r>
    <r>
      <rPr>
        <b/>
        <sz val="9"/>
        <color theme="1"/>
        <rFont val="Tw Cen MT"/>
        <family val="2"/>
      </rPr>
      <t>Year 2012</t>
    </r>
  </si>
  <si>
    <t>2012-13</t>
  </si>
  <si>
    <t>1993-1997</t>
  </si>
  <si>
    <t>1998-2002</t>
  </si>
  <si>
    <t>2003-2007</t>
  </si>
  <si>
    <t>2008-2012</t>
  </si>
  <si>
    <t>Race/Ethnicity of Mother - Year 2012</t>
  </si>
  <si>
    <t>Number of Deaths by Race/Ethnicity - Year 2012</t>
  </si>
  <si>
    <t>Populaton by RE -2012</t>
  </si>
  <si>
    <t>Deaths by RE - 2012</t>
  </si>
  <si>
    <r>
      <t>Per Capita Income - Adjusted to 2012 Dollars</t>
    </r>
    <r>
      <rPr>
        <b/>
        <vertAlign val="superscript"/>
        <sz val="9"/>
        <color theme="1"/>
        <rFont val="Tw Cen MT"/>
        <family val="2"/>
      </rPr>
      <t>5</t>
    </r>
  </si>
  <si>
    <r>
      <t>Median Household Income -  - Adjusted to 2012 Dollars</t>
    </r>
    <r>
      <rPr>
        <b/>
        <vertAlign val="superscript"/>
        <sz val="9"/>
        <color theme="1"/>
        <rFont val="Tw Cen MT"/>
        <family val="2"/>
      </rPr>
      <t>1</t>
    </r>
  </si>
  <si>
    <t>June 2014</t>
  </si>
  <si>
    <t>Minnesota 
State, County, and Community Health Board 
Vital Statistics Trend Report, 1993-2012</t>
  </si>
  <si>
    <t>Age Adjusted Death Rate - Males**</t>
  </si>
  <si>
    <t>Age Adjusted Death Rate - Females**</t>
  </si>
  <si>
    <t>**2008-2012 rates updated 12/01/2014</t>
  </si>
  <si>
    <t>2008-2012 percentages updated 12/30/14</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</si>
</sst>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0.0"/>
    <numFmt numFmtId="165" formatCode="_(* #,##0.0_);_(* \(#,##0.0\);_(* &quot;-&quot;??_);_(@_)"/>
    <numFmt numFmtId="166" formatCode="_(* #,##0_);_(* \(#,##0\);_(* &quot;-&quot;??_);_(@_)"/>
    <numFmt numFmtId="167" formatCode="#,##0.0"/>
    <numFmt numFmtId="168" formatCode="_(&quot;$&quot;* #,##0_);_(&quot;$&quot;* \(#,##0\);_(&quot;$&quot;* &quot;-&quot;??_);_(@_)"/>
    <numFmt numFmtId="169" formatCode="&quot;$&quot;#,##0"/>
  </numFmts>
  <fonts count="37" x14ac:knownFonts="1">
    <font>
      <sz val="10"/>
      <name val="Times New Roman"/>
    </font>
    <font>
      <sz val="10"/>
      <name val="Times New Roman"/>
      <family val="1"/>
    </font>
    <font>
      <u/>
      <sz val="10"/>
      <color indexed="12"/>
      <name val="Times New Roman"/>
      <family val="1"/>
    </font>
    <font>
      <sz val="8"/>
      <name val="Times New Roman"/>
      <family val="1"/>
    </font>
    <font>
      <sz val="12"/>
      <name val="Times New Roman"/>
      <family val="1"/>
    </font>
    <font>
      <b/>
      <sz val="14"/>
      <name val="Eras Medium ITC"/>
      <family val="2"/>
    </font>
    <font>
      <i/>
      <sz val="12"/>
      <name val="Times New Roman"/>
      <family val="1"/>
    </font>
    <font>
      <i/>
      <sz val="12"/>
      <name val="Eras Medium ITC"/>
      <family val="2"/>
    </font>
    <font>
      <sz val="12"/>
      <name val="Eras Medium ITC"/>
      <family val="2"/>
    </font>
    <font>
      <sz val="8"/>
      <name val="Symbol"/>
      <family val="1"/>
      <charset val="2"/>
    </font>
    <font>
      <b/>
      <sz val="12"/>
      <name val="Eras Medium ITC"/>
      <family val="2"/>
    </font>
    <font>
      <sz val="9.5"/>
      <name val="Eras Medium ITC"/>
      <family val="2"/>
    </font>
    <font>
      <sz val="12"/>
      <name val="Tahoma"/>
      <family val="2"/>
    </font>
    <font>
      <i/>
      <sz val="14"/>
      <name val="Eras Medium ITC"/>
      <family val="2"/>
    </font>
    <font>
      <sz val="10"/>
      <name val="Times New Roman"/>
      <family val="1"/>
    </font>
    <font>
      <sz val="10"/>
      <name val="Tw Cen MT"/>
      <family val="2"/>
    </font>
    <font>
      <sz val="11"/>
      <color theme="1"/>
      <name val="Calibri"/>
      <family val="2"/>
      <scheme val="minor"/>
    </font>
    <font>
      <sz val="10"/>
      <color theme="1"/>
      <name val="Tw Cen MT"/>
      <family val="2"/>
    </font>
    <font>
      <b/>
      <sz val="12"/>
      <name val="Tw Cen MT"/>
      <family val="2"/>
    </font>
    <font>
      <sz val="9"/>
      <color theme="1"/>
      <name val="Tw Cen MT"/>
      <family val="2"/>
    </font>
    <font>
      <b/>
      <sz val="24"/>
      <name val="Tw Cen MT"/>
      <family val="2"/>
    </font>
    <font>
      <b/>
      <sz val="28"/>
      <name val="Tw Cen MT"/>
      <family val="2"/>
    </font>
    <font>
      <sz val="16"/>
      <name val="Tw Cen MT"/>
      <family val="2"/>
    </font>
    <font>
      <b/>
      <sz val="16"/>
      <name val="Tw Cen MT"/>
      <family val="2"/>
    </font>
    <font>
      <b/>
      <u/>
      <sz val="12"/>
      <color rgb="FF000000"/>
      <name val="Tw Cen MT"/>
      <family val="2"/>
    </font>
    <font>
      <sz val="12"/>
      <color rgb="FF000000"/>
      <name val="Tw Cen MT"/>
      <family val="2"/>
    </font>
    <font>
      <sz val="9"/>
      <color indexed="8"/>
      <name val="Tw Cen MT"/>
      <family val="2"/>
    </font>
    <font>
      <sz val="10"/>
      <name val="Arial"/>
      <family val="2"/>
    </font>
    <font>
      <sz val="9"/>
      <name val="Tw Cen MT"/>
      <family val="2"/>
    </font>
    <font>
      <sz val="10"/>
      <name val="Times New Roman"/>
      <family val="1"/>
    </font>
    <font>
      <sz val="10"/>
      <color theme="1"/>
      <name val="Arial"/>
      <family val="2"/>
    </font>
    <font>
      <b/>
      <sz val="9"/>
      <color theme="1"/>
      <name val="Tw Cen MT"/>
      <family val="2"/>
    </font>
    <font>
      <b/>
      <vertAlign val="superscript"/>
      <sz val="9"/>
      <color theme="1"/>
      <name val="Tw Cen MT"/>
      <family val="2"/>
    </font>
    <font>
      <u/>
      <sz val="9"/>
      <color indexed="12"/>
      <name val="Times New Roman"/>
      <family val="1"/>
    </font>
    <font>
      <b/>
      <sz val="10"/>
      <name val="Tw Cen MT"/>
      <family val="2"/>
    </font>
    <font>
      <sz val="8"/>
      <color theme="1"/>
      <name val="Tw Cen MT"/>
      <family val="2"/>
    </font>
    <font>
      <sz val="8"/>
      <name val="Tw Cen MT"/>
      <family val="2"/>
    </font>
  </fonts>
  <fills count="8">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59999389629810485"/>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2">
    <xf numFmtId="0" fontId="0" fillId="0" borderId="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4" fillId="0" borderId="0"/>
    <xf numFmtId="0" fontId="16" fillId="0" borderId="0"/>
    <xf numFmtId="0" fontId="27" fillId="0" borderId="0"/>
    <xf numFmtId="0" fontId="1" fillId="0" borderId="0"/>
    <xf numFmtId="0" fontId="30" fillId="0" borderId="0"/>
    <xf numFmtId="0" fontId="2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xf numFmtId="0" fontId="1" fillId="0" borderId="0"/>
  </cellStyleXfs>
  <cellXfs count="211">
    <xf numFmtId="0" fontId="0" fillId="0" borderId="0" xfId="0"/>
    <xf numFmtId="0" fontId="6" fillId="0" borderId="0" xfId="0" applyFont="1"/>
    <xf numFmtId="0" fontId="4" fillId="0" borderId="0" xfId="0" applyFont="1" applyAlignment="1">
      <alignment horizontal="center"/>
    </xf>
    <xf numFmtId="0" fontId="8" fillId="0" borderId="0" xfId="0" applyFont="1"/>
    <xf numFmtId="0" fontId="10" fillId="0" borderId="0" xfId="0" applyFont="1"/>
    <xf numFmtId="0" fontId="12" fillId="0" borderId="0" xfId="0" applyFont="1" applyAlignment="1">
      <alignment horizontal="left" indent="15"/>
    </xf>
    <xf numFmtId="0" fontId="11" fillId="0" borderId="0" xfId="0" applyFont="1"/>
    <xf numFmtId="0" fontId="5" fillId="0" borderId="0" xfId="0" applyFont="1" applyBorder="1" applyAlignment="1">
      <alignment vertical="top" wrapText="1"/>
    </xf>
    <xf numFmtId="0" fontId="8" fillId="0" borderId="0" xfId="0" applyFont="1" applyBorder="1" applyAlignment="1">
      <alignment vertical="top" wrapText="1"/>
    </xf>
    <xf numFmtId="0" fontId="0" fillId="0" borderId="0" xfId="0" applyBorder="1"/>
    <xf numFmtId="0" fontId="8" fillId="0" borderId="0" xfId="0" applyFont="1" applyBorder="1"/>
    <xf numFmtId="0" fontId="3" fillId="0" borderId="0" xfId="0" applyFont="1"/>
    <xf numFmtId="3" fontId="17" fillId="0" borderId="0" xfId="0" applyNumberFormat="1" applyFont="1" applyBorder="1" applyAlignment="1">
      <alignment horizontal="center"/>
    </xf>
    <xf numFmtId="167" fontId="17" fillId="0" borderId="0" xfId="0" applyNumberFormat="1" applyFont="1" applyBorder="1" applyAlignment="1">
      <alignment horizontal="center"/>
    </xf>
    <xf numFmtId="167" fontId="17" fillId="0" borderId="1" xfId="0" applyNumberFormat="1" applyFont="1" applyBorder="1" applyAlignment="1">
      <alignment horizontal="center"/>
    </xf>
    <xf numFmtId="0" fontId="15" fillId="0" borderId="0" xfId="0" applyFont="1"/>
    <xf numFmtId="164" fontId="15" fillId="0" borderId="0" xfId="0" applyNumberFormat="1" applyFont="1" applyBorder="1" applyAlignment="1">
      <alignment horizontal="center"/>
    </xf>
    <xf numFmtId="0" fontId="15" fillId="0" borderId="0" xfId="0" applyFont="1" applyAlignment="1">
      <alignment horizontal="center"/>
    </xf>
    <xf numFmtId="164" fontId="15" fillId="0" borderId="0" xfId="0" applyNumberFormat="1" applyFont="1" applyAlignment="1">
      <alignment horizontal="center"/>
    </xf>
    <xf numFmtId="3" fontId="15" fillId="0" borderId="1" xfId="0" applyNumberFormat="1" applyFont="1" applyBorder="1" applyAlignment="1">
      <alignment horizontal="center"/>
    </xf>
    <xf numFmtId="164" fontId="15" fillId="0" borderId="1" xfId="0" applyNumberFormat="1" applyFont="1" applyBorder="1" applyAlignment="1">
      <alignment horizontal="center"/>
    </xf>
    <xf numFmtId="0" fontId="17" fillId="0" borderId="0" xfId="0" applyFont="1" applyBorder="1" applyAlignment="1">
      <alignment horizontal="center"/>
    </xf>
    <xf numFmtId="3" fontId="15" fillId="0" borderId="0" xfId="0" applyNumberFormat="1" applyFont="1" applyBorder="1" applyAlignment="1">
      <alignment horizontal="center"/>
    </xf>
    <xf numFmtId="3" fontId="15" fillId="0" borderId="3" xfId="0" applyNumberFormat="1" applyFont="1" applyBorder="1" applyAlignment="1">
      <alignment horizontal="center"/>
    </xf>
    <xf numFmtId="3" fontId="15" fillId="0" borderId="0" xfId="0" applyNumberFormat="1" applyFont="1"/>
    <xf numFmtId="0" fontId="22" fillId="0" borderId="0" xfId="0" applyFont="1" applyAlignment="1">
      <alignment horizontal="left"/>
    </xf>
    <xf numFmtId="0" fontId="20" fillId="0" borderId="0" xfId="0" applyFont="1" applyAlignment="1">
      <alignment horizontal="left" vertical="center" wrapText="1"/>
    </xf>
    <xf numFmtId="0" fontId="19" fillId="0" borderId="0" xfId="0" applyFont="1" applyBorder="1" applyAlignment="1">
      <alignment horizontal="center"/>
    </xf>
    <xf numFmtId="0" fontId="22" fillId="0" borderId="0" xfId="0" applyFont="1" applyAlignment="1">
      <alignment horizontal="left"/>
    </xf>
    <xf numFmtId="0" fontId="23" fillId="0" borderId="0" xfId="0" applyFont="1" applyAlignment="1">
      <alignment horizontal="left" vertical="top"/>
    </xf>
    <xf numFmtId="0" fontId="22" fillId="0" borderId="0" xfId="0" applyFont="1" applyAlignment="1"/>
    <xf numFmtId="0" fontId="0" fillId="0" borderId="0" xfId="0" applyAlignment="1">
      <alignment horizontal="left"/>
    </xf>
    <xf numFmtId="0" fontId="15" fillId="0" borderId="0" xfId="0" applyFont="1" applyAlignment="1">
      <alignment horizontal="left"/>
    </xf>
    <xf numFmtId="0" fontId="24" fillId="0" borderId="0" xfId="0" applyFont="1" applyAlignment="1">
      <alignment horizontal="left" vertical="center" readingOrder="1"/>
    </xf>
    <xf numFmtId="0" fontId="25" fillId="0" borderId="0" xfId="0" applyFont="1" applyAlignment="1">
      <alignment horizontal="left" vertical="center" readingOrder="1"/>
    </xf>
    <xf numFmtId="0" fontId="18" fillId="0" borderId="0" xfId="0" applyFont="1"/>
    <xf numFmtId="0" fontId="15" fillId="5" borderId="0" xfId="0" applyFont="1" applyFill="1" applyBorder="1"/>
    <xf numFmtId="0" fontId="15" fillId="5" borderId="0" xfId="0" applyFont="1" applyFill="1" applyBorder="1" applyAlignment="1">
      <alignment horizontal="left"/>
    </xf>
    <xf numFmtId="166" fontId="15" fillId="5" borderId="0" xfId="1" applyNumberFormat="1" applyFont="1" applyFill="1" applyBorder="1" applyAlignment="1">
      <alignment horizontal="right"/>
    </xf>
    <xf numFmtId="0" fontId="15" fillId="5" borderId="0" xfId="0" applyFont="1" applyFill="1" applyBorder="1" applyAlignment="1">
      <alignment horizontal="right"/>
    </xf>
    <xf numFmtId="0" fontId="15" fillId="5" borderId="0" xfId="0" applyFont="1" applyFill="1" applyBorder="1" applyAlignment="1">
      <alignment horizontal="right" vertical="center"/>
    </xf>
    <xf numFmtId="166" fontId="15" fillId="5" borderId="0" xfId="1" applyNumberFormat="1" applyFont="1" applyFill="1" applyBorder="1" applyAlignment="1">
      <alignment horizontal="right" vertical="center"/>
    </xf>
    <xf numFmtId="164" fontId="15" fillId="5" borderId="0" xfId="0" applyNumberFormat="1" applyFont="1" applyFill="1" applyBorder="1" applyAlignment="1">
      <alignment horizontal="right" vertical="center"/>
    </xf>
    <xf numFmtId="165" fontId="15" fillId="5" borderId="0" xfId="0" applyNumberFormat="1" applyFont="1" applyFill="1" applyBorder="1" applyAlignment="1">
      <alignment horizontal="right" vertical="center"/>
    </xf>
    <xf numFmtId="165" fontId="15" fillId="5" borderId="0" xfId="1" applyNumberFormat="1" applyFont="1" applyFill="1" applyBorder="1" applyAlignment="1">
      <alignment horizontal="right" vertical="center"/>
    </xf>
    <xf numFmtId="167" fontId="15" fillId="5" borderId="0" xfId="1" applyNumberFormat="1" applyFont="1" applyFill="1" applyBorder="1" applyAlignment="1">
      <alignment horizontal="right" vertical="center"/>
    </xf>
    <xf numFmtId="167" fontId="15" fillId="5" borderId="0" xfId="0" applyNumberFormat="1" applyFont="1" applyFill="1" applyBorder="1" applyAlignment="1">
      <alignment horizontal="right" vertical="center"/>
    </xf>
    <xf numFmtId="3" fontId="15" fillId="5" borderId="0" xfId="1" applyNumberFormat="1" applyFont="1" applyFill="1" applyBorder="1" applyAlignment="1">
      <alignment horizontal="right" vertical="center"/>
    </xf>
    <xf numFmtId="166" fontId="15" fillId="5" borderId="0" xfId="0" applyNumberFormat="1" applyFont="1" applyFill="1" applyBorder="1" applyAlignment="1">
      <alignment horizontal="right" vertical="center"/>
    </xf>
    <xf numFmtId="164" fontId="15" fillId="5" borderId="0" xfId="4" applyNumberFormat="1" applyFont="1" applyFill="1" applyBorder="1" applyAlignment="1">
      <alignment horizontal="right" vertical="center"/>
    </xf>
    <xf numFmtId="3" fontId="15" fillId="3" borderId="0" xfId="1" applyNumberFormat="1" applyFont="1" applyFill="1" applyBorder="1" applyAlignment="1">
      <alignment horizontal="right" vertical="center"/>
    </xf>
    <xf numFmtId="0" fontId="17" fillId="5" borderId="0" xfId="0" applyFont="1" applyFill="1" applyBorder="1" applyAlignment="1">
      <alignment horizontal="right" vertical="center"/>
    </xf>
    <xf numFmtId="1" fontId="15" fillId="5" borderId="0" xfId="0" applyNumberFormat="1" applyFont="1" applyFill="1" applyBorder="1"/>
    <xf numFmtId="164" fontId="17" fillId="5" borderId="0" xfId="0" applyNumberFormat="1" applyFont="1" applyFill="1" applyBorder="1" applyAlignment="1">
      <alignment horizontal="right" vertical="center"/>
    </xf>
    <xf numFmtId="3" fontId="17" fillId="5" borderId="0" xfId="0" applyNumberFormat="1" applyFont="1" applyFill="1" applyBorder="1" applyAlignment="1">
      <alignment horizontal="right" vertical="center"/>
    </xf>
    <xf numFmtId="164" fontId="17" fillId="5" borderId="0" xfId="0" applyNumberFormat="1" applyFont="1" applyFill="1" applyBorder="1"/>
    <xf numFmtId="0" fontId="17" fillId="5" borderId="0" xfId="0" applyFont="1" applyFill="1" applyBorder="1"/>
    <xf numFmtId="3" fontId="17" fillId="5" borderId="0" xfId="0" applyNumberFormat="1" applyFont="1" applyFill="1" applyBorder="1"/>
    <xf numFmtId="167" fontId="17" fillId="5" borderId="0" xfId="0" applyNumberFormat="1" applyFont="1" applyFill="1" applyBorder="1"/>
    <xf numFmtId="167" fontId="15" fillId="5" borderId="0" xfId="0" applyNumberFormat="1" applyFont="1" applyFill="1" applyBorder="1"/>
    <xf numFmtId="3" fontId="17" fillId="5" borderId="0" xfId="0" quotePrefix="1" applyNumberFormat="1" applyFont="1" applyFill="1" applyBorder="1" applyAlignment="1">
      <alignment horizontal="right" vertical="center"/>
    </xf>
    <xf numFmtId="3" fontId="17" fillId="5" borderId="0" xfId="0" quotePrefix="1" applyNumberFormat="1" applyFont="1" applyFill="1" applyBorder="1"/>
    <xf numFmtId="164" fontId="15" fillId="5" borderId="0" xfId="0" applyNumberFormat="1" applyFont="1" applyFill="1" applyBorder="1"/>
    <xf numFmtId="3" fontId="15" fillId="5" borderId="0" xfId="0" applyNumberFormat="1" applyFont="1" applyFill="1" applyBorder="1" applyAlignment="1">
      <alignment horizontal="right" vertical="center"/>
    </xf>
    <xf numFmtId="168" fontId="15" fillId="5" borderId="0" xfId="0" applyNumberFormat="1" applyFont="1" applyFill="1" applyBorder="1" applyAlignment="1">
      <alignment horizontal="right" vertical="center"/>
    </xf>
    <xf numFmtId="165" fontId="15" fillId="5" borderId="0" xfId="0" applyNumberFormat="1" applyFont="1" applyFill="1" applyBorder="1"/>
    <xf numFmtId="3" fontId="15" fillId="5" borderId="0" xfId="0" applyNumberFormat="1" applyFont="1" applyFill="1" applyBorder="1"/>
    <xf numFmtId="166" fontId="15" fillId="5" borderId="0" xfId="0" applyNumberFormat="1" applyFont="1" applyFill="1" applyBorder="1"/>
    <xf numFmtId="166" fontId="15" fillId="5" borderId="0" xfId="1" applyNumberFormat="1" applyFont="1" applyFill="1" applyBorder="1"/>
    <xf numFmtId="0" fontId="15" fillId="6" borderId="0" xfId="0" applyFont="1" applyFill="1" applyBorder="1" applyAlignment="1">
      <alignment horizontal="left"/>
    </xf>
    <xf numFmtId="0" fontId="15" fillId="6" borderId="0" xfId="0" applyFont="1" applyFill="1" applyBorder="1"/>
    <xf numFmtId="0" fontId="15" fillId="4" borderId="0" xfId="0" applyFont="1" applyFill="1" applyBorder="1" applyAlignment="1">
      <alignment horizontal="left"/>
    </xf>
    <xf numFmtId="166" fontId="15" fillId="4" borderId="0" xfId="1" applyNumberFormat="1" applyFont="1" applyFill="1" applyBorder="1" applyAlignment="1">
      <alignment horizontal="right"/>
    </xf>
    <xf numFmtId="0" fontId="15" fillId="5" borderId="0" xfId="0" applyFont="1" applyFill="1" applyBorder="1" applyAlignment="1">
      <alignment horizontal="center" vertical="center"/>
    </xf>
    <xf numFmtId="0" fontId="26" fillId="5" borderId="0" xfId="0" applyFont="1" applyFill="1" applyBorder="1" applyAlignment="1">
      <alignment horizontal="left" vertical="top"/>
    </xf>
    <xf numFmtId="3" fontId="15" fillId="3" borderId="6" xfId="10" applyNumberFormat="1" applyFont="1" applyFill="1" applyBorder="1" applyAlignment="1">
      <alignment horizontal="center"/>
    </xf>
    <xf numFmtId="49" fontId="28" fillId="5" borderId="6" xfId="11" applyNumberFormat="1" applyFont="1" applyFill="1" applyBorder="1" applyAlignment="1">
      <alignment horizontal="left" vertical="top" wrapText="1"/>
    </xf>
    <xf numFmtId="3" fontId="0" fillId="0" borderId="0" xfId="0" applyNumberFormat="1" applyAlignment="1">
      <alignment horizontal="center"/>
    </xf>
    <xf numFmtId="3" fontId="17" fillId="5" borderId="0" xfId="0" quotePrefix="1" applyNumberFormat="1" applyFont="1" applyFill="1" applyBorder="1" applyAlignment="1">
      <alignment horizontal="center" vertical="center"/>
    </xf>
    <xf numFmtId="3" fontId="15" fillId="5" borderId="0" xfId="0" applyNumberFormat="1" applyFont="1" applyFill="1" applyBorder="1" applyAlignment="1">
      <alignment horizontal="center" vertical="center"/>
    </xf>
    <xf numFmtId="166" fontId="15" fillId="5" borderId="0" xfId="0" applyNumberFormat="1" applyFont="1" applyFill="1" applyBorder="1" applyAlignment="1">
      <alignment horizontal="center" vertical="center"/>
    </xf>
    <xf numFmtId="167" fontId="15" fillId="5" borderId="0" xfId="0" applyNumberFormat="1" applyFont="1" applyFill="1" applyBorder="1" applyAlignment="1">
      <alignment horizontal="center" vertical="center"/>
    </xf>
    <xf numFmtId="166" fontId="15" fillId="5" borderId="0" xfId="1" applyNumberFormat="1" applyFont="1" applyFill="1" applyBorder="1" applyAlignment="1">
      <alignment horizontal="center" vertical="center"/>
    </xf>
    <xf numFmtId="167" fontId="15" fillId="5" borderId="0" xfId="4" applyNumberFormat="1" applyFont="1" applyFill="1" applyBorder="1" applyAlignment="1">
      <alignment horizontal="right" vertical="center"/>
    </xf>
    <xf numFmtId="169" fontId="15" fillId="5" borderId="0" xfId="1" applyNumberFormat="1" applyFont="1" applyFill="1" applyBorder="1" applyAlignment="1">
      <alignment horizontal="right" vertical="center"/>
    </xf>
    <xf numFmtId="169" fontId="15" fillId="5" borderId="0" xfId="4" applyNumberFormat="1" applyFont="1" applyFill="1" applyBorder="1" applyAlignment="1">
      <alignment horizontal="right" vertical="center"/>
    </xf>
    <xf numFmtId="165" fontId="15" fillId="5" borderId="0" xfId="1" applyNumberFormat="1" applyFont="1" applyFill="1" applyBorder="1" applyAlignment="1">
      <alignment horizontal="center" vertical="center"/>
    </xf>
    <xf numFmtId="165" fontId="15" fillId="5" borderId="0" xfId="0" applyNumberFormat="1" applyFont="1" applyFill="1" applyBorder="1" applyAlignment="1">
      <alignment horizontal="center" vertical="center"/>
    </xf>
    <xf numFmtId="165" fontId="17" fillId="5" borderId="0" xfId="0" applyNumberFormat="1" applyFont="1" applyFill="1" applyBorder="1" applyAlignment="1">
      <alignment horizontal="right" vertical="center"/>
    </xf>
    <xf numFmtId="165" fontId="17" fillId="5" borderId="0" xfId="0" applyNumberFormat="1" applyFont="1" applyFill="1" applyBorder="1" applyAlignment="1">
      <alignment horizontal="center" vertical="center"/>
    </xf>
    <xf numFmtId="165" fontId="15" fillId="5" borderId="0" xfId="1" applyNumberFormat="1" applyFont="1" applyFill="1" applyBorder="1" applyAlignment="1">
      <alignment horizontal="right"/>
    </xf>
    <xf numFmtId="165" fontId="17" fillId="5" borderId="0" xfId="0" applyNumberFormat="1" applyFont="1" applyFill="1" applyBorder="1"/>
    <xf numFmtId="0" fontId="30" fillId="0" borderId="0" xfId="12"/>
    <xf numFmtId="0" fontId="19" fillId="0" borderId="0" xfId="0" applyFont="1"/>
    <xf numFmtId="0" fontId="19" fillId="0" borderId="1" xfId="0" applyFont="1" applyBorder="1"/>
    <xf numFmtId="0" fontId="19" fillId="0" borderId="0" xfId="0" applyFont="1" applyAlignment="1">
      <alignment horizontal="center"/>
    </xf>
    <xf numFmtId="0" fontId="19" fillId="0" borderId="1" xfId="0" applyFont="1" applyBorder="1" applyAlignment="1">
      <alignment horizontal="center"/>
    </xf>
    <xf numFmtId="0" fontId="19" fillId="0" borderId="1" xfId="0" applyFont="1" applyBorder="1" applyAlignment="1">
      <alignment horizontal="center" wrapText="1"/>
    </xf>
    <xf numFmtId="3" fontId="28" fillId="0" borderId="0" xfId="1" applyNumberFormat="1" applyFont="1" applyAlignment="1">
      <alignment horizontal="center"/>
    </xf>
    <xf numFmtId="3" fontId="19" fillId="0" borderId="0" xfId="0" applyNumberFormat="1" applyFont="1" applyAlignment="1">
      <alignment horizontal="center"/>
    </xf>
    <xf numFmtId="3" fontId="28" fillId="0" borderId="0" xfId="0" applyNumberFormat="1" applyFont="1" applyAlignment="1">
      <alignment horizontal="center"/>
    </xf>
    <xf numFmtId="3" fontId="28" fillId="0" borderId="1" xfId="1" applyNumberFormat="1" applyFont="1" applyBorder="1" applyAlignment="1">
      <alignment horizontal="center"/>
    </xf>
    <xf numFmtId="3" fontId="28" fillId="0" borderId="1" xfId="0" applyNumberFormat="1" applyFont="1" applyBorder="1" applyAlignment="1">
      <alignment horizontal="center"/>
    </xf>
    <xf numFmtId="0" fontId="28" fillId="0" borderId="0" xfId="0" applyFont="1" applyAlignment="1">
      <alignment horizontal="center"/>
    </xf>
    <xf numFmtId="167" fontId="19" fillId="0" borderId="0" xfId="0" applyNumberFormat="1" applyFont="1" applyAlignment="1">
      <alignment horizontal="center"/>
    </xf>
    <xf numFmtId="164" fontId="28" fillId="0" borderId="0" xfId="0" applyNumberFormat="1" applyFont="1" applyAlignment="1">
      <alignment horizontal="center"/>
    </xf>
    <xf numFmtId="164" fontId="28" fillId="0" borderId="1" xfId="0" applyNumberFormat="1" applyFont="1" applyBorder="1" applyAlignment="1">
      <alignment horizontal="center"/>
    </xf>
    <xf numFmtId="0" fontId="19" fillId="0" borderId="0" xfId="0" applyFont="1" applyBorder="1"/>
    <xf numFmtId="167" fontId="19" fillId="0" borderId="0" xfId="0" applyNumberFormat="1" applyFont="1" applyBorder="1" applyAlignment="1">
      <alignment horizontal="center"/>
    </xf>
    <xf numFmtId="164" fontId="19" fillId="0" borderId="0" xfId="0" applyNumberFormat="1" applyFont="1" applyAlignment="1">
      <alignment horizontal="center"/>
    </xf>
    <xf numFmtId="3" fontId="19" fillId="0" borderId="0" xfId="0" applyNumberFormat="1" applyFont="1" applyBorder="1" applyAlignment="1">
      <alignment horizontal="center"/>
    </xf>
    <xf numFmtId="167" fontId="28" fillId="0" borderId="0" xfId="0" applyNumberFormat="1" applyFont="1" applyBorder="1" applyAlignment="1">
      <alignment horizontal="center"/>
    </xf>
    <xf numFmtId="3" fontId="28" fillId="0" borderId="0" xfId="0" applyNumberFormat="1" applyFont="1" applyBorder="1" applyAlignment="1">
      <alignment horizontal="center"/>
    </xf>
    <xf numFmtId="167" fontId="28" fillId="0" borderId="1" xfId="0" applyNumberFormat="1" applyFont="1" applyBorder="1" applyAlignment="1">
      <alignment horizontal="center"/>
    </xf>
    <xf numFmtId="0" fontId="28" fillId="0" borderId="1" xfId="0" applyFont="1" applyBorder="1" applyAlignment="1">
      <alignment horizontal="center"/>
    </xf>
    <xf numFmtId="169" fontId="28" fillId="0" borderId="0" xfId="1" applyNumberFormat="1" applyFont="1" applyBorder="1" applyAlignment="1">
      <alignment horizontal="center"/>
    </xf>
    <xf numFmtId="169" fontId="28" fillId="0" borderId="0" xfId="1" applyNumberFormat="1" applyFont="1" applyAlignment="1">
      <alignment horizontal="center"/>
    </xf>
    <xf numFmtId="3" fontId="28" fillId="0" borderId="0" xfId="1" applyNumberFormat="1" applyFont="1" applyBorder="1" applyAlignment="1">
      <alignment horizontal="center"/>
    </xf>
    <xf numFmtId="169" fontId="28" fillId="0" borderId="1" xfId="1" applyNumberFormat="1" applyFont="1" applyBorder="1" applyAlignment="1">
      <alignment horizontal="center"/>
    </xf>
    <xf numFmtId="164" fontId="28" fillId="0" borderId="0" xfId="1" applyNumberFormat="1" applyFont="1" applyAlignment="1">
      <alignment horizontal="center"/>
    </xf>
    <xf numFmtId="164" fontId="19" fillId="0" borderId="0" xfId="0" applyNumberFormat="1" applyFont="1" applyBorder="1" applyAlignment="1">
      <alignment horizontal="center"/>
    </xf>
    <xf numFmtId="164" fontId="28" fillId="0" borderId="1" xfId="1" applyNumberFormat="1" applyFont="1" applyBorder="1" applyAlignment="1">
      <alignment horizontal="center"/>
    </xf>
    <xf numFmtId="0" fontId="28" fillId="0" borderId="0" xfId="0" applyFont="1"/>
    <xf numFmtId="164" fontId="28" fillId="0" borderId="0" xfId="0" applyNumberFormat="1" applyFont="1" applyBorder="1" applyAlignment="1">
      <alignment horizontal="center"/>
    </xf>
    <xf numFmtId="167" fontId="28" fillId="0" borderId="0" xfId="1" applyNumberFormat="1" applyFont="1" applyAlignment="1">
      <alignment horizontal="center"/>
    </xf>
    <xf numFmtId="3" fontId="19" fillId="0" borderId="1" xfId="0" applyNumberFormat="1" applyFont="1" applyBorder="1" applyAlignment="1">
      <alignment horizontal="center"/>
    </xf>
    <xf numFmtId="167" fontId="28" fillId="0" borderId="1" xfId="1" applyNumberFormat="1" applyFont="1" applyBorder="1" applyAlignment="1">
      <alignment horizontal="center"/>
    </xf>
    <xf numFmtId="167" fontId="28" fillId="0" borderId="0" xfId="0" applyNumberFormat="1" applyFont="1" applyAlignment="1">
      <alignment horizontal="center"/>
    </xf>
    <xf numFmtId="0" fontId="19" fillId="0" borderId="1" xfId="0" applyFont="1" applyFill="1" applyBorder="1" applyAlignment="1">
      <alignment horizontal="center"/>
    </xf>
    <xf numFmtId="167" fontId="19" fillId="0" borderId="0" xfId="0" applyNumberFormat="1" applyFont="1" applyFill="1" applyBorder="1" applyAlignment="1">
      <alignment horizontal="center"/>
    </xf>
    <xf numFmtId="164" fontId="28" fillId="0" borderId="0" xfId="0" applyNumberFormat="1" applyFont="1" applyFill="1" applyBorder="1" applyAlignment="1">
      <alignment horizontal="center"/>
    </xf>
    <xf numFmtId="164" fontId="28" fillId="0" borderId="0" xfId="0" applyNumberFormat="1" applyFont="1" applyFill="1" applyAlignment="1">
      <alignment horizontal="center"/>
    </xf>
    <xf numFmtId="164" fontId="28" fillId="0" borderId="1" xfId="0" applyNumberFormat="1" applyFont="1" applyFill="1" applyBorder="1" applyAlignment="1">
      <alignment horizontal="center"/>
    </xf>
    <xf numFmtId="0" fontId="31" fillId="0" borderId="0" xfId="0" applyFont="1" applyBorder="1" applyAlignment="1"/>
    <xf numFmtId="0" fontId="19" fillId="5" borderId="2" xfId="0" applyFont="1" applyFill="1" applyBorder="1" applyAlignment="1">
      <alignment horizontal="right" vertical="center"/>
    </xf>
    <xf numFmtId="0" fontId="31" fillId="0" borderId="0" xfId="0" applyFont="1" applyBorder="1" applyAlignment="1">
      <alignment wrapText="1"/>
    </xf>
    <xf numFmtId="0" fontId="28" fillId="0" borderId="0" xfId="0" applyFont="1" applyBorder="1" applyAlignment="1">
      <alignment horizontal="center"/>
    </xf>
    <xf numFmtId="0" fontId="19" fillId="0" borderId="2" xfId="0" applyFont="1" applyBorder="1" applyAlignment="1">
      <alignment horizontal="center"/>
    </xf>
    <xf numFmtId="0" fontId="19" fillId="0" borderId="2" xfId="0" applyFont="1" applyBorder="1" applyAlignment="1">
      <alignment horizontal="center" wrapText="1"/>
    </xf>
    <xf numFmtId="0" fontId="19" fillId="5" borderId="2" xfId="0" applyFont="1" applyFill="1" applyBorder="1" applyAlignment="1">
      <alignment horizontal="right"/>
    </xf>
    <xf numFmtId="166" fontId="28" fillId="0" borderId="0" xfId="1" applyNumberFormat="1" applyFont="1" applyAlignment="1">
      <alignment horizontal="center"/>
    </xf>
    <xf numFmtId="166" fontId="28" fillId="0" borderId="0" xfId="0" applyNumberFormat="1" applyFont="1" applyAlignment="1">
      <alignment horizontal="center"/>
    </xf>
    <xf numFmtId="167" fontId="28" fillId="0" borderId="3" xfId="0" applyNumberFormat="1" applyFont="1" applyBorder="1" applyAlignment="1">
      <alignment horizontal="center"/>
    </xf>
    <xf numFmtId="167" fontId="19" fillId="0" borderId="1" xfId="0" applyNumberFormat="1" applyFont="1" applyBorder="1" applyAlignment="1">
      <alignment horizontal="center"/>
    </xf>
    <xf numFmtId="165" fontId="19" fillId="0" borderId="0" xfId="0" applyNumberFormat="1" applyFont="1" applyAlignment="1">
      <alignment horizontal="center"/>
    </xf>
    <xf numFmtId="0" fontId="33" fillId="0" borderId="0" xfId="6" applyFont="1" applyAlignment="1" applyProtection="1"/>
    <xf numFmtId="0" fontId="15" fillId="0" borderId="0" xfId="0" applyFont="1" applyBorder="1" applyAlignment="1">
      <alignment vertical="center"/>
    </xf>
    <xf numFmtId="0" fontId="15" fillId="5" borderId="0" xfId="0" applyFont="1" applyFill="1" applyBorder="1" applyAlignment="1">
      <alignment horizontal="center" vertical="center"/>
    </xf>
    <xf numFmtId="3" fontId="34" fillId="0" borderId="6" xfId="21" applyNumberFormat="1" applyFont="1" applyFill="1" applyBorder="1" applyAlignment="1">
      <alignment horizontal="center"/>
    </xf>
    <xf numFmtId="3" fontId="15" fillId="0" borderId="7" xfId="21" applyNumberFormat="1" applyFont="1" applyFill="1" applyBorder="1" applyAlignment="1">
      <alignment horizontal="center"/>
    </xf>
    <xf numFmtId="3" fontId="15" fillId="0" borderId="6" xfId="21" applyNumberFormat="1" applyFont="1" applyFill="1" applyBorder="1" applyAlignment="1">
      <alignment horizontal="center"/>
    </xf>
    <xf numFmtId="49" fontId="28" fillId="7" borderId="6" xfId="11" applyNumberFormat="1" applyFont="1" applyFill="1" applyBorder="1" applyAlignment="1">
      <alignment horizontal="left" vertical="top" wrapText="1"/>
    </xf>
    <xf numFmtId="0" fontId="26" fillId="7" borderId="0" xfId="0" applyFont="1" applyFill="1" applyBorder="1" applyAlignment="1">
      <alignment horizontal="left" vertical="top"/>
    </xf>
    <xf numFmtId="3" fontId="15" fillId="7" borderId="6" xfId="10" applyNumberFormat="1" applyFont="1" applyFill="1" applyBorder="1" applyAlignment="1">
      <alignment horizontal="center"/>
    </xf>
    <xf numFmtId="3" fontId="15" fillId="7" borderId="6" xfId="21" applyNumberFormat="1" applyFont="1" applyFill="1" applyBorder="1" applyAlignment="1">
      <alignment horizontal="center"/>
    </xf>
    <xf numFmtId="165" fontId="15" fillId="7" borderId="0" xfId="1" applyNumberFormat="1" applyFont="1" applyFill="1" applyBorder="1" applyAlignment="1">
      <alignment horizontal="right" vertical="center"/>
    </xf>
    <xf numFmtId="165" fontId="15" fillId="7" borderId="0" xfId="0" applyNumberFormat="1" applyFont="1" applyFill="1" applyBorder="1" applyAlignment="1">
      <alignment horizontal="center" vertical="center"/>
    </xf>
    <xf numFmtId="164" fontId="15" fillId="7" borderId="0" xfId="0" applyNumberFormat="1" applyFont="1" applyFill="1" applyBorder="1" applyAlignment="1">
      <alignment horizontal="right"/>
    </xf>
    <xf numFmtId="165" fontId="17" fillId="7" borderId="0" xfId="0" applyNumberFormat="1" applyFont="1" applyFill="1" applyBorder="1" applyAlignment="1">
      <alignment horizontal="right" vertical="center"/>
    </xf>
    <xf numFmtId="165" fontId="15" fillId="7" borderId="0" xfId="0" applyNumberFormat="1" applyFont="1" applyFill="1" applyBorder="1" applyAlignment="1">
      <alignment horizontal="right" vertical="center"/>
    </xf>
    <xf numFmtId="3" fontId="15" fillId="7" borderId="0" xfId="1" applyNumberFormat="1" applyFont="1" applyFill="1" applyBorder="1" applyAlignment="1">
      <alignment horizontal="right" vertical="center"/>
    </xf>
    <xf numFmtId="167" fontId="15" fillId="7" borderId="0" xfId="4" applyNumberFormat="1" applyFont="1" applyFill="1" applyBorder="1" applyAlignment="1">
      <alignment horizontal="right" vertical="center"/>
    </xf>
    <xf numFmtId="167" fontId="15" fillId="7" borderId="0" xfId="0" applyNumberFormat="1" applyFont="1" applyFill="1" applyBorder="1" applyAlignment="1">
      <alignment horizontal="right" vertical="center"/>
    </xf>
    <xf numFmtId="164" fontId="15" fillId="7" borderId="0" xfId="0" applyNumberFormat="1" applyFont="1" applyFill="1" applyBorder="1" applyAlignment="1">
      <alignment horizontal="right" vertical="center"/>
    </xf>
    <xf numFmtId="165" fontId="17" fillId="7" borderId="0" xfId="0" applyNumberFormat="1" applyFont="1" applyFill="1" applyBorder="1" applyAlignment="1">
      <alignment horizontal="center" vertical="center"/>
    </xf>
    <xf numFmtId="164" fontId="15" fillId="7" borderId="0" xfId="4" applyNumberFormat="1" applyFont="1" applyFill="1" applyBorder="1" applyAlignment="1">
      <alignment horizontal="right" vertical="center"/>
    </xf>
    <xf numFmtId="3" fontId="17" fillId="7" borderId="0" xfId="0" applyNumberFormat="1" applyFont="1" applyFill="1" applyBorder="1" applyAlignment="1">
      <alignment horizontal="right" vertical="center"/>
    </xf>
    <xf numFmtId="164" fontId="17" fillId="7" borderId="0" xfId="0" applyNumberFormat="1" applyFont="1" applyFill="1" applyBorder="1" applyAlignment="1">
      <alignment horizontal="right" vertical="center"/>
    </xf>
    <xf numFmtId="0" fontId="17" fillId="7" borderId="0" xfId="0" applyFont="1" applyFill="1" applyBorder="1" applyAlignment="1">
      <alignment horizontal="right" vertical="center"/>
    </xf>
    <xf numFmtId="167" fontId="15" fillId="7" borderId="0" xfId="0" applyNumberFormat="1" applyFont="1" applyFill="1" applyBorder="1"/>
    <xf numFmtId="0" fontId="17" fillId="7" borderId="0" xfId="0" applyFont="1" applyFill="1" applyBorder="1"/>
    <xf numFmtId="165" fontId="15" fillId="7" borderId="0" xfId="0" applyNumberFormat="1" applyFont="1" applyFill="1" applyBorder="1"/>
    <xf numFmtId="165" fontId="17" fillId="7" borderId="0" xfId="0" applyNumberFormat="1" applyFont="1" applyFill="1" applyBorder="1"/>
    <xf numFmtId="3" fontId="17" fillId="7" borderId="0" xfId="0" applyNumberFormat="1" applyFont="1" applyFill="1" applyBorder="1"/>
    <xf numFmtId="167" fontId="17" fillId="7" borderId="0" xfId="0" applyNumberFormat="1" applyFont="1" applyFill="1" applyBorder="1"/>
    <xf numFmtId="164" fontId="17" fillId="7" borderId="0" xfId="0" applyNumberFormat="1" applyFont="1" applyFill="1" applyBorder="1"/>
    <xf numFmtId="166" fontId="15" fillId="7" borderId="0" xfId="1" applyNumberFormat="1" applyFont="1" applyFill="1" applyBorder="1" applyAlignment="1">
      <alignment horizontal="right"/>
    </xf>
    <xf numFmtId="0" fontId="15" fillId="7" borderId="0" xfId="0" applyFont="1" applyFill="1" applyBorder="1"/>
    <xf numFmtId="164" fontId="19" fillId="0" borderId="0" xfId="0" applyNumberFormat="1" applyFont="1" applyFill="1" applyBorder="1" applyAlignment="1">
      <alignment horizontal="center"/>
    </xf>
    <xf numFmtId="0" fontId="15" fillId="4" borderId="0" xfId="0" applyFont="1" applyFill="1" applyBorder="1" applyAlignment="1">
      <alignment horizontal="left"/>
    </xf>
    <xf numFmtId="0" fontId="15" fillId="6" borderId="0" xfId="0" applyFont="1" applyFill="1" applyBorder="1" applyAlignment="1">
      <alignment horizontal="center" vertical="center"/>
    </xf>
    <xf numFmtId="0" fontId="15" fillId="5" borderId="0" xfId="0" applyFont="1" applyFill="1" applyBorder="1" applyAlignment="1">
      <alignment horizontal="center" vertical="center"/>
    </xf>
    <xf numFmtId="0" fontId="15" fillId="5" borderId="0"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5" fillId="5" borderId="0" xfId="0" applyFont="1" applyFill="1" applyBorder="1" applyAlignment="1">
      <alignment horizontal="center"/>
    </xf>
    <xf numFmtId="0" fontId="15" fillId="3" borderId="0" xfId="0" applyFont="1" applyFill="1" applyBorder="1" applyAlignment="1">
      <alignment horizontal="center" vertical="center"/>
    </xf>
    <xf numFmtId="0" fontId="2" fillId="0" borderId="0" xfId="6" applyAlignment="1" applyProtection="1">
      <alignment horizontal="center"/>
    </xf>
    <xf numFmtId="0" fontId="2" fillId="0" borderId="0" xfId="6" applyFont="1" applyAlignment="1" applyProtection="1">
      <alignment horizontal="center"/>
    </xf>
    <xf numFmtId="0" fontId="13" fillId="0" borderId="0" xfId="0" applyFont="1" applyAlignment="1">
      <alignment horizontal="left" vertical="top" wrapText="1"/>
    </xf>
    <xf numFmtId="0" fontId="7" fillId="0" borderId="0" xfId="0" applyFont="1" applyAlignment="1">
      <alignment horizontal="left" vertical="top" wrapText="1"/>
    </xf>
    <xf numFmtId="49" fontId="8" fillId="0" borderId="0" xfId="0" applyNumberFormat="1" applyFont="1" applyAlignment="1">
      <alignment horizontal="center"/>
    </xf>
    <xf numFmtId="0" fontId="8" fillId="0" borderId="0" xfId="0" applyFont="1" applyAlignment="1">
      <alignment horizontal="center"/>
    </xf>
    <xf numFmtId="0" fontId="10" fillId="0" borderId="0" xfId="0" applyFont="1" applyBorder="1" applyAlignment="1">
      <alignment vertical="top" wrapText="1"/>
    </xf>
    <xf numFmtId="0" fontId="31" fillId="0" borderId="0" xfId="0" applyFont="1" applyBorder="1" applyAlignment="1">
      <alignment horizontal="center" wrapText="1"/>
    </xf>
    <xf numFmtId="0" fontId="31" fillId="0" borderId="0" xfId="0" applyFont="1" applyBorder="1" applyAlignment="1">
      <alignment horizontal="center"/>
    </xf>
    <xf numFmtId="0" fontId="31" fillId="0" borderId="1" xfId="0" applyFont="1" applyBorder="1" applyAlignment="1">
      <alignment horizontal="center"/>
    </xf>
    <xf numFmtId="0" fontId="31" fillId="0" borderId="1" xfId="0" applyFont="1" applyBorder="1" applyAlignment="1">
      <alignment horizontal="center" wrapText="1"/>
    </xf>
    <xf numFmtId="0" fontId="31" fillId="4" borderId="0" xfId="0" applyFont="1" applyFill="1" applyAlignment="1">
      <alignment horizontal="center"/>
    </xf>
    <xf numFmtId="0" fontId="31" fillId="4" borderId="0" xfId="0" applyFont="1" applyFill="1" applyBorder="1" applyAlignment="1">
      <alignment horizontal="center"/>
    </xf>
    <xf numFmtId="0" fontId="21" fillId="0" borderId="0" xfId="0" applyFont="1" applyBorder="1" applyAlignment="1">
      <alignment horizontal="left" vertical="center" wrapText="1"/>
    </xf>
    <xf numFmtId="0" fontId="20" fillId="0" borderId="0" xfId="0" applyFont="1" applyBorder="1" applyAlignment="1">
      <alignment horizontal="left" vertical="center" wrapText="1"/>
    </xf>
    <xf numFmtId="0" fontId="20" fillId="0" borderId="1" xfId="0" applyFont="1" applyBorder="1" applyAlignment="1">
      <alignment horizontal="left" vertical="center" wrapText="1"/>
    </xf>
    <xf numFmtId="0" fontId="18" fillId="2" borderId="4" xfId="0" applyFont="1" applyFill="1" applyBorder="1" applyAlignment="1">
      <alignment horizontal="left"/>
    </xf>
    <xf numFmtId="0" fontId="0" fillId="0" borderId="2" xfId="0" applyBorder="1" applyAlignment="1">
      <alignment horizontal="left"/>
    </xf>
    <xf numFmtId="0" fontId="0" fillId="0" borderId="5" xfId="0" applyBorder="1" applyAlignment="1">
      <alignment horizontal="left"/>
    </xf>
    <xf numFmtId="0" fontId="18" fillId="2" borderId="2" xfId="0" applyFont="1" applyFill="1" applyBorder="1" applyAlignment="1">
      <alignment horizontal="left"/>
    </xf>
    <xf numFmtId="0" fontId="18" fillId="2" borderId="5" xfId="0" applyFont="1" applyFill="1" applyBorder="1" applyAlignment="1">
      <alignment horizontal="left"/>
    </xf>
    <xf numFmtId="0" fontId="35" fillId="0" borderId="0" xfId="0" applyFont="1" applyAlignment="1">
      <alignment horizontal="left"/>
    </xf>
    <xf numFmtId="0" fontId="35" fillId="0" borderId="0" xfId="0" applyFont="1"/>
    <xf numFmtId="0" fontId="36" fillId="0" borderId="0" xfId="0" applyFont="1"/>
    <xf numFmtId="167" fontId="35" fillId="0" borderId="0" xfId="0" applyNumberFormat="1" applyFont="1" applyBorder="1" applyAlignment="1"/>
  </cellXfs>
  <cellStyles count="22">
    <cellStyle name="Comma" xfId="1" builtinId="3"/>
    <cellStyle name="Comma 2" xfId="2"/>
    <cellStyle name="Comma 2 2" xfId="15"/>
    <cellStyle name="Comma 3" xfId="3"/>
    <cellStyle name="Comma 3 2" xfId="16"/>
    <cellStyle name="Comma 4" xfId="14"/>
    <cellStyle name="Currency" xfId="4" builtinId="4"/>
    <cellStyle name="Currency 2" xfId="5"/>
    <cellStyle name="Currency 2 2" xfId="18"/>
    <cellStyle name="Currency 3" xfId="17"/>
    <cellStyle name="Hyperlink" xfId="6" builtinId="8"/>
    <cellStyle name="Hyperlink 2" xfId="7"/>
    <cellStyle name="Hyperlink 3" xfId="19"/>
    <cellStyle name="Normal" xfId="0" builtinId="0"/>
    <cellStyle name="Normal 2" xfId="8"/>
    <cellStyle name="Normal 2 2" xfId="20"/>
    <cellStyle name="Normal 3" xfId="9"/>
    <cellStyle name="Normal 4" xfId="13"/>
    <cellStyle name="Normal 5" xfId="12"/>
    <cellStyle name="Normal_ademog07" xfId="10"/>
    <cellStyle name="Normal_MedAsst" xfId="11"/>
    <cellStyle name="Normal_race"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wmf"/></Relationships>
</file>

<file path=xl/drawings/drawing1.xml><?xml version="1.0" encoding="utf-8"?>
<xdr:wsDr xmlns:xdr="http://schemas.openxmlformats.org/drawingml/2006/spreadsheetDrawing" xmlns:a="http://schemas.openxmlformats.org/drawingml/2006/main">
  <xdr:twoCellAnchor editAs="oneCell">
    <xdr:from>
      <xdr:col>73</xdr:col>
      <xdr:colOff>352425</xdr:colOff>
      <xdr:row>118</xdr:row>
      <xdr:rowOff>28575</xdr:rowOff>
    </xdr:from>
    <xdr:to>
      <xdr:col>77</xdr:col>
      <xdr:colOff>916080</xdr:colOff>
      <xdr:row>160</xdr:row>
      <xdr:rowOff>47625</xdr:rowOff>
    </xdr:to>
    <xdr:sp macro="" textlink="">
      <xdr:nvSpPr>
        <xdr:cNvPr id="1025" name="Text Box 1"/>
        <xdr:cNvSpPr txBox="1">
          <a:spLocks noChangeArrowheads="1"/>
        </xdr:cNvSpPr>
      </xdr:nvSpPr>
      <xdr:spPr bwMode="auto">
        <a:xfrm>
          <a:off x="42672000" y="21145500"/>
          <a:ext cx="4400550" cy="68199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Times New Roman"/>
              <a:cs typeface="Times New Roman"/>
            </a:rPr>
            <a:t>#6  K12 Enrollment:</a:t>
          </a:r>
        </a:p>
        <a:p>
          <a:pPr algn="l" rtl="0">
            <a:defRPr sz="1000"/>
          </a:pPr>
          <a:r>
            <a:rPr lang="en-US" sz="1000" b="0" i="0" u="none" strike="noStrike" baseline="0">
              <a:solidFill>
                <a:srgbClr val="000000"/>
              </a:solidFill>
              <a:latin typeface="Times New Roman"/>
              <a:cs typeface="Times New Roman"/>
            </a:rPr>
            <a:t>Included in these counts are students who were enrolled over October 1 of the school year. Only grade Kindergarten through grade 12 are included in the counts. </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Excluded from the counts are shared-time students, adult students, and students attending in other states or nonpublic schools for care and treatment purposes. (In the MARSS reporting system, these are students with State Aid Categories of 14, 16, 17, 18, 24, 25, 28, 98). Dual enrolled students are counted only once, usually at the regular school of enrollment.</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#11 PK12 Enrollment:</a:t>
          </a:r>
        </a:p>
        <a:p>
          <a:pPr algn="l" rtl="0">
            <a:defRPr sz="1000"/>
          </a:pPr>
          <a:r>
            <a:rPr lang="en-US" sz="1000" b="0" i="0" u="none" strike="noStrike" baseline="0">
              <a:solidFill>
                <a:srgbClr val="000000"/>
              </a:solidFill>
              <a:latin typeface="Times New Roman"/>
              <a:cs typeface="Times New Roman"/>
            </a:rPr>
            <a:t>Included in these counts are students who were enrolled over October 1 of the school year. Grade Pre-kindergarten through grade 12 are included in the counts.</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Excluded from the counts are shared-time students, adult students, and students attending in other states or nonpublic schools for care and treatment purposes. (In the MARSS reporting system, these are students with State Aid Categories of 14, 16, 17, 18, 24, 25,</a:t>
          </a:r>
        </a:p>
        <a:p>
          <a:pPr algn="l" rtl="0">
            <a:defRPr sz="1000"/>
          </a:pPr>
          <a:r>
            <a:rPr lang="en-US" sz="1000" b="0" i="0" u="none" strike="noStrike" baseline="0">
              <a:solidFill>
                <a:srgbClr val="000000"/>
              </a:solidFill>
              <a:latin typeface="Times New Roman"/>
              <a:cs typeface="Times New Roman"/>
            </a:rPr>
            <a:t> 28, 98). Dual enrolled students are counted only once, usually at the regular school of enrollment.</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#12 PK12 Free Meal Eligible</a:t>
          </a:r>
        </a:p>
        <a:p>
          <a:pPr algn="l" rtl="0">
            <a:defRPr sz="1000"/>
          </a:pPr>
          <a:r>
            <a:rPr lang="en-US" sz="1000" b="0" i="0" u="none" strike="noStrike" baseline="0">
              <a:solidFill>
                <a:srgbClr val="000000"/>
              </a:solidFill>
              <a:latin typeface="Times New Roman"/>
              <a:cs typeface="Times New Roman"/>
            </a:rPr>
            <a:t>The number of Grade PK12 students eligible to participate in the Free Lunch Program enrolled over October 1 of the school year.</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#13 PK12 Reduced Priced Meal Eligible</a:t>
          </a:r>
        </a:p>
        <a:p>
          <a:pPr algn="l" rtl="0">
            <a:defRPr sz="1000"/>
          </a:pPr>
          <a:r>
            <a:rPr lang="en-US" sz="1000" b="0" i="0" u="none" strike="noStrike" baseline="0">
              <a:solidFill>
                <a:srgbClr val="000000"/>
              </a:solidFill>
              <a:latin typeface="Times New Roman"/>
              <a:cs typeface="Times New Roman"/>
            </a:rPr>
            <a:t>The number of Grade PK12 students eligible to participate in the Reduced Priced Lunch Program enrolled over October 1 of the school year.</a:t>
          </a:r>
        </a:p>
        <a:p>
          <a:pPr algn="l" rtl="0">
            <a:defRPr sz="1000"/>
          </a:pPr>
          <a:r>
            <a:rPr lang="en-US" sz="1000" b="0" i="0" u="none" strike="noStrike" baseline="0">
              <a:solidFill>
                <a:srgbClr val="000000"/>
              </a:solidFill>
              <a:latin typeface="Times New Roman"/>
              <a:cs typeface="Times New Roman"/>
            </a:rPr>
            <a:t> </a:t>
          </a:r>
        </a:p>
        <a:p>
          <a:pPr algn="l" rtl="0">
            <a:defRPr sz="1000"/>
          </a:pPr>
          <a:r>
            <a:rPr lang="en-US" sz="1000" b="0" i="0" u="none" strike="noStrike" baseline="0">
              <a:solidFill>
                <a:srgbClr val="000000"/>
              </a:solidFill>
              <a:latin typeface="Times New Roman"/>
              <a:cs typeface="Times New Roman"/>
            </a:rPr>
            <a:t>#14 PK12 Limited English Proficient</a:t>
          </a:r>
        </a:p>
        <a:p>
          <a:pPr algn="l" rtl="0">
            <a:defRPr sz="1000"/>
          </a:pPr>
          <a:r>
            <a:rPr lang="en-US" sz="1000" b="0" i="0" u="none" strike="noStrike" baseline="0">
              <a:solidFill>
                <a:srgbClr val="000000"/>
              </a:solidFill>
              <a:latin typeface="Times New Roman"/>
              <a:cs typeface="Times New Roman"/>
            </a:rPr>
            <a:t>The number of Grade PK12 students participating in a Limited English Proficient program enrolled over October 1 of the school year.</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#15 PK12 Special Education</a:t>
          </a:r>
        </a:p>
        <a:p>
          <a:pPr algn="l" rtl="0">
            <a:defRPr sz="1000"/>
          </a:pPr>
          <a:r>
            <a:rPr lang="en-US" sz="1000" b="0" i="0" u="none" strike="noStrike" baseline="0">
              <a:solidFill>
                <a:srgbClr val="000000"/>
              </a:solidFill>
              <a:latin typeface="Times New Roman"/>
              <a:cs typeface="Times New Roman"/>
            </a:rPr>
            <a:t>The number of Grade PK12 students participating in a Special Education program enrolled over October 1 of the school year.</a:t>
          </a:r>
        </a:p>
        <a:p>
          <a:pPr algn="l" rtl="0">
            <a:defRPr sz="1000"/>
          </a:pPr>
          <a:endParaRPr lang="en-US" sz="1000" b="0" i="0" u="none" strike="noStrike" baseline="0">
            <a:solidFill>
              <a:srgbClr val="000000"/>
            </a:solidFill>
            <a:latin typeface="Times New Roman"/>
            <a:cs typeface="Times New Roman"/>
          </a:endParaRPr>
        </a:p>
        <a:p>
          <a:pPr algn="l" rtl="0">
            <a:defRPr sz="1000"/>
          </a:pPr>
          <a:endParaRPr lang="en-US" sz="1000" b="0" i="0" u="none" strike="noStrike" baseline="0">
            <a:solidFill>
              <a:srgbClr val="000000"/>
            </a:solidFill>
            <a:latin typeface="Times New Roman"/>
            <a:cs typeface="Times New Roman"/>
          </a:endParaRPr>
        </a:p>
      </xdr:txBody>
    </xdr:sp>
    <xdr:clientData/>
  </xdr:twoCellAnchor>
  <xdr:oneCellAnchor>
    <xdr:from>
      <xdr:col>0</xdr:col>
      <xdr:colOff>1</xdr:colOff>
      <xdr:row>4</xdr:row>
      <xdr:rowOff>89647</xdr:rowOff>
    </xdr:from>
    <xdr:ext cx="1333500" cy="953466"/>
    <xdr:sp macro="" textlink="">
      <xdr:nvSpPr>
        <xdr:cNvPr id="2" name="TextBox 1"/>
        <xdr:cNvSpPr txBox="1"/>
      </xdr:nvSpPr>
      <xdr:spPr>
        <a:xfrm>
          <a:off x="1" y="974912"/>
          <a:ext cx="1333500" cy="95346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aseline="0"/>
            <a:t>There are extra cells for new data located on cell R324 in Trends worksheet.</a:t>
          </a: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38099</xdr:colOff>
      <xdr:row>2</xdr:row>
      <xdr:rowOff>142874</xdr:rowOff>
    </xdr:from>
    <xdr:to>
      <xdr:col>11</xdr:col>
      <xdr:colOff>324970</xdr:colOff>
      <xdr:row>11</xdr:row>
      <xdr:rowOff>123824</xdr:rowOff>
    </xdr:to>
    <xdr:sp macro="" textlink="">
      <xdr:nvSpPr>
        <xdr:cNvPr id="6" name="Text Box 37"/>
        <xdr:cNvSpPr txBox="1">
          <a:spLocks noChangeArrowheads="1"/>
        </xdr:cNvSpPr>
      </xdr:nvSpPr>
      <xdr:spPr bwMode="auto">
        <a:xfrm>
          <a:off x="38099" y="542924"/>
          <a:ext cx="6154271" cy="19335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41148" rIns="54864" bIns="0" anchor="t" upright="1"/>
        <a:lstStyle/>
        <a:p>
          <a:pPr algn="r" rtl="0">
            <a:defRPr sz="1000"/>
          </a:pPr>
          <a:r>
            <a:rPr lang="en-US" sz="2200" b="0" i="0" u="none" strike="noStrike" baseline="0">
              <a:solidFill>
                <a:srgbClr val="000000"/>
              </a:solidFill>
              <a:latin typeface="Eras Demi ITC"/>
            </a:rPr>
            <a:t>Minnesota </a:t>
          </a:r>
        </a:p>
        <a:p>
          <a:pPr algn="r" rtl="0">
            <a:defRPr sz="1000"/>
          </a:pPr>
          <a:r>
            <a:rPr lang="en-US" sz="2200" b="0" i="0" u="none" strike="noStrike" baseline="0">
              <a:solidFill>
                <a:srgbClr val="000000"/>
              </a:solidFill>
              <a:latin typeface="Eras Demi ITC"/>
            </a:rPr>
            <a:t>State, County, and Community Health Board </a:t>
          </a:r>
        </a:p>
        <a:p>
          <a:pPr algn="r" rtl="0">
            <a:defRPr sz="1000"/>
          </a:pPr>
          <a:r>
            <a:rPr lang="en-US" sz="2200" b="0" i="0" u="none" strike="noStrike" baseline="0">
              <a:solidFill>
                <a:srgbClr val="000000"/>
              </a:solidFill>
              <a:latin typeface="Eras Demi ITC"/>
              <a:ea typeface="+mn-ea"/>
              <a:cs typeface="+mn-cs"/>
            </a:rPr>
            <a:t>Vital Statistics </a:t>
          </a:r>
          <a:r>
            <a:rPr lang="en-US" sz="2200" b="0" i="0" u="none" strike="noStrike" baseline="0">
              <a:solidFill>
                <a:srgbClr val="000000"/>
              </a:solidFill>
              <a:latin typeface="Eras Demi ITC"/>
            </a:rPr>
            <a:t>Trend Report 1993-2012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304800</xdr:colOff>
      <xdr:row>20</xdr:row>
      <xdr:rowOff>800100</xdr:rowOff>
    </xdr:from>
    <xdr:to>
      <xdr:col>5</xdr:col>
      <xdr:colOff>76200</xdr:colOff>
      <xdr:row>20</xdr:row>
      <xdr:rowOff>2171700</xdr:rowOff>
    </xdr:to>
    <xdr:sp macro="" textlink="">
      <xdr:nvSpPr>
        <xdr:cNvPr id="5126" name="Text Box 6"/>
        <xdr:cNvSpPr txBox="1">
          <a:spLocks noChangeArrowheads="1"/>
        </xdr:cNvSpPr>
      </xdr:nvSpPr>
      <xdr:spPr bwMode="auto">
        <a:xfrm>
          <a:off x="1371600" y="19602450"/>
          <a:ext cx="1371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200" b="0" i="0" u="none" strike="noStrike" baseline="0">
              <a:solidFill>
                <a:srgbClr val="000000"/>
              </a:solidFill>
              <a:latin typeface="Tahoma"/>
              <a:cs typeface="Tahoma"/>
            </a:rPr>
            <a:t> </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I</a:t>
          </a:r>
          <a:r>
            <a:rPr lang="en-US" sz="900" b="0" i="0" u="none" strike="noStrike" baseline="0">
              <a:solidFill>
                <a:srgbClr val="000000"/>
              </a:solidFill>
              <a:latin typeface="Tahoma"/>
              <a:cs typeface="Tahoma"/>
            </a:rPr>
            <a:t>nsert…</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D</a:t>
          </a:r>
          <a:r>
            <a:rPr lang="en-US" sz="900" b="0" i="0" u="none" strike="noStrike" baseline="0">
              <a:solidFill>
                <a:srgbClr val="000000"/>
              </a:solidFill>
              <a:latin typeface="Tahoma"/>
              <a:cs typeface="Tahoma"/>
            </a:rPr>
            <a:t>elete</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R</a:t>
          </a:r>
          <a:r>
            <a:rPr lang="en-US" sz="900" b="0" i="0" u="none" strike="noStrike" baseline="0">
              <a:solidFill>
                <a:srgbClr val="000000"/>
              </a:solidFill>
              <a:latin typeface="Tahoma"/>
              <a:cs typeface="Tahoma"/>
            </a:rPr>
            <a:t>ename</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M</a:t>
          </a:r>
          <a:r>
            <a:rPr lang="en-US" sz="900" b="0" i="0" u="none" strike="noStrike" baseline="0">
              <a:solidFill>
                <a:srgbClr val="000000"/>
              </a:solidFill>
              <a:latin typeface="Tahoma"/>
              <a:cs typeface="Tahoma"/>
            </a:rPr>
            <a:t>ove or Copy…</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S</a:t>
          </a:r>
          <a:r>
            <a:rPr lang="en-US" sz="900" b="0" i="0" u="none" strike="noStrike" baseline="0">
              <a:solidFill>
                <a:srgbClr val="000000"/>
              </a:solidFill>
              <a:latin typeface="Tahoma"/>
              <a:cs typeface="Tahoma"/>
            </a:rPr>
            <a:t>elect All Sheets</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T</a:t>
          </a:r>
          <a:r>
            <a:rPr lang="en-US" sz="900" b="0" i="0" u="none" strike="noStrike" baseline="0">
              <a:solidFill>
                <a:srgbClr val="000000"/>
              </a:solidFill>
              <a:latin typeface="Tahoma"/>
              <a:cs typeface="Tahoma"/>
            </a:rPr>
            <a:t>ab Color …</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V</a:t>
          </a:r>
          <a:r>
            <a:rPr lang="en-US" sz="900" b="0" i="0" u="none" strike="noStrike" baseline="0">
              <a:solidFill>
                <a:srgbClr val="000000"/>
              </a:solidFill>
              <a:latin typeface="Tahoma"/>
              <a:cs typeface="Tahoma"/>
            </a:rPr>
            <a:t>iew Code</a:t>
          </a: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editAs="oneCell">
    <xdr:from>
      <xdr:col>0</xdr:col>
      <xdr:colOff>0</xdr:colOff>
      <xdr:row>8</xdr:row>
      <xdr:rowOff>57151</xdr:rowOff>
    </xdr:from>
    <xdr:to>
      <xdr:col>9</xdr:col>
      <xdr:colOff>476250</xdr:colOff>
      <xdr:row>11</xdr:row>
      <xdr:rowOff>133349</xdr:rowOff>
    </xdr:to>
    <xdr:sp macro="" textlink="">
      <xdr:nvSpPr>
        <xdr:cNvPr id="5141" name="Text Box 21"/>
        <xdr:cNvSpPr txBox="1">
          <a:spLocks noChangeArrowheads="1"/>
        </xdr:cNvSpPr>
      </xdr:nvSpPr>
      <xdr:spPr bwMode="auto">
        <a:xfrm>
          <a:off x="0" y="1733551"/>
          <a:ext cx="5276850" cy="6762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en-US" sz="1200" b="0" i="0" u="none" strike="noStrike" baseline="0">
              <a:solidFill>
                <a:srgbClr val="000000"/>
              </a:solidFill>
              <a:latin typeface="Tw Cen MT" pitchFamily="34" charset="0"/>
            </a:rPr>
            <a:t>The following provides instructions on how to select counties and community health boards (CHB), how to save a copy for your own use, and how to remove data protection. </a:t>
          </a:r>
        </a:p>
        <a:p>
          <a:pPr algn="l" rtl="0">
            <a:defRPr sz="1000"/>
          </a:pPr>
          <a:endParaRPr lang="en-US" sz="1200" b="0" i="0" u="none" strike="noStrike" baseline="0">
            <a:solidFill>
              <a:srgbClr val="000000"/>
            </a:solidFill>
            <a:latin typeface="Eras Medium ITC"/>
          </a:endParaRPr>
        </a:p>
        <a:p>
          <a:pPr algn="l" rtl="0">
            <a:defRPr sz="1000"/>
          </a:pPr>
          <a:endParaRPr lang="en-US" sz="1200" b="0" i="0" u="none" strike="noStrike" baseline="0">
            <a:solidFill>
              <a:srgbClr val="000000"/>
            </a:solidFill>
            <a:latin typeface="Eras Medium ITC"/>
          </a:endParaRPr>
        </a:p>
        <a:p>
          <a:pPr algn="l" rtl="0">
            <a:defRPr sz="1000"/>
          </a:pPr>
          <a:endParaRPr lang="en-US" sz="1200" b="0" i="0" u="none" strike="noStrike" baseline="0">
            <a:solidFill>
              <a:srgbClr val="000000"/>
            </a:solidFill>
            <a:latin typeface="Eras Medium ITC"/>
          </a:endParaRPr>
        </a:p>
      </xdr:txBody>
    </xdr:sp>
    <xdr:clientData/>
  </xdr:twoCellAnchor>
  <xdr:twoCellAnchor editAs="oneCell">
    <xdr:from>
      <xdr:col>0</xdr:col>
      <xdr:colOff>0</xdr:colOff>
      <xdr:row>11</xdr:row>
      <xdr:rowOff>194982</xdr:rowOff>
    </xdr:from>
    <xdr:to>
      <xdr:col>9</xdr:col>
      <xdr:colOff>476250</xdr:colOff>
      <xdr:row>16</xdr:row>
      <xdr:rowOff>179294</xdr:rowOff>
    </xdr:to>
    <xdr:sp macro="" textlink="">
      <xdr:nvSpPr>
        <xdr:cNvPr id="5142" name="Text Box 22"/>
        <xdr:cNvSpPr txBox="1">
          <a:spLocks noChangeArrowheads="1"/>
        </xdr:cNvSpPr>
      </xdr:nvSpPr>
      <xdr:spPr bwMode="auto">
        <a:xfrm>
          <a:off x="0" y="10997453"/>
          <a:ext cx="5317191" cy="9368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en-US" sz="1200" b="1" i="0" u="sng" strike="noStrike" baseline="0">
              <a:solidFill>
                <a:srgbClr val="000000"/>
              </a:solidFill>
              <a:latin typeface="Tw Cen MT" pitchFamily="34" charset="0"/>
            </a:rPr>
            <a:t>Selecting Counties and/or Community Health Boards (CHB)</a:t>
          </a:r>
          <a:endParaRPr lang="en-US" sz="1200" b="0" i="0" u="sng" strike="noStrike" baseline="0">
            <a:solidFill>
              <a:srgbClr val="000000"/>
            </a:solidFill>
            <a:latin typeface="Tw Cen MT" pitchFamily="34" charset="0"/>
          </a:endParaRPr>
        </a:p>
        <a:p>
          <a:pPr algn="l" rtl="0">
            <a:defRPr sz="1000"/>
          </a:pPr>
          <a:r>
            <a:rPr lang="en-US" sz="1200" b="0" i="1" u="none" strike="noStrike" baseline="0">
              <a:solidFill>
                <a:srgbClr val="000000"/>
              </a:solidFill>
              <a:latin typeface="Tw Cen MT" pitchFamily="34" charset="0"/>
            </a:rPr>
            <a:t>Trends </a:t>
          </a:r>
          <a:r>
            <a:rPr lang="en-US" sz="1200" b="0" i="0" u="none" strike="noStrike" baseline="0">
              <a:solidFill>
                <a:srgbClr val="000000"/>
              </a:solidFill>
              <a:latin typeface="Tw Cen MT" pitchFamily="34" charset="0"/>
            </a:rPr>
            <a:t>is a nine page report that allows you to compare up to six counties and/or CHBs at once.  When you first open up the Trends worksheet, no counties or CHBs have been selected.   You will see six yellow boxes with "None" selected in each box (Figure 1).</a:t>
          </a:r>
        </a:p>
        <a:p>
          <a:pPr algn="l" rtl="0">
            <a:defRPr sz="1000"/>
          </a:pPr>
          <a:endParaRPr lang="en-US" sz="1200" b="0" i="0" u="none" strike="noStrike" baseline="0">
            <a:solidFill>
              <a:srgbClr val="000000"/>
            </a:solidFill>
            <a:latin typeface="Eras Medium ITC"/>
          </a:endParaRPr>
        </a:p>
        <a:p>
          <a:pPr algn="l" rtl="0">
            <a:defRPr sz="1000"/>
          </a:pPr>
          <a:endParaRPr lang="en-US" sz="1200" b="0" i="0" u="none" strike="noStrike" baseline="0">
            <a:solidFill>
              <a:srgbClr val="000000"/>
            </a:solidFill>
            <a:latin typeface="Eras Medium ITC"/>
          </a:endParaRPr>
        </a:p>
      </xdr:txBody>
    </xdr:sp>
    <xdr:clientData/>
  </xdr:twoCellAnchor>
  <xdr:oneCellAnchor>
    <xdr:from>
      <xdr:col>0</xdr:col>
      <xdr:colOff>33616</xdr:colOff>
      <xdr:row>34</xdr:row>
      <xdr:rowOff>89647</xdr:rowOff>
    </xdr:from>
    <xdr:ext cx="5109883" cy="1097608"/>
    <xdr:sp macro="" textlink="">
      <xdr:nvSpPr>
        <xdr:cNvPr id="2" name="TextBox 1"/>
        <xdr:cNvSpPr txBox="1"/>
      </xdr:nvSpPr>
      <xdr:spPr>
        <a:xfrm>
          <a:off x="33616" y="15430500"/>
          <a:ext cx="5109883" cy="10976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n-US" sz="1200" b="0" i="0" u="none" strike="noStrike" baseline="0">
              <a:solidFill>
                <a:srgbClr val="000000"/>
              </a:solidFill>
              <a:latin typeface="Tw Cen MT" pitchFamily="34" charset="0"/>
              <a:ea typeface="+mn-ea"/>
              <a:cs typeface="Tahoma" pitchFamily="34" charset="0"/>
            </a:rPr>
            <a:t>To select a county or CHB, click on the first yellow box.  When you click on that box, an arrow will appear in the right hand corner of that cell. (Figure 2)  Click on that arrow for an alphabetical listing of all counties and CHBs (</a:t>
          </a:r>
          <a:r>
            <a:rPr lang="en-US" sz="1200" b="0" i="0" baseline="0">
              <a:solidFill>
                <a:schemeClr val="tx1"/>
              </a:solidFill>
              <a:effectLst/>
              <a:latin typeface="Tw Cen MT" pitchFamily="34" charset="0"/>
              <a:ea typeface="+mn-ea"/>
              <a:cs typeface="Tahoma" pitchFamily="34" charset="0"/>
            </a:rPr>
            <a:t>CHBs are located at the end of the list); </a:t>
          </a:r>
          <a:r>
            <a:rPr lang="en-US" sz="1200" b="0" i="0" u="none" strike="noStrike" baseline="0">
              <a:solidFill>
                <a:srgbClr val="000000"/>
              </a:solidFill>
              <a:latin typeface="Tw Cen MT" pitchFamily="34" charset="0"/>
              <a:ea typeface="+mn-ea"/>
              <a:cs typeface="Tahoma" pitchFamily="34" charset="0"/>
            </a:rPr>
            <a:t>scroll down and click the county or CHB of your choice. Repeat this for the remaining five yellow boxes.  You do not have to select a county or CHB for all six boxes (you can leave "None" in these boxes).  </a:t>
          </a:r>
          <a:endParaRPr lang="en-US" sz="1200">
            <a:effectLst/>
            <a:latin typeface="Tw Cen MT" pitchFamily="34" charset="0"/>
            <a:cs typeface="Tahoma" pitchFamily="34" charset="0"/>
          </a:endParaRPr>
        </a:p>
      </xdr:txBody>
    </xdr:sp>
    <xdr:clientData/>
  </xdr:oneCellAnchor>
  <xdr:twoCellAnchor>
    <xdr:from>
      <xdr:col>0</xdr:col>
      <xdr:colOff>0</xdr:colOff>
      <xdr:row>17</xdr:row>
      <xdr:rowOff>22412</xdr:rowOff>
    </xdr:from>
    <xdr:to>
      <xdr:col>7</xdr:col>
      <xdr:colOff>457200</xdr:colOff>
      <xdr:row>33</xdr:row>
      <xdr:rowOff>156884</xdr:rowOff>
    </xdr:to>
    <xdr:grpSp>
      <xdr:nvGrpSpPr>
        <xdr:cNvPr id="4" name="Group 3" descr="Picture of drop downs"/>
        <xdr:cNvGrpSpPr/>
      </xdr:nvGrpSpPr>
      <xdr:grpSpPr>
        <a:xfrm>
          <a:off x="0" y="3451412"/>
          <a:ext cx="4191000" cy="3296772"/>
          <a:chOff x="0" y="12337676"/>
          <a:chExt cx="4222376" cy="3316943"/>
        </a:xfrm>
      </xdr:grpSpPr>
      <xdr:pic>
        <xdr:nvPicPr>
          <xdr:cNvPr id="49" name="Picture 48" descr="drop down"/>
          <xdr:cNvPicPr/>
        </xdr:nvPicPr>
        <xdr:blipFill rotWithShape="1">
          <a:blip xmlns:r="http://schemas.openxmlformats.org/officeDocument/2006/relationships" r:embed="rId1"/>
          <a:srcRect t="33810" r="34027" b="4"/>
          <a:stretch/>
        </xdr:blipFill>
        <xdr:spPr bwMode="auto">
          <a:xfrm>
            <a:off x="0" y="12678336"/>
            <a:ext cx="4222376" cy="2976283"/>
          </a:xfrm>
          <a:prstGeom prst="rect">
            <a:avLst/>
          </a:prstGeom>
          <a:ln>
            <a:noFill/>
          </a:ln>
          <a:extLst>
            <a:ext uri="{53640926-AAD7-44D8-BBD7-CCE9431645EC}">
              <a14:shadowObscured xmlns:a14="http://schemas.microsoft.com/office/drawing/2010/main"/>
            </a:ext>
          </a:extLst>
        </xdr:spPr>
      </xdr:pic>
      <xdr:sp macro="" textlink="">
        <xdr:nvSpPr>
          <xdr:cNvPr id="3" name="TextBox 2" descr="figure 1"/>
          <xdr:cNvSpPr txBox="1"/>
        </xdr:nvSpPr>
        <xdr:spPr>
          <a:xfrm>
            <a:off x="22412" y="12337676"/>
            <a:ext cx="745910" cy="259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latin typeface="Tw Cen MT" pitchFamily="34" charset="0"/>
              </a:rPr>
              <a:t>Figure 1:</a:t>
            </a:r>
          </a:p>
        </xdr:txBody>
      </xdr:sp>
    </xdr:grpSp>
    <xdr:clientData/>
  </xdr:twoCellAnchor>
  <xdr:twoCellAnchor>
    <xdr:from>
      <xdr:col>0</xdr:col>
      <xdr:colOff>0</xdr:colOff>
      <xdr:row>40</xdr:row>
      <xdr:rowOff>78441</xdr:rowOff>
    </xdr:from>
    <xdr:to>
      <xdr:col>1</xdr:col>
      <xdr:colOff>290102</xdr:colOff>
      <xdr:row>42</xdr:row>
      <xdr:rowOff>31348</xdr:rowOff>
    </xdr:to>
    <xdr:sp macro="" textlink="">
      <xdr:nvSpPr>
        <xdr:cNvPr id="54" name="TextBox 53"/>
        <xdr:cNvSpPr txBox="1"/>
      </xdr:nvSpPr>
      <xdr:spPr>
        <a:xfrm>
          <a:off x="0" y="8090647"/>
          <a:ext cx="827984" cy="3114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200" b="1">
              <a:latin typeface="Tw Cen MT" pitchFamily="34" charset="0"/>
            </a:rPr>
            <a:t>Figure 2:</a:t>
          </a:r>
        </a:p>
      </xdr:txBody>
    </xdr:sp>
    <xdr:clientData/>
  </xdr:twoCellAnchor>
  <xdr:twoCellAnchor>
    <xdr:from>
      <xdr:col>0</xdr:col>
      <xdr:colOff>11093</xdr:colOff>
      <xdr:row>58</xdr:row>
      <xdr:rowOff>78441</xdr:rowOff>
    </xdr:from>
    <xdr:to>
      <xdr:col>9</xdr:col>
      <xdr:colOff>280148</xdr:colOff>
      <xdr:row>76</xdr:row>
      <xdr:rowOff>123264</xdr:rowOff>
    </xdr:to>
    <xdr:grpSp>
      <xdr:nvGrpSpPr>
        <xdr:cNvPr id="6" name="Group 5" descr="instructions"/>
        <xdr:cNvGrpSpPr/>
      </xdr:nvGrpSpPr>
      <xdr:grpSpPr>
        <a:xfrm>
          <a:off x="11093" y="11632266"/>
          <a:ext cx="5069655" cy="3454773"/>
          <a:chOff x="11207" y="20215412"/>
          <a:chExt cx="5109882" cy="3451411"/>
        </a:xfrm>
      </xdr:grpSpPr>
      <xdr:grpSp>
        <xdr:nvGrpSpPr>
          <xdr:cNvPr id="5" name="Group 4"/>
          <xdr:cNvGrpSpPr/>
        </xdr:nvGrpSpPr>
        <xdr:grpSpPr>
          <a:xfrm>
            <a:off x="33617" y="20966205"/>
            <a:ext cx="3766375" cy="2700618"/>
            <a:chOff x="78440" y="20293852"/>
            <a:chExt cx="3766375" cy="2700618"/>
          </a:xfrm>
        </xdr:grpSpPr>
        <xdr:pic>
          <xdr:nvPicPr>
            <xdr:cNvPr id="55" name="Picture 54" descr="instructions"/>
            <xdr:cNvPicPr/>
          </xdr:nvPicPr>
          <xdr:blipFill rotWithShape="1">
            <a:blip xmlns:r="http://schemas.openxmlformats.org/officeDocument/2006/relationships" r:embed="rId2"/>
            <a:srcRect t="38371" r="47917" b="12227"/>
            <a:stretch/>
          </xdr:blipFill>
          <xdr:spPr bwMode="auto">
            <a:xfrm>
              <a:off x="124462" y="20630029"/>
              <a:ext cx="3720353" cy="2364441"/>
            </a:xfrm>
            <a:prstGeom prst="rect">
              <a:avLst/>
            </a:prstGeom>
            <a:ln>
              <a:noFill/>
            </a:ln>
            <a:extLst>
              <a:ext uri="{53640926-AAD7-44D8-BBD7-CCE9431645EC}">
                <a14:shadowObscured xmlns:a14="http://schemas.microsoft.com/office/drawing/2010/main"/>
              </a:ext>
            </a:extLst>
          </xdr:spPr>
        </xdr:pic>
        <xdr:sp macro="" textlink="">
          <xdr:nvSpPr>
            <xdr:cNvPr id="56" name="TextBox 55"/>
            <xdr:cNvSpPr txBox="1"/>
          </xdr:nvSpPr>
          <xdr:spPr>
            <a:xfrm>
              <a:off x="78440" y="20293852"/>
              <a:ext cx="827984"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200" b="1">
                  <a:latin typeface="Tw Cen MT" pitchFamily="34" charset="0"/>
                </a:rPr>
                <a:t>Figure 3:</a:t>
              </a:r>
            </a:p>
          </xdr:txBody>
        </xdr:sp>
      </xdr:grpSp>
      <xdr:sp macro="" textlink="">
        <xdr:nvSpPr>
          <xdr:cNvPr id="57" name="TextBox 56" descr="figure 3"/>
          <xdr:cNvSpPr txBox="1"/>
        </xdr:nvSpPr>
        <xdr:spPr>
          <a:xfrm>
            <a:off x="11207" y="20215412"/>
            <a:ext cx="5109882" cy="7617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n-US" sz="1200" b="0" i="0" u="none" strike="noStrike" baseline="0">
                <a:solidFill>
                  <a:srgbClr val="000000"/>
                </a:solidFill>
                <a:latin typeface="Tw Cen MT" pitchFamily="34" charset="0"/>
                <a:ea typeface="+mn-ea"/>
                <a:cs typeface="Tahoma" pitchFamily="34" charset="0"/>
              </a:rPr>
              <a:t>In Figure 3, only Aitkin, Itasca, and Koochiching counties and the CHB of Aitkin, Itasca, and Koochiching were chosen.  The remaining two boxes have "None" selected. Once you have selected your counties or CHBs, the report will be populated with data from the county and CHB you selected.</a:t>
            </a:r>
            <a:endParaRPr lang="en-US" sz="1200">
              <a:effectLst/>
              <a:latin typeface="Tw Cen MT" pitchFamily="34" charset="0"/>
              <a:cs typeface="Tahoma" pitchFamily="34" charset="0"/>
            </a:endParaRPr>
          </a:p>
        </xdr:txBody>
      </xdr:sp>
    </xdr:grpSp>
    <xdr:clientData/>
  </xdr:twoCellAnchor>
  <xdr:twoCellAnchor>
    <xdr:from>
      <xdr:col>0</xdr:col>
      <xdr:colOff>105105</xdr:colOff>
      <xdr:row>78</xdr:row>
      <xdr:rowOff>131766</xdr:rowOff>
    </xdr:from>
    <xdr:to>
      <xdr:col>9</xdr:col>
      <xdr:colOff>472967</xdr:colOff>
      <xdr:row>95</xdr:row>
      <xdr:rowOff>36837</xdr:rowOff>
    </xdr:to>
    <xdr:grpSp>
      <xdr:nvGrpSpPr>
        <xdr:cNvPr id="61" name="Group 60" descr="protected data"/>
        <xdr:cNvGrpSpPr/>
      </xdr:nvGrpSpPr>
      <xdr:grpSpPr>
        <a:xfrm>
          <a:off x="105105" y="15419391"/>
          <a:ext cx="5168462" cy="2733996"/>
          <a:chOff x="0" y="7691931"/>
          <a:chExt cx="5262606" cy="2659445"/>
        </a:xfrm>
      </xdr:grpSpPr>
      <xdr:sp macro="" textlink="">
        <xdr:nvSpPr>
          <xdr:cNvPr id="62" name="Text Box 23" descr="protected data"/>
          <xdr:cNvSpPr txBox="1">
            <a:spLocks noChangeArrowheads="1"/>
          </xdr:cNvSpPr>
        </xdr:nvSpPr>
        <xdr:spPr bwMode="auto">
          <a:xfrm>
            <a:off x="0" y="7691931"/>
            <a:ext cx="5262606" cy="12418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en-US" sz="1200" b="1" i="0" u="sng" strike="noStrike" baseline="0">
                <a:solidFill>
                  <a:srgbClr val="000000"/>
                </a:solidFill>
                <a:latin typeface="Tw Cen MT" pitchFamily="34" charset="0"/>
              </a:rPr>
              <a:t>Potected Data in the "Trends" Worksheet</a:t>
            </a:r>
            <a:endParaRPr lang="en-US" sz="1200" b="0" i="0" u="sng" strike="noStrike" baseline="0">
              <a:solidFill>
                <a:srgbClr val="000000"/>
              </a:solidFill>
              <a:latin typeface="Tw Cen MT" pitchFamily="34" charset="0"/>
            </a:endParaRPr>
          </a:p>
          <a:p>
            <a:pPr algn="l" rtl="0">
              <a:defRPr sz="1000"/>
            </a:pPr>
            <a:endParaRPr lang="en-US" sz="1200" b="0" i="0" u="none" strike="noStrike" baseline="0">
              <a:solidFill>
                <a:srgbClr val="000000"/>
              </a:solidFill>
              <a:latin typeface="Tw Cen MT" pitchFamily="34" charset="0"/>
            </a:endParaRPr>
          </a:p>
          <a:p>
            <a:pPr algn="l" rtl="0">
              <a:defRPr sz="1000"/>
            </a:pPr>
            <a:r>
              <a:rPr lang="en-US" sz="1200" b="0" i="0" u="none" strike="noStrike" baseline="0">
                <a:solidFill>
                  <a:srgbClr val="000000"/>
                </a:solidFill>
                <a:latin typeface="Tw Cen MT" pitchFamily="34" charset="0"/>
              </a:rPr>
              <a:t>The </a:t>
            </a:r>
            <a:r>
              <a:rPr lang="en-US" sz="1200" b="0" i="1" u="none" strike="noStrike" baseline="0">
                <a:solidFill>
                  <a:srgbClr val="000000"/>
                </a:solidFill>
                <a:latin typeface="Tw Cen MT" pitchFamily="34" charset="0"/>
              </a:rPr>
              <a:t>Trends </a:t>
            </a:r>
            <a:r>
              <a:rPr lang="en-US" sz="1200" b="0" i="0" u="none" strike="noStrike" baseline="0">
                <a:solidFill>
                  <a:srgbClr val="000000"/>
                </a:solidFill>
                <a:latin typeface="Tw Cen MT" pitchFamily="34" charset="0"/>
              </a:rPr>
              <a:t>worksheet data are protected so that you cannot enter data.  If you try to enter data you will get an error message (Figure 4).  To remove the message from your screen, click "Cancel".  </a:t>
            </a:r>
            <a:r>
              <a:rPr lang="en-US" sz="1200" b="1" i="0" u="none" strike="noStrike" baseline="0">
                <a:solidFill>
                  <a:srgbClr val="000000"/>
                </a:solidFill>
                <a:latin typeface="Tw Cen MT" pitchFamily="34" charset="0"/>
              </a:rPr>
              <a:t>Be aware that you can delete data. </a:t>
            </a:r>
            <a:r>
              <a:rPr lang="en-US" sz="1200" b="0" i="0" u="none" strike="noStrike" baseline="0">
                <a:solidFill>
                  <a:srgbClr val="000000"/>
                </a:solidFill>
                <a:latin typeface="Tw Cen MT" pitchFamily="34" charset="0"/>
              </a:rPr>
              <a:t>The good news is that the original file is still available on our website.  If you do delete data, you can download the file again off the MCHS website.</a:t>
            </a:r>
          </a:p>
          <a:p>
            <a:pPr algn="l" rtl="0">
              <a:defRPr sz="1000"/>
            </a:pPr>
            <a:endParaRPr lang="en-US" sz="1200" b="0" i="0" u="none" strike="noStrike" baseline="0">
              <a:solidFill>
                <a:srgbClr val="000000"/>
              </a:solidFill>
              <a:latin typeface="Tw Cen MT" pitchFamily="34" charset="0"/>
            </a:endParaRPr>
          </a:p>
          <a:p>
            <a:pPr algn="l" rtl="0">
              <a:defRPr sz="1000"/>
            </a:pPr>
            <a:endParaRPr lang="en-US" sz="1200" b="0" i="0" u="none" strike="noStrike" baseline="0">
              <a:solidFill>
                <a:srgbClr val="000000"/>
              </a:solidFill>
              <a:latin typeface="Eras Medium ITC"/>
            </a:endParaRPr>
          </a:p>
          <a:p>
            <a:pPr algn="l" rtl="0">
              <a:defRPr sz="1000"/>
            </a:pPr>
            <a:endParaRPr lang="en-US" sz="1200" b="0" i="0" u="none" strike="noStrike" baseline="0">
              <a:solidFill>
                <a:srgbClr val="000000"/>
              </a:solidFill>
              <a:latin typeface="Eras Medium ITC"/>
            </a:endParaRPr>
          </a:p>
        </xdr:txBody>
      </xdr:sp>
      <xdr:grpSp>
        <xdr:nvGrpSpPr>
          <xdr:cNvPr id="63" name="Group 62"/>
          <xdr:cNvGrpSpPr/>
        </xdr:nvGrpSpPr>
        <xdr:grpSpPr>
          <a:xfrm>
            <a:off x="0" y="9019190"/>
            <a:ext cx="2595070" cy="1332186"/>
            <a:chOff x="0" y="9019190"/>
            <a:chExt cx="2595070" cy="1332186"/>
          </a:xfrm>
        </xdr:grpSpPr>
        <xdr:pic>
          <xdr:nvPicPr>
            <xdr:cNvPr id="64" name="Picture 7" descr="warning box"/>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254687"/>
              <a:ext cx="2595070" cy="1096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5" name="Text Box 44"/>
            <xdr:cNvSpPr txBox="1">
              <a:spLocks noChangeArrowheads="1"/>
            </xdr:cNvSpPr>
          </xdr:nvSpPr>
          <xdr:spPr bwMode="auto">
            <a:xfrm>
              <a:off x="0" y="9019190"/>
              <a:ext cx="663465" cy="204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27432" rIns="0" bIns="0" anchor="t" upright="1">
              <a:noAutofit/>
            </a:bodyPr>
            <a:lstStyle/>
            <a:p>
              <a:pPr algn="l" rtl="0">
                <a:defRPr sz="1000"/>
              </a:pPr>
              <a:r>
                <a:rPr lang="en-US" sz="1200" b="1" i="0" u="none" strike="noStrike" baseline="0">
                  <a:solidFill>
                    <a:srgbClr val="000000"/>
                  </a:solidFill>
                  <a:latin typeface="Tw Cen MT" pitchFamily="34" charset="0"/>
                </a:rPr>
                <a:t>Figure 4</a:t>
              </a:r>
              <a:r>
                <a:rPr lang="en-US" sz="1200" b="1" i="0" u="none" strike="noStrike" baseline="0">
                  <a:solidFill>
                    <a:srgbClr val="000000"/>
                  </a:solidFill>
                  <a:latin typeface="Eras Demi ITC"/>
                </a:rPr>
                <a:t>:</a:t>
              </a:r>
            </a:p>
          </xdr:txBody>
        </xdr:sp>
      </xdr:grpSp>
    </xdr:grpSp>
    <xdr:clientData/>
  </xdr:twoCellAnchor>
  <xdr:twoCellAnchor>
    <xdr:from>
      <xdr:col>0</xdr:col>
      <xdr:colOff>104775</xdr:colOff>
      <xdr:row>42</xdr:row>
      <xdr:rowOff>54908</xdr:rowOff>
    </xdr:from>
    <xdr:to>
      <xdr:col>7</xdr:col>
      <xdr:colOff>463364</xdr:colOff>
      <xdr:row>56</xdr:row>
      <xdr:rowOff>21290</xdr:rowOff>
    </xdr:to>
    <xdr:pic>
      <xdr:nvPicPr>
        <xdr:cNvPr id="53" name="Picture 52" descr="figure"/>
        <xdr:cNvPicPr/>
      </xdr:nvPicPr>
      <xdr:blipFill rotWithShape="1">
        <a:blip xmlns:r="http://schemas.openxmlformats.org/officeDocument/2006/relationships" r:embed="rId4"/>
        <a:srcRect t="52760" r="47048"/>
        <a:stretch/>
      </xdr:blipFill>
      <xdr:spPr bwMode="auto">
        <a:xfrm>
          <a:off x="104775" y="8408333"/>
          <a:ext cx="4092389" cy="2766732"/>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274</xdr:row>
      <xdr:rowOff>136070</xdr:rowOff>
    </xdr:from>
    <xdr:to>
      <xdr:col>11</xdr:col>
      <xdr:colOff>428625</xdr:colOff>
      <xdr:row>305</xdr:row>
      <xdr:rowOff>59121</xdr:rowOff>
    </xdr:to>
    <xdr:sp macro="" textlink="">
      <xdr:nvSpPr>
        <xdr:cNvPr id="2072" name="Text Box 24"/>
        <xdr:cNvSpPr txBox="1">
          <a:spLocks noChangeArrowheads="1"/>
        </xdr:cNvSpPr>
      </xdr:nvSpPr>
      <xdr:spPr bwMode="auto">
        <a:xfrm>
          <a:off x="0" y="50132467"/>
          <a:ext cx="8180004" cy="50139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27432" tIns="22860" rIns="0" bIns="0" anchor="t" upright="1"/>
        <a:lstStyle/>
        <a:p>
          <a:pPr algn="l" rtl="0">
            <a:defRPr sz="1000"/>
          </a:pPr>
          <a:r>
            <a:rPr lang="en-US" sz="900" b="1" i="0" u="none" strike="noStrike" baseline="0">
              <a:solidFill>
                <a:srgbClr val="000000"/>
              </a:solidFill>
              <a:latin typeface="Tw Cen MT" pitchFamily="34" charset="0"/>
              <a:cs typeface="Times New Roman"/>
            </a:rPr>
            <a:t>Sources</a:t>
          </a:r>
        </a:p>
        <a:p>
          <a:pPr algn="l" rtl="0">
            <a:defRPr sz="1000"/>
          </a:pPr>
          <a:endParaRPr lang="en-US" sz="900" b="0" i="0" u="none" strike="noStrike" baseline="30000">
            <a:solidFill>
              <a:srgbClr val="000000"/>
            </a:solidFill>
            <a:latin typeface="Tw Cen MT" pitchFamily="34" charset="0"/>
            <a:cs typeface="Times New Roman"/>
          </a:endParaRPr>
        </a:p>
        <a:p>
          <a:pPr algn="l" rtl="0">
            <a:defRPr sz="1000"/>
          </a:pPr>
          <a:r>
            <a:rPr lang="en-US" sz="1000" b="0" i="0" u="none" strike="noStrike" baseline="30000">
              <a:solidFill>
                <a:srgbClr val="000000"/>
              </a:solidFill>
              <a:latin typeface="Tw Cen MT" pitchFamily="34" charset="0"/>
              <a:cs typeface="Times New Roman"/>
            </a:rPr>
            <a:t>1</a:t>
          </a:r>
          <a:r>
            <a:rPr lang="en-US" sz="1000" b="0" i="0" u="none" strike="noStrike" baseline="0">
              <a:solidFill>
                <a:srgbClr val="000000"/>
              </a:solidFill>
              <a:latin typeface="Tw Cen MT" pitchFamily="34" charset="0"/>
              <a:cs typeface="Times New Roman"/>
            </a:rPr>
            <a:t> US Census www.census.gov  Poverty estimates and median household income:  www.census.gov/hhes/www/saipe/county.html</a:t>
          </a:r>
        </a:p>
        <a:p>
          <a:pPr algn="l" rtl="0">
            <a:defRPr sz="1000"/>
          </a:pPr>
          <a:r>
            <a:rPr lang="en-US" sz="1000" b="0" i="0" u="none" strike="noStrike" baseline="30000">
              <a:solidFill>
                <a:srgbClr val="000000"/>
              </a:solidFill>
              <a:latin typeface="Tw Cen MT" pitchFamily="34" charset="0"/>
              <a:cs typeface="Times New Roman"/>
            </a:rPr>
            <a:t>2</a:t>
          </a:r>
          <a:r>
            <a:rPr lang="en-US" sz="1000" b="0" i="0" u="none" strike="noStrike" baseline="0">
              <a:solidFill>
                <a:srgbClr val="000000"/>
              </a:solidFill>
              <a:latin typeface="Tw Cen MT" pitchFamily="34" charset="0"/>
              <a:cs typeface="Times New Roman"/>
            </a:rPr>
            <a:t> Minnesota State Demographer, http://www.demography.state.mn.us/estimates.html and US Census www.census.gov</a:t>
          </a:r>
        </a:p>
        <a:p>
          <a:pPr algn="l" rtl="0">
            <a:defRPr sz="1000"/>
          </a:pPr>
          <a:r>
            <a:rPr lang="en-US" sz="1000" b="0" i="0" u="none" strike="noStrike" baseline="30000">
              <a:solidFill>
                <a:srgbClr val="000000"/>
              </a:solidFill>
              <a:latin typeface="Tw Cen MT" pitchFamily="34" charset="0"/>
              <a:cs typeface="Times New Roman"/>
            </a:rPr>
            <a:t>3</a:t>
          </a:r>
          <a:r>
            <a:rPr lang="en-US" sz="1000" b="0" i="0" u="none" strike="noStrike" baseline="0">
              <a:solidFill>
                <a:srgbClr val="000000"/>
              </a:solidFill>
              <a:latin typeface="Tw Cen MT" pitchFamily="34" charset="0"/>
              <a:cs typeface="Times New Roman"/>
            </a:rPr>
            <a:t>Minnesota Department of Employment and Economic Development, http://www.deed.state.mn.us/lmi/tools/laus.htm</a:t>
          </a:r>
        </a:p>
        <a:p>
          <a:pPr algn="l" rtl="0">
            <a:defRPr sz="1000"/>
          </a:pPr>
          <a:r>
            <a:rPr lang="en-US" sz="1000" b="0" i="0" u="none" strike="noStrike" baseline="30000">
              <a:solidFill>
                <a:srgbClr val="000000"/>
              </a:solidFill>
              <a:latin typeface="Tw Cen MT" pitchFamily="34" charset="0"/>
              <a:cs typeface="Times New Roman"/>
            </a:rPr>
            <a:t>4</a:t>
          </a:r>
          <a:r>
            <a:rPr lang="en-US" sz="1000" b="0" i="0" u="none" strike="noStrike" baseline="0">
              <a:solidFill>
                <a:srgbClr val="000000"/>
              </a:solidFill>
              <a:latin typeface="Tw Cen MT" pitchFamily="34" charset="0"/>
              <a:cs typeface="Times New Roman"/>
            </a:rPr>
            <a:t>Minnesota Department of Human Services</a:t>
          </a:r>
        </a:p>
        <a:p>
          <a:pPr algn="l" rtl="0">
            <a:defRPr sz="1000"/>
          </a:pPr>
          <a:r>
            <a:rPr lang="en-US" sz="1000" b="0" i="0" u="none" strike="noStrike" baseline="30000">
              <a:solidFill>
                <a:srgbClr val="000000"/>
              </a:solidFill>
              <a:latin typeface="Tw Cen MT" pitchFamily="34" charset="0"/>
              <a:cs typeface="Times New Roman"/>
            </a:rPr>
            <a:t>5</a:t>
          </a:r>
          <a:r>
            <a:rPr lang="en-US" sz="1000" b="0" i="0" u="none" strike="noStrike" baseline="0">
              <a:solidFill>
                <a:srgbClr val="000000"/>
              </a:solidFill>
              <a:latin typeface="Tw Cen MT" pitchFamily="34" charset="0"/>
              <a:cs typeface="Times New Roman"/>
            </a:rPr>
            <a:t> US Department of Commerce, Bureau of Economic Analysis, http://www.bea.gov/itable/</a:t>
          </a:r>
        </a:p>
        <a:p>
          <a:pPr algn="l" rtl="0">
            <a:defRPr sz="1000"/>
          </a:pPr>
          <a:r>
            <a:rPr lang="en-US" sz="1000" b="0" i="0" u="none" strike="noStrike" baseline="30000">
              <a:solidFill>
                <a:srgbClr val="000000"/>
              </a:solidFill>
              <a:latin typeface="Tw Cen MT" pitchFamily="34" charset="0"/>
              <a:cs typeface="Times New Roman"/>
            </a:rPr>
            <a:t>6</a:t>
          </a:r>
          <a:r>
            <a:rPr lang="en-US" sz="1000" b="0" i="0" u="none" strike="noStrike" baseline="0">
              <a:solidFill>
                <a:srgbClr val="000000"/>
              </a:solidFill>
              <a:latin typeface="Tw Cen MT" pitchFamily="34" charset="0"/>
              <a:cs typeface="Times New Roman"/>
            </a:rPr>
            <a:t> Minnesota Department of Education - www.education.state.mn.us/mde/Data/index.html</a:t>
          </a:r>
        </a:p>
        <a:p>
          <a:pPr algn="l" rtl="0">
            <a:defRPr sz="1000"/>
          </a:pPr>
          <a:r>
            <a:rPr lang="en-US" sz="1000" b="0" i="0" u="none" strike="noStrike" baseline="30000">
              <a:solidFill>
                <a:srgbClr val="000000"/>
              </a:solidFill>
              <a:latin typeface="Tw Cen MT" pitchFamily="34" charset="0"/>
              <a:cs typeface="Times New Roman"/>
            </a:rPr>
            <a:t>7</a:t>
          </a:r>
          <a:r>
            <a:rPr lang="en-US" sz="1000" b="0" i="0" u="none" strike="noStrike" baseline="0">
              <a:solidFill>
                <a:srgbClr val="000000"/>
              </a:solidFill>
              <a:latin typeface="Tw Cen MT" pitchFamily="34" charset="0"/>
              <a:cs typeface="Times New Roman"/>
            </a:rPr>
            <a:t> Minnesota Department of Health, Center for Health Statistics, www.health.state.mn.us/divs/chs </a:t>
          </a:r>
        </a:p>
        <a:p>
          <a:pPr algn="l" rtl="0">
            <a:defRPr sz="1000"/>
          </a:pPr>
          <a:r>
            <a:rPr lang="en-US" sz="1000" b="0" i="0" u="none" strike="noStrike" baseline="30000">
              <a:solidFill>
                <a:srgbClr val="000000"/>
              </a:solidFill>
              <a:latin typeface="Tw Cen MT" pitchFamily="34" charset="0"/>
              <a:cs typeface="Times New Roman"/>
            </a:rPr>
            <a:t>8</a:t>
          </a:r>
          <a:r>
            <a:rPr lang="en-US" sz="1000" b="0" i="0" u="none" strike="noStrike" baseline="0">
              <a:solidFill>
                <a:srgbClr val="000000"/>
              </a:solidFill>
              <a:latin typeface="Tw Cen MT" pitchFamily="34" charset="0"/>
              <a:cs typeface="Times New Roman"/>
            </a:rPr>
            <a:t> Minnesota Department of Health, Center for Health Statistics, linked birth/death cohort</a:t>
          </a:r>
        </a:p>
        <a:p>
          <a:pPr algn="l" rtl="0">
            <a:defRPr sz="1000"/>
          </a:pPr>
          <a:endParaRPr lang="en-US" sz="1000" b="0" i="0" u="none" strike="noStrike" baseline="0">
            <a:solidFill>
              <a:srgbClr val="000000"/>
            </a:solidFill>
            <a:latin typeface="Tw Cen MT" pitchFamily="34" charset="0"/>
            <a:cs typeface="Times New Roman"/>
          </a:endParaRPr>
        </a:p>
        <a:p>
          <a:pPr algn="l" rtl="0">
            <a:defRPr sz="1000"/>
          </a:pPr>
          <a:r>
            <a:rPr lang="en-US" sz="1000" b="0" i="0" u="none" strike="noStrike" baseline="0">
              <a:solidFill>
                <a:srgbClr val="000000"/>
              </a:solidFill>
              <a:latin typeface="Tw Cen MT" pitchFamily="34" charset="0"/>
              <a:cs typeface="Times New Roman"/>
            </a:rPr>
            <a:t>For more detailed data on births and deaths in Minnesota go to the Minnesota Vital Statistics Interactive Queries Website:</a:t>
          </a:r>
        </a:p>
        <a:p>
          <a:pPr algn="l" rtl="0">
            <a:defRPr sz="1000"/>
          </a:pPr>
          <a:r>
            <a:rPr lang="en-US" sz="1000" b="0" i="0" u="none" strike="noStrike" baseline="0">
              <a:solidFill>
                <a:srgbClr val="000000"/>
              </a:solidFill>
              <a:latin typeface="Tw Cen MT" pitchFamily="34" charset="0"/>
              <a:cs typeface="Times New Roman"/>
            </a:rPr>
            <a:t>https://pqc.health.state.mn.us/mhsq/index.jsp</a:t>
          </a:r>
        </a:p>
        <a:p>
          <a:pPr algn="l" rtl="0">
            <a:defRPr sz="1000"/>
          </a:pPr>
          <a:endParaRPr lang="en-US" sz="1000" b="0" i="0" u="none" strike="noStrike" baseline="0">
            <a:solidFill>
              <a:srgbClr val="000000"/>
            </a:solidFill>
            <a:latin typeface="Tw Cen MT" pitchFamily="34" charset="0"/>
            <a:cs typeface="Times New Roman"/>
          </a:endParaRPr>
        </a:p>
        <a:p>
          <a:pPr algn="l" rtl="0">
            <a:defRPr sz="1000"/>
          </a:pPr>
          <a:r>
            <a:rPr lang="en-US" sz="1000" b="1" i="0" u="none" strike="noStrike" baseline="0">
              <a:solidFill>
                <a:srgbClr val="000000"/>
              </a:solidFill>
              <a:latin typeface="Tw Cen MT" pitchFamily="34" charset="0"/>
              <a:cs typeface="Times New Roman"/>
            </a:rPr>
            <a:t>Definitions</a:t>
          </a:r>
        </a:p>
        <a:p>
          <a:pPr algn="l" rtl="0">
            <a:defRPr sz="1000"/>
          </a:pPr>
          <a:endParaRPr lang="en-US" sz="1000" b="0" i="0" u="none" strike="noStrike" baseline="0">
            <a:solidFill>
              <a:srgbClr val="000000"/>
            </a:solidFill>
            <a:latin typeface="Tw Cen MT" pitchFamily="34" charset="0"/>
            <a:cs typeface="Times New Roman"/>
          </a:endParaRPr>
        </a:p>
        <a:p>
          <a:pPr algn="l" rtl="0">
            <a:defRPr sz="1000"/>
          </a:pPr>
          <a:r>
            <a:rPr lang="en-US" sz="1000" b="0" i="0" u="none" strike="noStrike" baseline="0">
              <a:solidFill>
                <a:srgbClr val="000000"/>
              </a:solidFill>
              <a:latin typeface="Tw Cen MT" pitchFamily="34" charset="0"/>
              <a:cs typeface="Times New Roman"/>
            </a:rPr>
            <a:t>Number of Households: The number of occupied houses, apartments, or other separate living quarters, in which the occupants live and eat separately from other persons in the building and to which they have direct access from outside the building or through a common hall.  </a:t>
          </a:r>
        </a:p>
        <a:p>
          <a:pPr algn="l" rtl="0">
            <a:defRPr sz="1000"/>
          </a:pPr>
          <a:endParaRPr lang="en-US" sz="1000" b="0" i="0" u="none" strike="noStrike" baseline="0">
            <a:solidFill>
              <a:srgbClr val="000000"/>
            </a:solidFill>
            <a:latin typeface="Tw Cen MT" pitchFamily="34" charset="0"/>
            <a:cs typeface="Times New Roman"/>
          </a:endParaRPr>
        </a:p>
        <a:p>
          <a:pPr algn="l" rtl="0">
            <a:defRPr sz="1000"/>
          </a:pPr>
          <a:r>
            <a:rPr lang="en-US" sz="1000" b="0" i="0" u="none" strike="noStrike" baseline="0">
              <a:solidFill>
                <a:srgbClr val="000000"/>
              </a:solidFill>
              <a:latin typeface="Tw Cen MT" pitchFamily="34" charset="0"/>
              <a:ea typeface="+mn-ea"/>
              <a:cs typeface="Times New Roman"/>
            </a:rPr>
            <a:t>Unemployed Annual Average: The annual average of unemployed divided by the labor force (not seasonally adjusted)</a:t>
          </a:r>
        </a:p>
        <a:p>
          <a:pPr algn="l" rtl="0">
            <a:defRPr sz="1000"/>
          </a:pPr>
          <a:endParaRPr lang="en-US" sz="1000" b="0" i="0" u="none" strike="noStrike" baseline="0">
            <a:solidFill>
              <a:srgbClr val="000000"/>
            </a:solidFill>
            <a:latin typeface="Tw Cen MT" pitchFamily="34" charset="0"/>
            <a:ea typeface="+mn-ea"/>
            <a:cs typeface="Times New Roman"/>
          </a:endParaRPr>
        </a:p>
        <a:p>
          <a:pPr algn="l" rtl="0">
            <a:defRPr sz="1000"/>
          </a:pPr>
          <a:r>
            <a:rPr lang="en-US" sz="1000" b="0" i="0" u="none" strike="noStrike" baseline="0">
              <a:solidFill>
                <a:sysClr val="windowText" lastClr="000000"/>
              </a:solidFill>
              <a:latin typeface="Tw Cen MT" pitchFamily="34" charset="0"/>
              <a:cs typeface="Times New Roman"/>
            </a:rPr>
            <a:t>Per capita and median household income are adjusted to 2012 dollars using CPI from the Bureau of Labor and Statistics, www.bls.gov/cpi/.  For unadjusted data, go the the Minnesota Public Health Data Access Network, population statistics, https://apps.health.state.mn.us/mndata/</a:t>
          </a:r>
        </a:p>
        <a:p>
          <a:pPr algn="l" rtl="0">
            <a:defRPr sz="1000"/>
          </a:pPr>
          <a:endParaRPr lang="en-US" sz="1000" b="0" i="0" u="none" strike="noStrike" baseline="0">
            <a:solidFill>
              <a:srgbClr val="000000"/>
            </a:solidFill>
            <a:latin typeface="Tw Cen MT" pitchFamily="34" charset="0"/>
            <a:cs typeface="Times New Roman"/>
          </a:endParaRPr>
        </a:p>
        <a:p>
          <a:pPr algn="l" rtl="0">
            <a:defRPr sz="1000"/>
          </a:pPr>
          <a:r>
            <a:rPr lang="en-US" sz="1000" b="0" i="0" u="none" strike="noStrike" baseline="0">
              <a:solidFill>
                <a:srgbClr val="000000"/>
              </a:solidFill>
              <a:latin typeface="Tw Cen MT" pitchFamily="34" charset="0"/>
              <a:cs typeface="Times New Roman"/>
            </a:rPr>
            <a:t>PreKindergarten to 12th Grade Enrollment: Students who were enrolled over October 1 of the school year. Excluded from the counts are shared-time students, adult students, and students attending in other states or nonpublic schools for care and treatment purposes. Dual enrolled students are counted only once.</a:t>
          </a:r>
        </a:p>
        <a:p>
          <a:pPr algn="l" rtl="0">
            <a:defRPr sz="1000"/>
          </a:pPr>
          <a:endParaRPr lang="en-US" sz="1000" b="0" i="0" u="none" strike="noStrike" baseline="0">
            <a:solidFill>
              <a:srgbClr val="000000"/>
            </a:solidFill>
            <a:latin typeface="Tw Cen MT" pitchFamily="34" charset="0"/>
            <a:cs typeface="Times New Roman"/>
          </a:endParaRPr>
        </a:p>
        <a:p>
          <a:r>
            <a:rPr lang="en-US" sz="1000">
              <a:effectLst/>
              <a:latin typeface="Tw Cen MT" pitchFamily="34" charset="0"/>
              <a:ea typeface="+mn-ea"/>
              <a:cs typeface="Times New Roman" pitchFamily="18" charset="0"/>
            </a:rPr>
            <a:t>The Four-Year Graduation Rate is a four-year, on-time graduation rate based on a cohort of first time ninth grade students plus transfers into the cohort within the four year period minus transfers out of the cohort within the four year period. </a:t>
          </a:r>
          <a:endParaRPr lang="en-US" sz="1000">
            <a:effectLst/>
            <a:latin typeface="Tw Cen MT" pitchFamily="34" charset="0"/>
            <a:cs typeface="Times New Roman" pitchFamily="18" charset="0"/>
          </a:endParaRPr>
        </a:p>
        <a:p>
          <a:pPr algn="l" rtl="0">
            <a:defRPr sz="1000"/>
          </a:pPr>
          <a:endParaRPr lang="en-US" sz="1000" b="0" i="0" u="none" strike="noStrike" baseline="0">
            <a:solidFill>
              <a:srgbClr val="000000"/>
            </a:solidFill>
            <a:latin typeface="Tw Cen MT" pitchFamily="34" charset="0"/>
            <a:cs typeface="Times New Roman"/>
          </a:endParaRPr>
        </a:p>
        <a:p>
          <a:pPr algn="l" rtl="0">
            <a:defRPr sz="1000"/>
          </a:pPr>
          <a:r>
            <a:rPr lang="en-US" sz="1000" b="0" i="0" u="none" strike="noStrike" baseline="0">
              <a:solidFill>
                <a:srgbClr val="000000"/>
              </a:solidFill>
              <a:latin typeface="Tw Cen MT" pitchFamily="34" charset="0"/>
              <a:cs typeface="Times New Roman"/>
            </a:rPr>
            <a:t>Infant Deaths:  Deaths to infants under 1 year of age.</a:t>
          </a:r>
        </a:p>
        <a:p>
          <a:pPr algn="l" rtl="0">
            <a:defRPr sz="1000"/>
          </a:pPr>
          <a:endParaRPr lang="en-US" sz="1000" b="0" i="0" u="none" strike="noStrike" baseline="0">
            <a:solidFill>
              <a:srgbClr val="000000"/>
            </a:solidFill>
            <a:latin typeface="Tw Cen MT" pitchFamily="34" charset="0"/>
            <a:cs typeface="Times New Roman"/>
          </a:endParaRPr>
        </a:p>
        <a:p>
          <a:pPr algn="l" rtl="0">
            <a:defRPr sz="1000"/>
          </a:pPr>
          <a:r>
            <a:rPr lang="en-US" sz="1000" b="0" i="0" u="none" strike="noStrike" baseline="0">
              <a:solidFill>
                <a:srgbClr val="000000"/>
              </a:solidFill>
              <a:latin typeface="Tw Cen MT" pitchFamily="34" charset="0"/>
              <a:cs typeface="Times New Roman"/>
            </a:rPr>
            <a:t>Age Adjusted Death Rate:  Adjusted to the 2000 US Standard Population for more information how to calculate go to: </a:t>
          </a:r>
          <a:r>
            <a:rPr lang="en-US" sz="1000" b="0" i="0" u="sng" strike="noStrike" baseline="0">
              <a:solidFill>
                <a:srgbClr val="000000"/>
              </a:solidFill>
              <a:latin typeface="Tw Cen MT" pitchFamily="34" charset="0"/>
              <a:cs typeface="Times New Roman"/>
            </a:rPr>
            <a:t>http://www.cdc.gov/nchs/data/statnt/statnt06rv.pdf</a:t>
          </a:r>
          <a:endParaRPr lang="en-US" sz="1000" b="0" i="0" u="none" strike="noStrike" baseline="0">
            <a:solidFill>
              <a:srgbClr val="000000"/>
            </a:solidFill>
            <a:latin typeface="Tw Cen MT" pitchFamily="34" charset="0"/>
            <a:cs typeface="Times New Roman"/>
          </a:endParaRPr>
        </a:p>
        <a:p>
          <a:pPr algn="l" rtl="0">
            <a:defRPr sz="1000"/>
          </a:pPr>
          <a:endParaRPr lang="en-US" sz="1000" b="0" i="0" u="none" strike="noStrike" baseline="0">
            <a:solidFill>
              <a:srgbClr val="000000"/>
            </a:solidFill>
            <a:latin typeface="Tw Cen MT" pitchFamily="34" charset="0"/>
            <a:cs typeface="Times New Roman"/>
          </a:endParaRPr>
        </a:p>
        <a:p>
          <a:pPr algn="l" rtl="0">
            <a:defRPr sz="1000"/>
          </a:pPr>
          <a:r>
            <a:rPr lang="en-US" sz="1000" b="0" i="0" u="none" strike="noStrike" baseline="0">
              <a:solidFill>
                <a:srgbClr val="000000"/>
              </a:solidFill>
              <a:latin typeface="Tw Cen MT" pitchFamily="34" charset="0"/>
              <a:cs typeface="Times New Roman"/>
            </a:rPr>
            <a:t>ICD 10 Codes:  Cancer (C00-C97), Heart Disease (I00-I09, I11, I13, I20-I51), Stroke (I60-I69) and Unintentional Injury (V01-X59, Y85-Y86)</a:t>
          </a:r>
        </a:p>
        <a:p>
          <a:pPr algn="l" rtl="0">
            <a:defRPr sz="1000"/>
          </a:pPr>
          <a:endParaRPr lang="en-US" sz="1000" b="0" i="0" u="none" strike="noStrike" baseline="0">
            <a:solidFill>
              <a:srgbClr val="000000"/>
            </a:solidFill>
            <a:latin typeface="Tw Cen MT" pitchFamily="34" charset="0"/>
            <a:cs typeface="Times New Roman"/>
          </a:endParaRPr>
        </a:p>
      </xdr:txBody>
    </xdr:sp>
    <xdr:clientData/>
  </xdr:twoCellAnchor>
  <xdr:twoCellAnchor>
    <xdr:from>
      <xdr:col>0</xdr:col>
      <xdr:colOff>0</xdr:colOff>
      <xdr:row>311</xdr:row>
      <xdr:rowOff>120902</xdr:rowOff>
    </xdr:from>
    <xdr:to>
      <xdr:col>0</xdr:col>
      <xdr:colOff>1032101</xdr:colOff>
      <xdr:row>315</xdr:row>
      <xdr:rowOff>111378</xdr:rowOff>
    </xdr:to>
    <xdr:pic>
      <xdr:nvPicPr>
        <xdr:cNvPr id="2329" name="Picture 25" descr="logob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5832627"/>
          <a:ext cx="1032101" cy="638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solidFill>
          <a:headEnd type="triangle"/>
          <a:tailEnd type="non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ealthstats@health.state.mn.us" TargetMode="External"/><Relationship Id="rId1" Type="http://schemas.openxmlformats.org/officeDocument/2006/relationships/hyperlink" Target="http://www.health.state.mn.us/divs/chs/top_2.ht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healthstats@state.mn.us" TargetMode="External"/><Relationship Id="rId1" Type="http://schemas.openxmlformats.org/officeDocument/2006/relationships/hyperlink" Target="http://www.health.state.mn.us/divs/chs"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R178"/>
  <sheetViews>
    <sheetView view="pageBreakPreview" topLeftCell="DH1" zoomScale="130" zoomScaleNormal="160" zoomScaleSheetLayoutView="130" workbookViewId="0">
      <pane ySplit="2" topLeftCell="A3" activePane="bottomLeft" state="frozen"/>
      <selection activeCell="B1" sqref="B1"/>
      <selection pane="bottomLeft" activeCell="DN6" sqref="DN6"/>
    </sheetView>
  </sheetViews>
  <sheetFormatPr defaultRowHeight="12.75" x14ac:dyDescent="0.2"/>
  <cols>
    <col min="1" max="1" width="26.6640625" style="36" customWidth="1"/>
    <col min="2" max="2" width="46.83203125" style="36" customWidth="1"/>
    <col min="3" max="7" width="16.6640625" style="73" customWidth="1"/>
    <col min="8" max="184" width="16.6640625" style="40" customWidth="1"/>
    <col min="185" max="234" width="16.6640625" style="36" customWidth="1"/>
    <col min="235" max="16384" width="9.33203125" style="36"/>
  </cols>
  <sheetData>
    <row r="1" spans="1:252" s="37" customFormat="1" ht="30" customHeight="1" x14ac:dyDescent="0.2">
      <c r="B1" s="69"/>
      <c r="C1" s="185" t="s">
        <v>0</v>
      </c>
      <c r="D1" s="185"/>
      <c r="E1" s="185"/>
      <c r="F1" s="185"/>
      <c r="G1" s="185"/>
      <c r="H1" s="181" t="s">
        <v>516</v>
      </c>
      <c r="I1" s="181"/>
      <c r="J1" s="181"/>
      <c r="K1" s="181"/>
      <c r="L1" s="181"/>
      <c r="M1" s="180" t="s">
        <v>435</v>
      </c>
      <c r="N1" s="180"/>
      <c r="O1" s="180"/>
      <c r="P1" s="180"/>
      <c r="Q1" s="180"/>
      <c r="R1" s="181" t="s">
        <v>1</v>
      </c>
      <c r="S1" s="181"/>
      <c r="T1" s="181"/>
      <c r="U1" s="181"/>
      <c r="V1" s="181"/>
      <c r="W1" s="180" t="s">
        <v>40</v>
      </c>
      <c r="X1" s="180"/>
      <c r="Y1" s="180"/>
      <c r="Z1" s="180"/>
      <c r="AA1" s="180"/>
      <c r="AB1" s="181" t="s">
        <v>41</v>
      </c>
      <c r="AC1" s="181"/>
      <c r="AD1" s="181"/>
      <c r="AE1" s="181"/>
      <c r="AF1" s="181"/>
      <c r="AG1" s="180" t="s">
        <v>5</v>
      </c>
      <c r="AH1" s="180"/>
      <c r="AI1" s="180"/>
      <c r="AJ1" s="180"/>
      <c r="AK1" s="180"/>
      <c r="AL1" s="181" t="s">
        <v>6</v>
      </c>
      <c r="AM1" s="181"/>
      <c r="AN1" s="181"/>
      <c r="AO1" s="181"/>
      <c r="AP1" s="181"/>
      <c r="AQ1" s="180" t="s">
        <v>436</v>
      </c>
      <c r="AR1" s="180"/>
      <c r="AS1" s="180"/>
      <c r="AT1" s="180"/>
      <c r="AU1" s="180"/>
      <c r="AV1" s="181" t="s">
        <v>4</v>
      </c>
      <c r="AW1" s="181"/>
      <c r="AX1" s="181"/>
      <c r="AY1" s="181"/>
      <c r="AZ1" s="181"/>
      <c r="BA1" s="180" t="s">
        <v>2</v>
      </c>
      <c r="BB1" s="180"/>
      <c r="BC1" s="180"/>
      <c r="BD1" s="180"/>
      <c r="BE1" s="180"/>
      <c r="BF1" s="181" t="s">
        <v>3</v>
      </c>
      <c r="BG1" s="181"/>
      <c r="BH1" s="181"/>
      <c r="BI1" s="181"/>
      <c r="BJ1" s="181"/>
      <c r="BK1" s="180" t="s">
        <v>7</v>
      </c>
      <c r="BL1" s="180"/>
      <c r="BM1" s="180"/>
      <c r="BN1" s="180"/>
      <c r="BO1" s="181" t="s">
        <v>8</v>
      </c>
      <c r="BP1" s="181"/>
      <c r="BQ1" s="181"/>
      <c r="BR1" s="181"/>
      <c r="BS1" s="180" t="s">
        <v>9</v>
      </c>
      <c r="BT1" s="180"/>
      <c r="BU1" s="180"/>
      <c r="BV1" s="180"/>
      <c r="BW1" s="181" t="s">
        <v>10</v>
      </c>
      <c r="BX1" s="181"/>
      <c r="BY1" s="181"/>
      <c r="BZ1" s="181"/>
      <c r="CA1" s="180" t="s">
        <v>159</v>
      </c>
      <c r="CB1" s="180"/>
      <c r="CC1" s="180"/>
      <c r="CD1" s="180"/>
      <c r="CE1" s="181" t="s">
        <v>182</v>
      </c>
      <c r="CF1" s="181"/>
      <c r="CG1" s="181"/>
      <c r="CH1" s="181"/>
      <c r="CI1" s="180" t="s">
        <v>11</v>
      </c>
      <c r="CJ1" s="180"/>
      <c r="CK1" s="180"/>
      <c r="CL1" s="180"/>
      <c r="CM1" s="182" t="s">
        <v>12</v>
      </c>
      <c r="CN1" s="182"/>
      <c r="CO1" s="182"/>
      <c r="CP1" s="182"/>
      <c r="CQ1" s="183" t="s">
        <v>437</v>
      </c>
      <c r="CR1" s="183"/>
      <c r="CS1" s="183"/>
      <c r="CT1" s="183"/>
      <c r="CU1" s="182" t="s">
        <v>42</v>
      </c>
      <c r="CV1" s="182"/>
      <c r="CW1" s="182"/>
      <c r="CX1" s="182"/>
      <c r="CY1" s="183" t="s">
        <v>441</v>
      </c>
      <c r="CZ1" s="183"/>
      <c r="DA1" s="183"/>
      <c r="DB1" s="183"/>
      <c r="DC1" s="184" t="s">
        <v>440</v>
      </c>
      <c r="DD1" s="184"/>
      <c r="DE1" s="184"/>
      <c r="DF1" s="184"/>
      <c r="DG1" s="183" t="s">
        <v>13</v>
      </c>
      <c r="DH1" s="183"/>
      <c r="DI1" s="183"/>
      <c r="DJ1" s="183"/>
      <c r="DK1" s="181" t="s">
        <v>181</v>
      </c>
      <c r="DL1" s="181"/>
      <c r="DM1" s="181"/>
      <c r="DN1" s="181"/>
      <c r="DO1" s="180" t="s">
        <v>14</v>
      </c>
      <c r="DP1" s="180"/>
      <c r="DQ1" s="180"/>
      <c r="DR1" s="180"/>
      <c r="DS1" s="181" t="s">
        <v>438</v>
      </c>
      <c r="DT1" s="181"/>
      <c r="DU1" s="181"/>
      <c r="DV1" s="181"/>
      <c r="DW1" s="180" t="s">
        <v>439</v>
      </c>
      <c r="DX1" s="180"/>
      <c r="DY1" s="180"/>
      <c r="DZ1" s="180"/>
      <c r="EA1" s="180"/>
      <c r="EB1" s="182" t="s">
        <v>15</v>
      </c>
      <c r="EC1" s="182"/>
      <c r="ED1" s="182"/>
      <c r="EE1" s="182"/>
      <c r="EF1" s="180" t="s">
        <v>16</v>
      </c>
      <c r="EG1" s="180"/>
      <c r="EH1" s="180"/>
      <c r="EI1" s="180"/>
      <c r="EJ1" s="184" t="s">
        <v>517</v>
      </c>
      <c r="EK1" s="184"/>
      <c r="EL1" s="184"/>
      <c r="EM1" s="184"/>
      <c r="EN1" s="184"/>
      <c r="EO1" s="180" t="s">
        <v>17</v>
      </c>
      <c r="EP1" s="180"/>
      <c r="EQ1" s="180"/>
      <c r="ER1" s="180"/>
      <c r="ES1" s="181" t="s">
        <v>18</v>
      </c>
      <c r="ET1" s="181"/>
      <c r="EU1" s="181"/>
      <c r="EV1" s="181"/>
      <c r="EW1" s="180" t="s">
        <v>27</v>
      </c>
      <c r="EX1" s="180"/>
      <c r="EY1" s="180"/>
      <c r="EZ1" s="180"/>
      <c r="FA1" s="181" t="s">
        <v>28</v>
      </c>
      <c r="FB1" s="181"/>
      <c r="FC1" s="181"/>
      <c r="FD1" s="181"/>
      <c r="FE1" s="180" t="s">
        <v>20</v>
      </c>
      <c r="FF1" s="180"/>
      <c r="FG1" s="180"/>
      <c r="FH1" s="180"/>
      <c r="FI1" s="181" t="s">
        <v>24</v>
      </c>
      <c r="FJ1" s="181"/>
      <c r="FK1" s="181"/>
      <c r="FL1" s="181"/>
      <c r="FM1" s="180" t="s">
        <v>19</v>
      </c>
      <c r="FN1" s="180"/>
      <c r="FO1" s="180"/>
      <c r="FP1" s="180"/>
      <c r="FQ1" s="181" t="s">
        <v>23</v>
      </c>
      <c r="FR1" s="181"/>
      <c r="FS1" s="181"/>
      <c r="FT1" s="181"/>
      <c r="FU1" s="180" t="s">
        <v>21</v>
      </c>
      <c r="FV1" s="180"/>
      <c r="FW1" s="180"/>
      <c r="FX1" s="180"/>
      <c r="FY1" s="181" t="s">
        <v>25</v>
      </c>
      <c r="FZ1" s="181"/>
      <c r="GA1" s="181"/>
      <c r="GB1" s="181"/>
      <c r="GC1" s="180" t="s">
        <v>22</v>
      </c>
      <c r="GD1" s="180"/>
      <c r="GE1" s="180"/>
      <c r="GF1" s="180"/>
      <c r="GG1" s="181" t="s">
        <v>26</v>
      </c>
      <c r="GH1" s="181"/>
      <c r="GI1" s="181"/>
      <c r="GJ1" s="181"/>
      <c r="GK1" s="71" t="s">
        <v>444</v>
      </c>
      <c r="GL1" s="71"/>
      <c r="GM1" s="71"/>
      <c r="GN1" s="71"/>
      <c r="GO1" s="71"/>
      <c r="GP1" s="71"/>
      <c r="GQ1" s="71"/>
      <c r="GR1" s="71"/>
      <c r="GS1" s="71"/>
      <c r="GT1" s="71"/>
      <c r="GU1" s="71"/>
      <c r="GV1" s="71"/>
      <c r="GW1" s="71"/>
      <c r="GX1" s="71"/>
      <c r="GY1" s="179"/>
      <c r="GZ1" s="179"/>
      <c r="HA1" s="179"/>
      <c r="HB1" s="179"/>
      <c r="HC1" s="179"/>
      <c r="HD1" s="71"/>
      <c r="HE1" s="71"/>
      <c r="HF1" s="71"/>
      <c r="HG1" s="71"/>
      <c r="HH1" s="71"/>
      <c r="HI1" s="71"/>
      <c r="HJ1" s="71"/>
      <c r="HK1" s="71"/>
      <c r="HL1" s="71"/>
      <c r="HM1" s="71"/>
      <c r="HN1" s="71"/>
      <c r="HO1" s="71"/>
      <c r="HP1" s="71"/>
      <c r="HQ1" s="71"/>
      <c r="HR1" s="71"/>
      <c r="HS1" s="71"/>
      <c r="HT1" s="71"/>
      <c r="HU1" s="71"/>
      <c r="HV1" s="71"/>
      <c r="HW1" s="71"/>
      <c r="HX1" s="71"/>
      <c r="HY1" s="71"/>
    </row>
    <row r="2" spans="1:252" s="37" customFormat="1" ht="15" customHeight="1" x14ac:dyDescent="0.2">
      <c r="A2" s="37" t="s">
        <v>30</v>
      </c>
      <c r="B2" s="69" t="s">
        <v>31</v>
      </c>
      <c r="C2" s="147">
        <v>2008</v>
      </c>
      <c r="D2" s="147">
        <v>2009</v>
      </c>
      <c r="E2" s="147">
        <v>2010</v>
      </c>
      <c r="F2" s="147">
        <v>2011</v>
      </c>
      <c r="G2" s="73">
        <v>2012</v>
      </c>
      <c r="H2" s="40" t="s">
        <v>32</v>
      </c>
      <c r="I2" s="40" t="s">
        <v>33</v>
      </c>
      <c r="J2" s="40" t="s">
        <v>34</v>
      </c>
      <c r="K2" s="40" t="s">
        <v>35</v>
      </c>
      <c r="L2" s="40" t="s">
        <v>36</v>
      </c>
      <c r="M2" s="40">
        <v>2008</v>
      </c>
      <c r="N2" s="40">
        <v>2009</v>
      </c>
      <c r="O2" s="40">
        <v>2010</v>
      </c>
      <c r="P2" s="40">
        <v>2011</v>
      </c>
      <c r="Q2" s="40">
        <v>2012</v>
      </c>
      <c r="R2" s="40">
        <v>2008</v>
      </c>
      <c r="S2" s="40">
        <v>2009</v>
      </c>
      <c r="T2" s="40">
        <v>2010</v>
      </c>
      <c r="U2" s="40">
        <v>2011</v>
      </c>
      <c r="V2" s="40">
        <v>2012</v>
      </c>
      <c r="W2" s="40">
        <v>2008</v>
      </c>
      <c r="X2" s="40">
        <v>2009</v>
      </c>
      <c r="Y2" s="40">
        <v>2010</v>
      </c>
      <c r="Z2" s="40">
        <v>2011</v>
      </c>
      <c r="AA2" s="40">
        <v>2012</v>
      </c>
      <c r="AB2" s="40">
        <v>2008</v>
      </c>
      <c r="AC2" s="40">
        <v>2009</v>
      </c>
      <c r="AD2" s="40">
        <v>2010</v>
      </c>
      <c r="AE2" s="40">
        <v>2011</v>
      </c>
      <c r="AF2" s="40">
        <v>2012</v>
      </c>
      <c r="AG2" s="40">
        <v>2008</v>
      </c>
      <c r="AH2" s="40">
        <v>2009</v>
      </c>
      <c r="AI2" s="40">
        <v>2010</v>
      </c>
      <c r="AJ2" s="40">
        <v>2011</v>
      </c>
      <c r="AK2" s="40">
        <v>2012</v>
      </c>
      <c r="AL2" s="40">
        <v>2008</v>
      </c>
      <c r="AM2" s="40">
        <v>2009</v>
      </c>
      <c r="AN2" s="40">
        <v>2010</v>
      </c>
      <c r="AO2" s="40">
        <v>2011</v>
      </c>
      <c r="AP2" s="40">
        <v>2012</v>
      </c>
      <c r="AQ2" s="40">
        <v>2008</v>
      </c>
      <c r="AR2" s="40">
        <v>2009</v>
      </c>
      <c r="AS2" s="40">
        <v>2010</v>
      </c>
      <c r="AT2" s="40">
        <v>2011</v>
      </c>
      <c r="AU2" s="40">
        <v>2012</v>
      </c>
      <c r="AV2" s="40">
        <v>2008</v>
      </c>
      <c r="AW2" s="40">
        <v>2009</v>
      </c>
      <c r="AX2" s="40">
        <v>2010</v>
      </c>
      <c r="AY2" s="40">
        <v>2011</v>
      </c>
      <c r="AZ2" s="40">
        <v>2012</v>
      </c>
      <c r="BA2" s="40">
        <v>2008</v>
      </c>
      <c r="BB2" s="40">
        <v>2009</v>
      </c>
      <c r="BC2" s="40">
        <v>2010</v>
      </c>
      <c r="BD2" s="40">
        <v>2011</v>
      </c>
      <c r="BE2" s="40">
        <v>2012</v>
      </c>
      <c r="BF2" s="40">
        <v>2008</v>
      </c>
      <c r="BG2" s="40">
        <v>2009</v>
      </c>
      <c r="BH2" s="40">
        <v>2010</v>
      </c>
      <c r="BI2" s="40">
        <v>2011</v>
      </c>
      <c r="BJ2" s="40">
        <v>2012</v>
      </c>
      <c r="BK2" s="40" t="s">
        <v>156</v>
      </c>
      <c r="BL2" s="40" t="s">
        <v>157</v>
      </c>
      <c r="BM2" s="40" t="s">
        <v>445</v>
      </c>
      <c r="BN2" s="40" t="s">
        <v>509</v>
      </c>
      <c r="BO2" s="40" t="s">
        <v>156</v>
      </c>
      <c r="BP2" s="40" t="s">
        <v>157</v>
      </c>
      <c r="BQ2" s="40" t="s">
        <v>445</v>
      </c>
      <c r="BR2" s="40" t="s">
        <v>509</v>
      </c>
      <c r="BS2" s="40" t="s">
        <v>156</v>
      </c>
      <c r="BT2" s="40" t="s">
        <v>157</v>
      </c>
      <c r="BU2" s="40" t="s">
        <v>445</v>
      </c>
      <c r="BV2" s="40" t="s">
        <v>509</v>
      </c>
      <c r="BW2" s="40" t="s">
        <v>156</v>
      </c>
      <c r="BX2" s="40" t="s">
        <v>157</v>
      </c>
      <c r="BY2" s="40" t="s">
        <v>445</v>
      </c>
      <c r="BZ2" s="40" t="s">
        <v>509</v>
      </c>
      <c r="CA2" s="40" t="s">
        <v>156</v>
      </c>
      <c r="CB2" s="40" t="s">
        <v>157</v>
      </c>
      <c r="CC2" s="40" t="s">
        <v>445</v>
      </c>
      <c r="CD2" s="40" t="s">
        <v>509</v>
      </c>
      <c r="CE2" s="40" t="s">
        <v>156</v>
      </c>
      <c r="CF2" s="40" t="s">
        <v>157</v>
      </c>
      <c r="CG2" s="40" t="s">
        <v>445</v>
      </c>
      <c r="CH2" s="40" t="s">
        <v>509</v>
      </c>
      <c r="CI2" s="134" t="s">
        <v>510</v>
      </c>
      <c r="CJ2" s="134" t="s">
        <v>511</v>
      </c>
      <c r="CK2" s="134" t="s">
        <v>512</v>
      </c>
      <c r="CL2" s="134" t="s">
        <v>513</v>
      </c>
      <c r="CM2" s="134" t="s">
        <v>510</v>
      </c>
      <c r="CN2" s="134" t="s">
        <v>511</v>
      </c>
      <c r="CO2" s="134" t="s">
        <v>512</v>
      </c>
      <c r="CP2" s="134" t="s">
        <v>513</v>
      </c>
      <c r="CQ2" s="134" t="s">
        <v>510</v>
      </c>
      <c r="CR2" s="134" t="s">
        <v>511</v>
      </c>
      <c r="CS2" s="134" t="s">
        <v>512</v>
      </c>
      <c r="CT2" s="134" t="s">
        <v>513</v>
      </c>
      <c r="CU2" s="134" t="s">
        <v>510</v>
      </c>
      <c r="CV2" s="134" t="s">
        <v>511</v>
      </c>
      <c r="CW2" s="134" t="s">
        <v>512</v>
      </c>
      <c r="CX2" s="134" t="s">
        <v>513</v>
      </c>
      <c r="CY2" s="134" t="s">
        <v>510</v>
      </c>
      <c r="CZ2" s="134" t="s">
        <v>511</v>
      </c>
      <c r="DA2" s="134" t="s">
        <v>512</v>
      </c>
      <c r="DB2" s="134" t="s">
        <v>513</v>
      </c>
      <c r="DC2" s="134" t="s">
        <v>510</v>
      </c>
      <c r="DD2" s="134" t="s">
        <v>511</v>
      </c>
      <c r="DE2" s="134" t="s">
        <v>512</v>
      </c>
      <c r="DF2" s="134" t="s">
        <v>513</v>
      </c>
      <c r="DG2" s="134" t="s">
        <v>510</v>
      </c>
      <c r="DH2" s="134" t="s">
        <v>511</v>
      </c>
      <c r="DI2" s="134" t="s">
        <v>512</v>
      </c>
      <c r="DJ2" s="134" t="s">
        <v>513</v>
      </c>
      <c r="DK2" s="134" t="s">
        <v>510</v>
      </c>
      <c r="DL2" s="134" t="s">
        <v>511</v>
      </c>
      <c r="DM2" s="134" t="s">
        <v>512</v>
      </c>
      <c r="DN2" s="134" t="s">
        <v>513</v>
      </c>
      <c r="DO2" s="134" t="s">
        <v>510</v>
      </c>
      <c r="DP2" s="134" t="s">
        <v>511</v>
      </c>
      <c r="DQ2" s="134" t="s">
        <v>512</v>
      </c>
      <c r="DR2" s="134" t="s">
        <v>513</v>
      </c>
      <c r="DS2" s="134" t="s">
        <v>510</v>
      </c>
      <c r="DT2" s="134" t="s">
        <v>511</v>
      </c>
      <c r="DU2" s="134" t="s">
        <v>512</v>
      </c>
      <c r="DV2" s="134" t="s">
        <v>513</v>
      </c>
      <c r="DW2" s="40" t="s">
        <v>32</v>
      </c>
      <c r="DX2" s="40" t="s">
        <v>37</v>
      </c>
      <c r="DY2" s="39" t="s">
        <v>38</v>
      </c>
      <c r="DZ2" s="39" t="s">
        <v>35</v>
      </c>
      <c r="EA2" s="39" t="s">
        <v>442</v>
      </c>
      <c r="EB2" s="134" t="s">
        <v>447</v>
      </c>
      <c r="EC2" s="134" t="s">
        <v>448</v>
      </c>
      <c r="ED2" s="134" t="s">
        <v>449</v>
      </c>
      <c r="EE2" s="134" t="s">
        <v>446</v>
      </c>
      <c r="EF2" s="134" t="s">
        <v>510</v>
      </c>
      <c r="EG2" s="134" t="s">
        <v>511</v>
      </c>
      <c r="EH2" s="134" t="s">
        <v>512</v>
      </c>
      <c r="EI2" s="134" t="s">
        <v>513</v>
      </c>
      <c r="EJ2" s="39" t="s">
        <v>32</v>
      </c>
      <c r="EK2" s="39" t="s">
        <v>37</v>
      </c>
      <c r="EL2" s="39" t="s">
        <v>38</v>
      </c>
      <c r="EM2" s="39" t="s">
        <v>443</v>
      </c>
      <c r="EN2" s="39" t="s">
        <v>36</v>
      </c>
      <c r="EO2" s="134" t="s">
        <v>510</v>
      </c>
      <c r="EP2" s="134" t="s">
        <v>511</v>
      </c>
      <c r="EQ2" s="134" t="s">
        <v>512</v>
      </c>
      <c r="ER2" s="134" t="s">
        <v>513</v>
      </c>
      <c r="ES2" s="134" t="s">
        <v>510</v>
      </c>
      <c r="ET2" s="134" t="s">
        <v>511</v>
      </c>
      <c r="EU2" s="134" t="s">
        <v>512</v>
      </c>
      <c r="EV2" s="134" t="s">
        <v>513</v>
      </c>
      <c r="EW2" s="134" t="s">
        <v>510</v>
      </c>
      <c r="EX2" s="134" t="s">
        <v>511</v>
      </c>
      <c r="EY2" s="134" t="s">
        <v>512</v>
      </c>
      <c r="EZ2" s="134" t="s">
        <v>513</v>
      </c>
      <c r="FA2" s="134" t="s">
        <v>510</v>
      </c>
      <c r="FB2" s="134" t="s">
        <v>511</v>
      </c>
      <c r="FC2" s="134" t="s">
        <v>512</v>
      </c>
      <c r="FD2" s="134" t="s">
        <v>513</v>
      </c>
      <c r="FE2" s="134" t="s">
        <v>510</v>
      </c>
      <c r="FF2" s="134" t="s">
        <v>511</v>
      </c>
      <c r="FG2" s="134" t="s">
        <v>512</v>
      </c>
      <c r="FH2" s="134" t="s">
        <v>513</v>
      </c>
      <c r="FI2" s="134" t="s">
        <v>510</v>
      </c>
      <c r="FJ2" s="134" t="s">
        <v>511</v>
      </c>
      <c r="FK2" s="134" t="s">
        <v>512</v>
      </c>
      <c r="FL2" s="134" t="s">
        <v>513</v>
      </c>
      <c r="FM2" s="134" t="s">
        <v>510</v>
      </c>
      <c r="FN2" s="134" t="s">
        <v>511</v>
      </c>
      <c r="FO2" s="134" t="s">
        <v>512</v>
      </c>
      <c r="FP2" s="134" t="s">
        <v>513</v>
      </c>
      <c r="FQ2" s="134" t="s">
        <v>510</v>
      </c>
      <c r="FR2" s="134" t="s">
        <v>511</v>
      </c>
      <c r="FS2" s="134" t="s">
        <v>512</v>
      </c>
      <c r="FT2" s="134" t="s">
        <v>513</v>
      </c>
      <c r="FU2" s="134" t="s">
        <v>510</v>
      </c>
      <c r="FV2" s="134" t="s">
        <v>511</v>
      </c>
      <c r="FW2" s="134" t="s">
        <v>512</v>
      </c>
      <c r="FX2" s="134" t="s">
        <v>513</v>
      </c>
      <c r="FY2" s="134" t="s">
        <v>510</v>
      </c>
      <c r="FZ2" s="134" t="s">
        <v>511</v>
      </c>
      <c r="GA2" s="134" t="s">
        <v>512</v>
      </c>
      <c r="GB2" s="134" t="s">
        <v>513</v>
      </c>
      <c r="GC2" s="134" t="s">
        <v>510</v>
      </c>
      <c r="GD2" s="134" t="s">
        <v>511</v>
      </c>
      <c r="GE2" s="134" t="s">
        <v>512</v>
      </c>
      <c r="GF2" s="134" t="s">
        <v>513</v>
      </c>
      <c r="GG2" s="134" t="s">
        <v>510</v>
      </c>
      <c r="GH2" s="134" t="s">
        <v>511</v>
      </c>
      <c r="GI2" s="134" t="s">
        <v>512</v>
      </c>
      <c r="GJ2" s="134" t="s">
        <v>513</v>
      </c>
      <c r="GK2" s="71"/>
      <c r="GL2" s="71"/>
      <c r="GM2" s="71"/>
      <c r="GN2" s="71"/>
      <c r="GO2" s="71"/>
      <c r="GP2" s="71"/>
      <c r="GQ2" s="71"/>
      <c r="GR2" s="71"/>
      <c r="GS2" s="71"/>
      <c r="GT2" s="71"/>
      <c r="GU2" s="71"/>
      <c r="GV2" s="71"/>
      <c r="GW2" s="71"/>
      <c r="GX2" s="71"/>
      <c r="GY2" s="71"/>
      <c r="GZ2" s="71"/>
      <c r="HA2" s="71"/>
      <c r="HB2" s="71"/>
      <c r="HC2" s="71"/>
      <c r="HD2" s="71"/>
      <c r="HE2" s="71"/>
      <c r="HF2" s="71"/>
      <c r="HG2" s="71"/>
      <c r="HH2" s="71"/>
      <c r="HI2" s="71"/>
      <c r="HJ2" s="71"/>
      <c r="HK2" s="71"/>
      <c r="HL2" s="71"/>
      <c r="HM2" s="71"/>
      <c r="HN2" s="71"/>
      <c r="HO2" s="71"/>
      <c r="HP2" s="71"/>
      <c r="HQ2" s="71"/>
      <c r="HR2" s="71"/>
      <c r="HS2" s="71"/>
      <c r="HT2" s="71"/>
      <c r="HU2" s="71"/>
      <c r="HV2" s="71"/>
      <c r="HW2" s="71"/>
      <c r="HX2" s="71"/>
      <c r="HY2" s="71"/>
    </row>
    <row r="3" spans="1:252" x14ac:dyDescent="0.2">
      <c r="A3" s="36">
        <v>0</v>
      </c>
      <c r="B3" s="70" t="s">
        <v>29</v>
      </c>
      <c r="C3" s="77">
        <v>5220393</v>
      </c>
      <c r="D3" s="77">
        <v>5266214</v>
      </c>
      <c r="E3" s="77">
        <v>5303925</v>
      </c>
      <c r="F3" s="77">
        <v>5344861</v>
      </c>
      <c r="G3" s="148">
        <v>5379139</v>
      </c>
      <c r="H3" s="41">
        <v>4654134</v>
      </c>
      <c r="I3" s="41">
        <v>297962</v>
      </c>
      <c r="J3" s="41">
        <v>68961</v>
      </c>
      <c r="K3" s="41">
        <v>238326</v>
      </c>
      <c r="L3" s="41">
        <v>264359</v>
      </c>
      <c r="M3" s="41">
        <v>2095574</v>
      </c>
      <c r="N3" s="41">
        <v>2108843</v>
      </c>
      <c r="O3" s="41">
        <v>2087227</v>
      </c>
      <c r="P3" s="41">
        <v>2101295</v>
      </c>
      <c r="Q3" s="41">
        <v>2110877</v>
      </c>
      <c r="R3" s="86">
        <v>18.405817030301797</v>
      </c>
      <c r="S3" s="86">
        <v>18.90554594234591</v>
      </c>
      <c r="T3" s="86">
        <v>19.202697908766517</v>
      </c>
      <c r="U3" s="86">
        <v>19.592109307625496</v>
      </c>
      <c r="V3" s="86">
        <v>20.342424933392131</v>
      </c>
      <c r="W3" s="86">
        <v>29.300242876124123</v>
      </c>
      <c r="X3" s="86">
        <v>29.458821686574556</v>
      </c>
      <c r="Y3" s="86">
        <v>29.891927356383359</v>
      </c>
      <c r="Z3" s="86">
        <v>29.626864692420845</v>
      </c>
      <c r="AA3" s="42">
        <v>29.602326355419251</v>
      </c>
      <c r="AB3" s="86">
        <v>47.706059906425921</v>
      </c>
      <c r="AC3" s="86">
        <v>48.364367628920469</v>
      </c>
      <c r="AD3" s="86">
        <v>49.094625265149872</v>
      </c>
      <c r="AE3" s="86">
        <v>49.218974000046344</v>
      </c>
      <c r="AF3" s="86">
        <v>49.944751288811382</v>
      </c>
      <c r="AG3" s="44">
        <v>5.4</v>
      </c>
      <c r="AH3" s="44">
        <v>8.1</v>
      </c>
      <c r="AI3" s="44">
        <v>7.3</v>
      </c>
      <c r="AJ3" s="44">
        <v>6.4</v>
      </c>
      <c r="AK3" s="44">
        <v>5.6</v>
      </c>
      <c r="AL3" s="41">
        <v>134859.24999999997</v>
      </c>
      <c r="AM3" s="41">
        <v>169710.66666666669</v>
      </c>
      <c r="AN3" s="41">
        <v>134859.24999999997</v>
      </c>
      <c r="AO3" s="41">
        <v>237131.91666666669</v>
      </c>
      <c r="AP3" s="41">
        <v>251642.16666666657</v>
      </c>
      <c r="AQ3" s="41">
        <v>45926.69</v>
      </c>
      <c r="AR3" s="41">
        <v>44093.71</v>
      </c>
      <c r="AS3" s="41">
        <v>44870.94</v>
      </c>
      <c r="AT3" s="41">
        <v>46069.05</v>
      </c>
      <c r="AU3" s="41">
        <v>46924.514499439407</v>
      </c>
      <c r="AV3" s="84">
        <v>61122.597102515349</v>
      </c>
      <c r="AW3" s="84">
        <v>59524.9381261499</v>
      </c>
      <c r="AX3" s="84">
        <v>58355.189129395403</v>
      </c>
      <c r="AY3" s="84">
        <v>58122.033137713566</v>
      </c>
      <c r="AZ3" s="84">
        <v>58828</v>
      </c>
      <c r="BA3" s="45">
        <v>9.62031204909146</v>
      </c>
      <c r="BB3" s="45">
        <v>10.873109199822638</v>
      </c>
      <c r="BC3" s="45">
        <v>11.47544174337067</v>
      </c>
      <c r="BD3" s="45">
        <v>11.81764463946117</v>
      </c>
      <c r="BE3" s="45">
        <v>11.365086683477063</v>
      </c>
      <c r="BF3" s="45">
        <v>11.402595156967484</v>
      </c>
      <c r="BG3" s="45">
        <v>13.880229458334476</v>
      </c>
      <c r="BH3" s="45">
        <v>15.017250168944953</v>
      </c>
      <c r="BI3" s="45">
        <v>15.262407516987487</v>
      </c>
      <c r="BJ3" s="45">
        <v>14.577464341407795</v>
      </c>
      <c r="BK3" s="41">
        <v>836630</v>
      </c>
      <c r="BL3" s="41">
        <v>837640</v>
      </c>
      <c r="BM3" s="41">
        <v>839426</v>
      </c>
      <c r="BN3" s="41">
        <v>845177</v>
      </c>
      <c r="BO3" s="44">
        <v>35.487132902238741</v>
      </c>
      <c r="BP3" s="44">
        <v>36.566305334033714</v>
      </c>
      <c r="BQ3" s="44">
        <v>37.152887806667891</v>
      </c>
      <c r="BR3" s="44">
        <v>38.304875783415781</v>
      </c>
      <c r="BS3" s="86">
        <v>7.5757503316878427</v>
      </c>
      <c r="BT3" s="86">
        <v>7.6561530012893364</v>
      </c>
      <c r="BU3" s="86">
        <v>7.6984749102362802</v>
      </c>
      <c r="BV3" s="86">
        <v>7.7722181270905386</v>
      </c>
      <c r="BW3" s="44">
        <v>14.608488818235061</v>
      </c>
      <c r="BX3" s="44">
        <v>14.839071677570317</v>
      </c>
      <c r="BY3" s="44">
        <v>14.906853016227755</v>
      </c>
      <c r="BZ3" s="44">
        <v>14.897471180592941</v>
      </c>
      <c r="CA3" s="44">
        <v>75.848097788765273</v>
      </c>
      <c r="CB3" s="44">
        <v>76.821750059683467</v>
      </c>
      <c r="CC3" s="44">
        <v>77.55</v>
      </c>
      <c r="CD3" s="44">
        <v>78.400000000000006</v>
      </c>
      <c r="CE3" s="44">
        <v>4.8605960719681365</v>
      </c>
      <c r="CF3" s="44">
        <v>4.7760816750691628</v>
      </c>
      <c r="CG3" s="41">
        <v>5.07</v>
      </c>
      <c r="CH3" s="44">
        <v>4.32</v>
      </c>
      <c r="CI3" s="41">
        <v>320355</v>
      </c>
      <c r="CJ3" s="41">
        <v>333265</v>
      </c>
      <c r="CK3" s="41">
        <v>358777</v>
      </c>
      <c r="CL3" s="41">
        <v>348605</v>
      </c>
      <c r="CM3" s="44">
        <v>13.9</v>
      </c>
      <c r="CN3" s="44">
        <v>13.6</v>
      </c>
      <c r="CO3" s="44">
        <v>14</v>
      </c>
      <c r="CP3" s="44">
        <v>13.1</v>
      </c>
      <c r="CQ3" s="41">
        <v>13694</v>
      </c>
      <c r="CR3" s="41">
        <v>14570</v>
      </c>
      <c r="CS3" s="41">
        <v>16822</v>
      </c>
      <c r="CT3" s="41">
        <v>16148</v>
      </c>
      <c r="CU3" s="44">
        <v>4.4000000000000004</v>
      </c>
      <c r="CV3" s="44">
        <v>4.5</v>
      </c>
      <c r="CW3" s="44">
        <v>4.9000000000000004</v>
      </c>
      <c r="CX3" s="44">
        <v>4.8</v>
      </c>
      <c r="CY3" s="41">
        <v>20829</v>
      </c>
      <c r="CZ3" s="41">
        <v>21694</v>
      </c>
      <c r="DA3" s="41">
        <v>25744</v>
      </c>
      <c r="DB3" s="41">
        <v>24491</v>
      </c>
      <c r="DC3" s="44">
        <v>7.3</v>
      </c>
      <c r="DD3" s="44">
        <v>7.6</v>
      </c>
      <c r="DE3" s="44">
        <v>8.4</v>
      </c>
      <c r="DF3" s="44">
        <v>8</v>
      </c>
      <c r="DG3" s="44">
        <v>83.5</v>
      </c>
      <c r="DH3" s="44">
        <v>84.8</v>
      </c>
      <c r="DI3" s="44">
        <v>86.3</v>
      </c>
      <c r="DJ3" s="44">
        <v>85.3</v>
      </c>
      <c r="DK3" s="44">
        <v>13.5</v>
      </c>
      <c r="DL3" s="44">
        <v>11.4</v>
      </c>
      <c r="DM3" s="44">
        <v>9.6999999999999993</v>
      </c>
      <c r="DN3" s="44">
        <v>10.649282210756125</v>
      </c>
      <c r="DO3" s="44">
        <v>24.3</v>
      </c>
      <c r="DP3" s="44">
        <v>26.1</v>
      </c>
      <c r="DQ3" s="44">
        <v>30.2</v>
      </c>
      <c r="DR3" s="44">
        <v>33.200000000000003</v>
      </c>
      <c r="DS3" s="44">
        <v>33.042868292875703</v>
      </c>
      <c r="DT3" s="44">
        <v>28.986994274861239</v>
      </c>
      <c r="DU3" s="44">
        <v>27.147443597527683</v>
      </c>
      <c r="DV3" s="44">
        <v>22.358854710939756</v>
      </c>
      <c r="DW3" s="41">
        <v>52171</v>
      </c>
      <c r="DX3" s="41">
        <v>7049</v>
      </c>
      <c r="DY3" s="41">
        <v>1346</v>
      </c>
      <c r="DZ3" s="41">
        <v>5383</v>
      </c>
      <c r="EA3" s="41">
        <v>4825</v>
      </c>
      <c r="EB3" s="41">
        <v>2186</v>
      </c>
      <c r="EC3" s="41">
        <v>1888</v>
      </c>
      <c r="ED3" s="41">
        <v>1747</v>
      </c>
      <c r="EE3" s="41">
        <v>1785</v>
      </c>
      <c r="EF3" s="41">
        <v>184221</v>
      </c>
      <c r="EG3" s="41">
        <v>189162</v>
      </c>
      <c r="EH3" s="41">
        <v>186162</v>
      </c>
      <c r="EI3" s="41">
        <v>194908</v>
      </c>
      <c r="EJ3" s="92">
        <v>37730</v>
      </c>
      <c r="EK3" s="92">
        <v>1090</v>
      </c>
      <c r="EL3" s="92">
        <v>484</v>
      </c>
      <c r="EM3" s="92">
        <v>515</v>
      </c>
      <c r="EN3" s="92">
        <v>354</v>
      </c>
      <c r="EO3" s="44">
        <v>799.0179705201183</v>
      </c>
      <c r="EP3" s="44">
        <v>774.47134271382515</v>
      </c>
      <c r="EQ3" s="44">
        <v>725.55561349752793</v>
      </c>
      <c r="ER3" s="44">
        <v>732.83709463079299</v>
      </c>
      <c r="ES3" s="44">
        <v>806.4</v>
      </c>
      <c r="ET3" s="44">
        <v>761</v>
      </c>
      <c r="EU3" s="44">
        <v>682.4</v>
      </c>
      <c r="EV3" s="44">
        <v>657.7</v>
      </c>
      <c r="EW3" s="44">
        <v>1019.0552440571552</v>
      </c>
      <c r="EX3" s="44">
        <v>927.97938849312095</v>
      </c>
      <c r="EY3" s="44">
        <v>820.40119607691838</v>
      </c>
      <c r="EZ3" s="44">
        <v>780.95962416574162</v>
      </c>
      <c r="FA3" s="44">
        <v>656.61145646718342</v>
      </c>
      <c r="FB3" s="44">
        <v>638.02100691230225</v>
      </c>
      <c r="FC3" s="44">
        <v>577.0347135256618</v>
      </c>
      <c r="FD3" s="44">
        <v>559.98669272683378</v>
      </c>
      <c r="FE3" s="41">
        <v>43201</v>
      </c>
      <c r="FF3" s="41">
        <v>44974</v>
      </c>
      <c r="FG3" s="41">
        <v>45329</v>
      </c>
      <c r="FH3" s="41">
        <v>47515</v>
      </c>
      <c r="FI3" s="44">
        <v>194.1019</v>
      </c>
      <c r="FJ3" s="44">
        <v>187.05529999999999</v>
      </c>
      <c r="FK3" s="44">
        <v>172.89769999999999</v>
      </c>
      <c r="FL3" s="44">
        <v>164.58529999999999</v>
      </c>
      <c r="FM3" s="41">
        <v>50641</v>
      </c>
      <c r="FN3" s="41">
        <v>45015</v>
      </c>
      <c r="FO3" s="41">
        <v>39037</v>
      </c>
      <c r="FP3" s="41">
        <v>36531</v>
      </c>
      <c r="FQ3" s="44">
        <v>221.3083</v>
      </c>
      <c r="FR3" s="44">
        <v>179.4469</v>
      </c>
      <c r="FS3" s="44">
        <v>140.35499999999999</v>
      </c>
      <c r="FT3" s="44">
        <v>120.69289999999999</v>
      </c>
      <c r="FU3" s="41">
        <v>15058</v>
      </c>
      <c r="FV3" s="41">
        <v>14016</v>
      </c>
      <c r="FW3" s="41">
        <v>11757</v>
      </c>
      <c r="FX3" s="41">
        <v>10161</v>
      </c>
      <c r="FY3" s="44">
        <v>64.884410000000003</v>
      </c>
      <c r="FZ3" s="44">
        <v>55.120609999999999</v>
      </c>
      <c r="GA3" s="44">
        <v>42.089390000000002</v>
      </c>
      <c r="GB3" s="44">
        <v>33.602939999999997</v>
      </c>
      <c r="GC3" s="38">
        <v>7874</v>
      </c>
      <c r="GD3" s="38">
        <v>8855</v>
      </c>
      <c r="GE3" s="38">
        <v>9648</v>
      </c>
      <c r="GF3" s="38">
        <v>10785</v>
      </c>
      <c r="GG3" s="90">
        <v>33.810540000000003</v>
      </c>
      <c r="GH3" s="90">
        <v>35.228760000000001</v>
      </c>
      <c r="GI3" s="90">
        <v>35.42597</v>
      </c>
      <c r="GJ3" s="90">
        <v>37.464129999999997</v>
      </c>
      <c r="GK3" s="72">
        <v>191</v>
      </c>
      <c r="GL3" s="72">
        <v>192</v>
      </c>
      <c r="GM3" s="72">
        <v>193</v>
      </c>
      <c r="GN3" s="72">
        <v>194</v>
      </c>
      <c r="GO3" s="72">
        <v>195</v>
      </c>
      <c r="GP3" s="72">
        <v>196</v>
      </c>
      <c r="GQ3" s="72">
        <v>197</v>
      </c>
      <c r="GR3" s="72">
        <v>198</v>
      </c>
      <c r="GS3" s="72">
        <v>199</v>
      </c>
      <c r="GT3" s="72">
        <v>200</v>
      </c>
      <c r="GU3" s="72">
        <v>201</v>
      </c>
      <c r="GV3" s="72">
        <v>202</v>
      </c>
      <c r="GW3" s="72">
        <v>203</v>
      </c>
      <c r="GX3" s="72">
        <v>204</v>
      </c>
      <c r="GY3" s="72">
        <v>205</v>
      </c>
      <c r="GZ3" s="72">
        <v>206</v>
      </c>
      <c r="HA3" s="72">
        <v>207</v>
      </c>
      <c r="HB3" s="72">
        <v>208</v>
      </c>
      <c r="HC3" s="72">
        <v>209</v>
      </c>
      <c r="HD3" s="72">
        <v>210</v>
      </c>
      <c r="HE3" s="72">
        <v>211</v>
      </c>
      <c r="HF3" s="72">
        <v>212</v>
      </c>
      <c r="HG3" s="72">
        <v>213</v>
      </c>
      <c r="HH3" s="72">
        <v>214</v>
      </c>
      <c r="HI3" s="72">
        <v>215</v>
      </c>
      <c r="HJ3" s="72">
        <v>216</v>
      </c>
      <c r="HK3" s="72">
        <v>217</v>
      </c>
      <c r="HL3" s="72">
        <v>218</v>
      </c>
      <c r="HM3" s="72">
        <v>219</v>
      </c>
      <c r="HN3" s="72">
        <v>220</v>
      </c>
      <c r="HO3" s="72">
        <v>221</v>
      </c>
      <c r="HP3" s="72">
        <v>222</v>
      </c>
      <c r="HQ3" s="72">
        <v>223</v>
      </c>
      <c r="HR3" s="72">
        <v>224</v>
      </c>
      <c r="HS3" s="72">
        <v>225</v>
      </c>
      <c r="HT3" s="72">
        <v>226</v>
      </c>
      <c r="HU3" s="72">
        <v>227</v>
      </c>
      <c r="HV3" s="72">
        <v>228</v>
      </c>
      <c r="HW3" s="72">
        <v>229</v>
      </c>
      <c r="HX3" s="72">
        <v>230</v>
      </c>
      <c r="HY3" s="72">
        <v>231</v>
      </c>
    </row>
    <row r="4" spans="1:252" x14ac:dyDescent="0.2">
      <c r="A4" s="36">
        <v>1</v>
      </c>
      <c r="B4" s="70" t="s">
        <v>58</v>
      </c>
      <c r="C4" s="77">
        <v>15736</v>
      </c>
      <c r="D4" s="77">
        <v>15646</v>
      </c>
      <c r="E4" s="77">
        <v>16202</v>
      </c>
      <c r="F4" s="77">
        <v>16220</v>
      </c>
      <c r="G4" s="149">
        <v>15927</v>
      </c>
      <c r="H4" s="41">
        <v>15195</v>
      </c>
      <c r="I4" s="41">
        <v>65</v>
      </c>
      <c r="J4" s="41">
        <v>393</v>
      </c>
      <c r="K4" s="41">
        <v>40</v>
      </c>
      <c r="L4" s="41">
        <v>166</v>
      </c>
      <c r="M4" s="41">
        <v>7235</v>
      </c>
      <c r="N4" s="41">
        <v>7111</v>
      </c>
      <c r="O4" s="41">
        <v>7299</v>
      </c>
      <c r="P4" s="41">
        <v>7330</v>
      </c>
      <c r="Q4" s="41">
        <v>7221</v>
      </c>
      <c r="R4" s="86">
        <v>43.128623577410352</v>
      </c>
      <c r="S4" s="86">
        <v>47.0562341806977</v>
      </c>
      <c r="T4" s="86">
        <v>46.936821952776008</v>
      </c>
      <c r="U4" s="86">
        <v>47.896922585454156</v>
      </c>
      <c r="V4" s="86">
        <v>49.868305531167692</v>
      </c>
      <c r="W4" s="86">
        <v>25.821344213012669</v>
      </c>
      <c r="X4" s="86">
        <v>25.123803235391218</v>
      </c>
      <c r="Y4" s="86">
        <v>25.388215273346095</v>
      </c>
      <c r="Z4" s="86">
        <v>24.821637738260037</v>
      </c>
      <c r="AA4" s="42">
        <v>24.923178226514487</v>
      </c>
      <c r="AB4" s="86">
        <v>68.949967790423017</v>
      </c>
      <c r="AC4" s="86">
        <v>72.180037416088922</v>
      </c>
      <c r="AD4" s="86">
        <v>72.325037226122106</v>
      </c>
      <c r="AE4" s="86">
        <v>72.7185603237142</v>
      </c>
      <c r="AF4" s="86">
        <v>74.791483757682172</v>
      </c>
      <c r="AG4" s="44">
        <v>8.0036321183032815</v>
      </c>
      <c r="AH4" s="44">
        <v>10.670967741935485</v>
      </c>
      <c r="AI4" s="44">
        <v>9.9540380827314507</v>
      </c>
      <c r="AJ4" s="44">
        <v>9.1648879402347916</v>
      </c>
      <c r="AK4" s="44">
        <v>7.7320991015518645</v>
      </c>
      <c r="AL4" s="41">
        <v>542.83333333333337</v>
      </c>
      <c r="AM4" s="41">
        <v>712.58333333333337</v>
      </c>
      <c r="AN4" s="41">
        <v>542.83333333333337</v>
      </c>
      <c r="AO4" s="41">
        <v>933.75</v>
      </c>
      <c r="AP4" s="41">
        <v>958.91666666666663</v>
      </c>
      <c r="AQ4" s="41">
        <v>31001.427574924532</v>
      </c>
      <c r="AR4" s="41">
        <v>31764.427668729615</v>
      </c>
      <c r="AS4" s="41">
        <v>32349.876965169147</v>
      </c>
      <c r="AT4" s="41">
        <v>33182.234775145749</v>
      </c>
      <c r="AU4" s="41">
        <v>34083.50599610724</v>
      </c>
      <c r="AV4" s="84">
        <v>42313.83950988885</v>
      </c>
      <c r="AW4" s="84">
        <v>41656.005674516076</v>
      </c>
      <c r="AX4" s="84">
        <v>40691.325450085067</v>
      </c>
      <c r="AY4" s="84">
        <v>40784.634028462329</v>
      </c>
      <c r="AZ4" s="84">
        <v>38871</v>
      </c>
      <c r="BA4" s="45">
        <v>13.92258064516129</v>
      </c>
      <c r="BB4" s="45">
        <v>14.972741433021806</v>
      </c>
      <c r="BC4" s="45">
        <v>13.103448275862069</v>
      </c>
      <c r="BD4" s="45">
        <v>13.153446440868967</v>
      </c>
      <c r="BE4" s="45">
        <v>13.943257889703538</v>
      </c>
      <c r="BF4" s="45">
        <v>22.566219470244238</v>
      </c>
      <c r="BG4" s="45">
        <v>23.943148688046648</v>
      </c>
      <c r="BH4" s="45">
        <v>24.08120406020301</v>
      </c>
      <c r="BI4" s="45">
        <v>22.889842632331902</v>
      </c>
      <c r="BJ4" s="45">
        <v>24.311421226588322</v>
      </c>
      <c r="BK4" s="41">
        <v>2018</v>
      </c>
      <c r="BL4" s="41">
        <v>2034</v>
      </c>
      <c r="BM4" s="41">
        <v>1984</v>
      </c>
      <c r="BN4" s="41">
        <v>1995</v>
      </c>
      <c r="BO4" s="44">
        <v>51.387512388503467</v>
      </c>
      <c r="BP4" s="44">
        <v>51.474926253687315</v>
      </c>
      <c r="BQ4" s="44">
        <v>51.5625</v>
      </c>
      <c r="BR4" s="44">
        <v>52.932330827067666</v>
      </c>
      <c r="BS4" s="86">
        <v>0.14866204162537167</v>
      </c>
      <c r="BT4" s="86">
        <v>9.8328416912487712E-2</v>
      </c>
      <c r="BU4" s="86">
        <v>5.040322580645161E-2</v>
      </c>
      <c r="BV4" s="86">
        <v>0</v>
      </c>
      <c r="BW4" s="44">
        <v>17.244796828543112</v>
      </c>
      <c r="BX4" s="44">
        <v>17.502458210422812</v>
      </c>
      <c r="BY4" s="44">
        <v>16.683467741935484</v>
      </c>
      <c r="BZ4" s="44">
        <v>16.390977443609021</v>
      </c>
      <c r="CA4" s="44">
        <v>81.012658227848107</v>
      </c>
      <c r="CB4" s="44">
        <v>85.05747126436782</v>
      </c>
      <c r="CC4" s="44">
        <v>75.430000000000007</v>
      </c>
      <c r="CD4" s="44">
        <v>78.400000000000006</v>
      </c>
      <c r="CE4" s="44">
        <v>5.0632911392405067</v>
      </c>
      <c r="CF4" s="44">
        <v>6.3218390804597702</v>
      </c>
      <c r="CG4" s="44">
        <v>8</v>
      </c>
      <c r="CH4" s="44">
        <v>4.32</v>
      </c>
      <c r="CI4" s="41">
        <v>705</v>
      </c>
      <c r="CJ4" s="41">
        <v>686</v>
      </c>
      <c r="CK4" s="41">
        <v>775</v>
      </c>
      <c r="CL4" s="41">
        <v>653</v>
      </c>
      <c r="CM4" s="44">
        <v>10.5</v>
      </c>
      <c r="CN4" s="44">
        <v>9.1999999999999993</v>
      </c>
      <c r="CO4" s="44">
        <v>9.6999999999999993</v>
      </c>
      <c r="CP4" s="44">
        <v>8.1999999999999993</v>
      </c>
      <c r="CQ4" s="41">
        <v>32</v>
      </c>
      <c r="CR4" s="41">
        <v>24</v>
      </c>
      <c r="CS4" s="41">
        <v>32</v>
      </c>
      <c r="CT4" s="41">
        <v>36</v>
      </c>
      <c r="CU4" s="44">
        <v>4.5999999999999996</v>
      </c>
      <c r="CV4" s="44">
        <v>3.6</v>
      </c>
      <c r="CW4" s="44">
        <v>4.2</v>
      </c>
      <c r="CX4" s="44">
        <v>5.6</v>
      </c>
      <c r="CY4" s="41">
        <v>43</v>
      </c>
      <c r="CZ4" s="41">
        <v>52</v>
      </c>
      <c r="DA4" s="41">
        <v>50</v>
      </c>
      <c r="DB4" s="41">
        <v>49</v>
      </c>
      <c r="DC4" s="44">
        <v>7</v>
      </c>
      <c r="DD4" s="44">
        <v>8.4</v>
      </c>
      <c r="DE4" s="44">
        <v>7.6</v>
      </c>
      <c r="DF4" s="44">
        <v>8.4</v>
      </c>
      <c r="DG4" s="44">
        <v>83.9</v>
      </c>
      <c r="DH4" s="44">
        <v>86.6</v>
      </c>
      <c r="DI4" s="44">
        <v>85.5</v>
      </c>
      <c r="DJ4" s="44">
        <v>87.5</v>
      </c>
      <c r="DK4" s="44">
        <v>25.7</v>
      </c>
      <c r="DL4" s="44">
        <v>26.6</v>
      </c>
      <c r="DM4" s="44">
        <v>29.9</v>
      </c>
      <c r="DN4" s="44">
        <v>28.012519561815335</v>
      </c>
      <c r="DO4" s="44">
        <v>27.5</v>
      </c>
      <c r="DP4" s="44">
        <v>32.5</v>
      </c>
      <c r="DQ4" s="44">
        <v>42.2</v>
      </c>
      <c r="DR4" s="44">
        <v>42.7</v>
      </c>
      <c r="DS4" s="44">
        <v>37.61755485893417</v>
      </c>
      <c r="DT4" s="44">
        <v>33.061399742378704</v>
      </c>
      <c r="DU4" s="44">
        <v>33.363802559414992</v>
      </c>
      <c r="DV4" s="44">
        <v>24.108488196885986</v>
      </c>
      <c r="DW4" s="41">
        <v>107</v>
      </c>
      <c r="DX4" s="41">
        <v>2</v>
      </c>
      <c r="DY4" s="41">
        <v>9</v>
      </c>
      <c r="DZ4" s="41">
        <v>1</v>
      </c>
      <c r="EA4" s="41">
        <v>5</v>
      </c>
      <c r="EB4" s="41">
        <v>6</v>
      </c>
      <c r="EC4" s="41">
        <v>4</v>
      </c>
      <c r="ED4" s="41">
        <v>3</v>
      </c>
      <c r="EE4" s="41">
        <v>1</v>
      </c>
      <c r="EF4" s="41">
        <v>934</v>
      </c>
      <c r="EG4" s="41">
        <v>889</v>
      </c>
      <c r="EH4" s="41">
        <v>868</v>
      </c>
      <c r="EI4" s="41">
        <v>1036</v>
      </c>
      <c r="EJ4" s="92">
        <v>189</v>
      </c>
      <c r="EK4" s="92">
        <v>0</v>
      </c>
      <c r="EL4" s="92">
        <v>3</v>
      </c>
      <c r="EM4" s="92">
        <v>0</v>
      </c>
      <c r="EN4" s="92">
        <v>0</v>
      </c>
      <c r="EO4" s="44">
        <v>1390.6673416515291</v>
      </c>
      <c r="EP4" s="44">
        <v>1192.1364587244543</v>
      </c>
      <c r="EQ4" s="44">
        <v>1084.3764835219749</v>
      </c>
      <c r="ER4" s="44">
        <v>1322.8010783023008</v>
      </c>
      <c r="ES4" s="44">
        <v>902.9</v>
      </c>
      <c r="ET4" s="44">
        <v>755.4</v>
      </c>
      <c r="EU4" s="44">
        <v>619.5</v>
      </c>
      <c r="EV4" s="44">
        <v>707.4</v>
      </c>
      <c r="EW4" s="44">
        <v>1257.837693766854</v>
      </c>
      <c r="EX4" s="44">
        <v>948.15488348525264</v>
      </c>
      <c r="EY4" s="44">
        <v>725.8845138177951</v>
      </c>
      <c r="EZ4" s="44">
        <v>815.08193083747358</v>
      </c>
      <c r="FA4" s="44">
        <v>655.99473379225446</v>
      </c>
      <c r="FB4" s="44">
        <v>616.8771997355384</v>
      </c>
      <c r="FC4" s="44">
        <v>511.73572696651979</v>
      </c>
      <c r="FD4" s="44">
        <v>595.71602382224296</v>
      </c>
      <c r="FE4" s="41">
        <v>231</v>
      </c>
      <c r="FF4" s="41">
        <v>228</v>
      </c>
      <c r="FG4" s="41">
        <v>232</v>
      </c>
      <c r="FH4" s="41">
        <v>242</v>
      </c>
      <c r="FI4" s="44">
        <v>219.77930000000001</v>
      </c>
      <c r="FJ4" s="44">
        <v>188.8707</v>
      </c>
      <c r="FK4" s="44">
        <v>159.42619999999999</v>
      </c>
      <c r="FL4" s="44">
        <v>159.8536</v>
      </c>
      <c r="FM4" s="41">
        <v>305</v>
      </c>
      <c r="FN4" s="41">
        <v>264</v>
      </c>
      <c r="FO4" s="41">
        <v>200</v>
      </c>
      <c r="FP4" s="41">
        <v>227</v>
      </c>
      <c r="FQ4" s="44">
        <v>278.79469999999998</v>
      </c>
      <c r="FR4" s="44">
        <v>214.64590000000001</v>
      </c>
      <c r="FS4" s="44">
        <v>135.82050000000001</v>
      </c>
      <c r="FT4" s="44">
        <v>147.029</v>
      </c>
      <c r="FU4" s="41">
        <v>99</v>
      </c>
      <c r="FV4" s="41">
        <v>47</v>
      </c>
      <c r="FW4" s="41">
        <v>60</v>
      </c>
      <c r="FX4" s="41">
        <v>41</v>
      </c>
      <c r="FY4" s="44">
        <v>86.890289999999993</v>
      </c>
      <c r="FZ4" s="44">
        <v>37.150889999999997</v>
      </c>
      <c r="GA4" s="44">
        <v>41.383369999999999</v>
      </c>
      <c r="GB4" s="44">
        <v>25.845179999999999</v>
      </c>
      <c r="GC4" s="38">
        <v>35</v>
      </c>
      <c r="GD4" s="38">
        <v>53</v>
      </c>
      <c r="GE4" s="38">
        <v>41</v>
      </c>
      <c r="GF4" s="38">
        <v>64</v>
      </c>
      <c r="GG4" s="90">
        <v>51.274889999999999</v>
      </c>
      <c r="GH4" s="90">
        <v>60.03933</v>
      </c>
      <c r="GI4" s="90">
        <v>41.2301</v>
      </c>
      <c r="GJ4" s="90">
        <v>60.089970000000001</v>
      </c>
      <c r="GK4" s="72" t="s">
        <v>188</v>
      </c>
      <c r="GL4" s="72" t="s">
        <v>189</v>
      </c>
      <c r="GM4" s="72" t="s">
        <v>190</v>
      </c>
      <c r="GN4" s="72" t="s">
        <v>191</v>
      </c>
      <c r="GO4" s="72" t="s">
        <v>192</v>
      </c>
      <c r="GP4" s="72" t="s">
        <v>193</v>
      </c>
      <c r="GQ4" s="72" t="s">
        <v>194</v>
      </c>
      <c r="GR4" s="72" t="s">
        <v>195</v>
      </c>
      <c r="GS4" s="72" t="s">
        <v>196</v>
      </c>
      <c r="GT4" s="72" t="s">
        <v>197</v>
      </c>
      <c r="GU4" s="72" t="s">
        <v>198</v>
      </c>
      <c r="GV4" s="72" t="s">
        <v>199</v>
      </c>
      <c r="GW4" s="72" t="s">
        <v>200</v>
      </c>
      <c r="GX4" s="72" t="s">
        <v>201</v>
      </c>
      <c r="GY4" s="72" t="s">
        <v>202</v>
      </c>
      <c r="GZ4" s="72" t="s">
        <v>203</v>
      </c>
      <c r="HA4" s="72" t="s">
        <v>204</v>
      </c>
      <c r="HB4" s="72" t="s">
        <v>205</v>
      </c>
      <c r="HC4" s="72" t="s">
        <v>206</v>
      </c>
      <c r="HD4" s="72" t="s">
        <v>207</v>
      </c>
      <c r="HE4" s="72" t="s">
        <v>208</v>
      </c>
      <c r="HF4" s="72" t="s">
        <v>209</v>
      </c>
      <c r="HG4" s="72" t="s">
        <v>210</v>
      </c>
      <c r="HH4" s="72" t="s">
        <v>211</v>
      </c>
      <c r="HI4" s="72" t="s">
        <v>212</v>
      </c>
      <c r="HJ4" s="72" t="s">
        <v>213</v>
      </c>
      <c r="HK4" s="72" t="s">
        <v>214</v>
      </c>
      <c r="HL4" s="72" t="s">
        <v>215</v>
      </c>
      <c r="HM4" s="72" t="s">
        <v>216</v>
      </c>
      <c r="HN4" s="72" t="s">
        <v>217</v>
      </c>
      <c r="HO4" s="72" t="s">
        <v>218</v>
      </c>
      <c r="HP4" s="72" t="s">
        <v>219</v>
      </c>
      <c r="HQ4" s="72" t="s">
        <v>220</v>
      </c>
      <c r="HR4" s="72" t="s">
        <v>221</v>
      </c>
      <c r="HS4" s="72" t="s">
        <v>222</v>
      </c>
      <c r="HT4" s="72" t="s">
        <v>223</v>
      </c>
      <c r="HU4" s="72" t="s">
        <v>224</v>
      </c>
      <c r="HV4" s="72" t="s">
        <v>225</v>
      </c>
      <c r="HW4" s="72" t="s">
        <v>226</v>
      </c>
      <c r="HX4" s="72" t="s">
        <v>227</v>
      </c>
      <c r="HY4" s="72" t="s">
        <v>228</v>
      </c>
    </row>
    <row r="5" spans="1:252" ht="13.5" customHeight="1" x14ac:dyDescent="0.2">
      <c r="A5" s="36">
        <v>2</v>
      </c>
      <c r="B5" s="70" t="s">
        <v>59</v>
      </c>
      <c r="C5" s="77">
        <v>327090</v>
      </c>
      <c r="D5" s="77">
        <v>331582</v>
      </c>
      <c r="E5" s="77">
        <v>330844</v>
      </c>
      <c r="F5" s="77">
        <v>333140</v>
      </c>
      <c r="G5" s="150">
        <v>336414</v>
      </c>
      <c r="H5" s="41">
        <v>295136</v>
      </c>
      <c r="I5" s="41">
        <v>16308</v>
      </c>
      <c r="J5" s="41">
        <v>2644</v>
      </c>
      <c r="K5" s="41">
        <v>13931</v>
      </c>
      <c r="L5" s="41">
        <v>12740</v>
      </c>
      <c r="M5" s="41">
        <v>120891</v>
      </c>
      <c r="N5" s="41">
        <v>122105</v>
      </c>
      <c r="O5" s="41">
        <v>121227</v>
      </c>
      <c r="P5" s="41">
        <v>122151</v>
      </c>
      <c r="Q5" s="41">
        <v>122997</v>
      </c>
      <c r="R5" s="86">
        <v>12.313844516835214</v>
      </c>
      <c r="S5" s="86">
        <v>13.416109877002066</v>
      </c>
      <c r="T5" s="86">
        <v>14.129095890410959</v>
      </c>
      <c r="U5" s="86">
        <v>14.76272175435235</v>
      </c>
      <c r="V5" s="86">
        <v>15.773467858272287</v>
      </c>
      <c r="W5" s="86">
        <v>30.326499819023073</v>
      </c>
      <c r="X5" s="86">
        <v>29.886423551986724</v>
      </c>
      <c r="Y5" s="86">
        <v>30.898410958904108</v>
      </c>
      <c r="Z5" s="86">
        <v>30.304033164087336</v>
      </c>
      <c r="AA5" s="42">
        <v>29.963134159601797</v>
      </c>
      <c r="AB5" s="86">
        <v>42.640344335858288</v>
      </c>
      <c r="AC5" s="86">
        <v>43.302533428988788</v>
      </c>
      <c r="AD5" s="86">
        <v>45.027506849315067</v>
      </c>
      <c r="AE5" s="86">
        <v>45.066754918439685</v>
      </c>
      <c r="AF5" s="86">
        <v>45.736602017874084</v>
      </c>
      <c r="AG5" s="44">
        <v>5.4096167466750611</v>
      </c>
      <c r="AH5" s="44">
        <v>8.6922241483740255</v>
      </c>
      <c r="AI5" s="44">
        <v>7.786604467269485</v>
      </c>
      <c r="AJ5" s="44">
        <v>6.7136349134121023</v>
      </c>
      <c r="AK5" s="44">
        <v>5.8423963085147248</v>
      </c>
      <c r="AL5" s="41">
        <v>6224.916666666667</v>
      </c>
      <c r="AM5" s="41">
        <v>8070.666666666667</v>
      </c>
      <c r="AN5" s="41">
        <v>6224.916666666667</v>
      </c>
      <c r="AO5" s="41">
        <v>11745.75</v>
      </c>
      <c r="AP5" s="41">
        <v>12528.75</v>
      </c>
      <c r="AQ5" s="41">
        <v>41675.751938522393</v>
      </c>
      <c r="AR5" s="41">
        <v>40495.809978226338</v>
      </c>
      <c r="AS5" s="41">
        <v>40516.73330467593</v>
      </c>
      <c r="AT5" s="41">
        <v>41373.549592220072</v>
      </c>
      <c r="AU5" s="41">
        <v>41587.980880700568</v>
      </c>
      <c r="AV5" s="84">
        <v>74626.129101349085</v>
      </c>
      <c r="AW5" s="84">
        <v>72076.105389296659</v>
      </c>
      <c r="AX5" s="84">
        <v>69210.842117812761</v>
      </c>
      <c r="AY5" s="84">
        <v>65118.846448317432</v>
      </c>
      <c r="AZ5" s="84">
        <v>67811</v>
      </c>
      <c r="BA5" s="45">
        <v>5.8123043742912675</v>
      </c>
      <c r="BB5" s="45">
        <v>7.0910848399284028</v>
      </c>
      <c r="BC5" s="45">
        <v>7.4072266816307613</v>
      </c>
      <c r="BD5" s="45">
        <v>8.5708825973805371</v>
      </c>
      <c r="BE5" s="45">
        <v>8.2807213471070167</v>
      </c>
      <c r="BF5" s="45">
        <v>7.3649325258690572</v>
      </c>
      <c r="BG5" s="45">
        <v>9.2619775248453937</v>
      </c>
      <c r="BH5" s="45">
        <v>10.207210500866816</v>
      </c>
      <c r="BI5" s="45">
        <v>11.148446655346424</v>
      </c>
      <c r="BJ5" s="45">
        <v>10.698900146807537</v>
      </c>
      <c r="BK5" s="41">
        <v>63985</v>
      </c>
      <c r="BL5" s="41">
        <v>63551</v>
      </c>
      <c r="BM5" s="41">
        <v>63416</v>
      </c>
      <c r="BN5" s="41">
        <v>63225</v>
      </c>
      <c r="BO5" s="44">
        <v>30.539970305540361</v>
      </c>
      <c r="BP5" s="44">
        <v>32.594294346273074</v>
      </c>
      <c r="BQ5" s="44">
        <v>33.472625204995587</v>
      </c>
      <c r="BR5" s="44">
        <v>35.111111111111114</v>
      </c>
      <c r="BS5" s="86">
        <v>7.0328983355473937</v>
      </c>
      <c r="BT5" s="86">
        <v>7.5765920284495918</v>
      </c>
      <c r="BU5" s="86">
        <v>7.5091459568563135</v>
      </c>
      <c r="BV5" s="86">
        <v>7.9810201660735469</v>
      </c>
      <c r="BW5" s="44">
        <v>13.661014300226615</v>
      </c>
      <c r="BX5" s="44">
        <v>13.941558748092083</v>
      </c>
      <c r="BY5" s="44">
        <v>14.297653588999621</v>
      </c>
      <c r="BZ5" s="44">
        <v>14.693554764729141</v>
      </c>
      <c r="CA5" s="44">
        <v>75.510638297872347</v>
      </c>
      <c r="CB5" s="44">
        <v>76.020627417275463</v>
      </c>
      <c r="CC5" s="44">
        <v>76.05</v>
      </c>
      <c r="CD5" s="44">
        <v>78.959999999999994</v>
      </c>
      <c r="CE5" s="44">
        <v>4</v>
      </c>
      <c r="CF5" s="44">
        <v>3.8031800601633003</v>
      </c>
      <c r="CG5" s="44">
        <v>4.3</v>
      </c>
      <c r="CH5" s="44">
        <v>4.38</v>
      </c>
      <c r="CI5" s="41">
        <v>21145</v>
      </c>
      <c r="CJ5" s="41">
        <v>21351</v>
      </c>
      <c r="CK5" s="41">
        <v>22145</v>
      </c>
      <c r="CL5" s="41">
        <v>20961</v>
      </c>
      <c r="CM5" s="44">
        <v>15.3</v>
      </c>
      <c r="CN5" s="44">
        <v>14.2</v>
      </c>
      <c r="CO5" s="44">
        <v>13.7</v>
      </c>
      <c r="CP5" s="44">
        <v>12.6</v>
      </c>
      <c r="CQ5" s="41">
        <v>830</v>
      </c>
      <c r="CR5" s="41">
        <v>883</v>
      </c>
      <c r="CS5" s="41">
        <v>1041</v>
      </c>
      <c r="CT5" s="41">
        <v>900</v>
      </c>
      <c r="CU5" s="44">
        <v>4</v>
      </c>
      <c r="CV5" s="44">
        <v>4.3</v>
      </c>
      <c r="CW5" s="44">
        <v>4.9000000000000004</v>
      </c>
      <c r="CX5" s="44">
        <v>4.5</v>
      </c>
      <c r="CY5" s="41">
        <v>1317</v>
      </c>
      <c r="CZ5" s="41">
        <v>1361</v>
      </c>
      <c r="DA5" s="41">
        <v>1606</v>
      </c>
      <c r="DB5" s="41">
        <v>1473</v>
      </c>
      <c r="DC5" s="44">
        <v>6.9</v>
      </c>
      <c r="DD5" s="44">
        <v>7.4</v>
      </c>
      <c r="DE5" s="44">
        <v>8.4</v>
      </c>
      <c r="DF5" s="44">
        <v>7.9</v>
      </c>
      <c r="DG5" s="44">
        <v>84.4</v>
      </c>
      <c r="DH5" s="44">
        <v>85.3</v>
      </c>
      <c r="DI5" s="44">
        <v>86.4</v>
      </c>
      <c r="DJ5" s="44">
        <v>86.7</v>
      </c>
      <c r="DK5" s="44">
        <v>15.2</v>
      </c>
      <c r="DL5" s="44">
        <v>10.4</v>
      </c>
      <c r="DM5" s="44">
        <v>7.4</v>
      </c>
      <c r="DN5" s="44">
        <v>9.8847815650504085</v>
      </c>
      <c r="DO5" s="44">
        <v>21.3</v>
      </c>
      <c r="DP5" s="44">
        <v>23</v>
      </c>
      <c r="DQ5" s="44">
        <v>26.1</v>
      </c>
      <c r="DR5" s="44">
        <v>30.2</v>
      </c>
      <c r="DS5" s="44">
        <v>29.46550497182313</v>
      </c>
      <c r="DT5" s="44">
        <v>24.471815157781172</v>
      </c>
      <c r="DU5" s="44">
        <v>21.899350934900003</v>
      </c>
      <c r="DV5" s="44">
        <v>17.257503837941805</v>
      </c>
      <c r="DW5" s="41">
        <v>3256</v>
      </c>
      <c r="DX5" s="41">
        <v>348</v>
      </c>
      <c r="DY5" s="41">
        <v>25</v>
      </c>
      <c r="DZ5" s="41">
        <v>280</v>
      </c>
      <c r="EA5" s="41">
        <v>194</v>
      </c>
      <c r="EB5" s="41">
        <v>131</v>
      </c>
      <c r="EC5" s="41">
        <v>109</v>
      </c>
      <c r="ED5" s="41">
        <v>98</v>
      </c>
      <c r="EE5" s="41">
        <v>100</v>
      </c>
      <c r="EF5" s="41">
        <v>5815</v>
      </c>
      <c r="EG5" s="41">
        <v>6869</v>
      </c>
      <c r="EH5" s="41">
        <v>7170</v>
      </c>
      <c r="EI5" s="41">
        <v>8420</v>
      </c>
      <c r="EJ5" s="92">
        <v>1660</v>
      </c>
      <c r="EK5" s="92">
        <v>42</v>
      </c>
      <c r="EL5" s="92">
        <v>14</v>
      </c>
      <c r="EM5" s="92">
        <v>34</v>
      </c>
      <c r="EN5" s="92">
        <v>12</v>
      </c>
      <c r="EO5" s="44">
        <v>421.35849165978289</v>
      </c>
      <c r="EP5" s="44">
        <v>456.60066818312953</v>
      </c>
      <c r="EQ5" s="44">
        <v>444.98866427063751</v>
      </c>
      <c r="ER5" s="44">
        <v>503.68349744756006</v>
      </c>
      <c r="ES5" s="44">
        <v>874.7</v>
      </c>
      <c r="ET5" s="44">
        <v>722</v>
      </c>
      <c r="EU5" s="44">
        <v>650.70000000000005</v>
      </c>
      <c r="EV5" s="44">
        <v>640.79999999999995</v>
      </c>
      <c r="EW5" s="44">
        <v>1140.316392062831</v>
      </c>
      <c r="EX5" s="44">
        <v>873.42777607423977</v>
      </c>
      <c r="EY5" s="44">
        <v>762.61155467783578</v>
      </c>
      <c r="EZ5" s="44">
        <v>769.09927959299978</v>
      </c>
      <c r="FA5" s="44">
        <v>720.09440081353591</v>
      </c>
      <c r="FB5" s="44">
        <v>621.78185704420082</v>
      </c>
      <c r="FC5" s="44">
        <v>564.89287900646832</v>
      </c>
      <c r="FD5" s="44">
        <v>540.14222693760667</v>
      </c>
      <c r="FE5" s="41">
        <v>1559</v>
      </c>
      <c r="FF5" s="41">
        <v>1906</v>
      </c>
      <c r="FG5" s="41">
        <v>2041</v>
      </c>
      <c r="FH5" s="41">
        <v>2448</v>
      </c>
      <c r="FI5" s="44">
        <v>215.33250000000001</v>
      </c>
      <c r="FJ5" s="44">
        <v>184.1977</v>
      </c>
      <c r="FK5" s="44">
        <v>173.667</v>
      </c>
      <c r="FL5" s="44">
        <v>172.7381</v>
      </c>
      <c r="FM5" s="41">
        <v>1391</v>
      </c>
      <c r="FN5" s="41">
        <v>1501</v>
      </c>
      <c r="FO5" s="41">
        <v>1260</v>
      </c>
      <c r="FP5" s="41">
        <v>1304</v>
      </c>
      <c r="FQ5" s="44">
        <v>219.38030000000001</v>
      </c>
      <c r="FR5" s="44">
        <v>165.7722</v>
      </c>
      <c r="FS5" s="44">
        <v>120.70959999999999</v>
      </c>
      <c r="FT5" s="44">
        <v>103.822</v>
      </c>
      <c r="FU5" s="41">
        <v>378</v>
      </c>
      <c r="FV5" s="41">
        <v>392</v>
      </c>
      <c r="FW5" s="41">
        <v>366</v>
      </c>
      <c r="FX5" s="41">
        <v>357</v>
      </c>
      <c r="FY5" s="44">
        <v>68.067220000000006</v>
      </c>
      <c r="FZ5" s="44">
        <v>46.569989999999997</v>
      </c>
      <c r="GA5" s="44">
        <v>36.08616</v>
      </c>
      <c r="GB5" s="44">
        <v>30.520119999999999</v>
      </c>
      <c r="GC5" s="38">
        <v>317</v>
      </c>
      <c r="GD5" s="38">
        <v>405</v>
      </c>
      <c r="GE5" s="38">
        <v>496</v>
      </c>
      <c r="GF5" s="38">
        <v>536</v>
      </c>
      <c r="GG5" s="90">
        <v>35.33831</v>
      </c>
      <c r="GH5" s="90">
        <v>35.142539999999997</v>
      </c>
      <c r="GI5" s="90">
        <v>39.230530000000002</v>
      </c>
      <c r="GJ5" s="90">
        <v>36.962679999999999</v>
      </c>
      <c r="GK5" s="72" t="s">
        <v>229</v>
      </c>
      <c r="GL5" s="72" t="s">
        <v>230</v>
      </c>
      <c r="GM5" s="72" t="s">
        <v>231</v>
      </c>
      <c r="GN5" s="72" t="s">
        <v>232</v>
      </c>
      <c r="GO5" s="72" t="s">
        <v>233</v>
      </c>
      <c r="GP5" s="72" t="s">
        <v>234</v>
      </c>
      <c r="GQ5" s="72" t="s">
        <v>235</v>
      </c>
      <c r="GR5" s="72" t="s">
        <v>236</v>
      </c>
      <c r="GS5" s="72" t="s">
        <v>237</v>
      </c>
      <c r="GT5" s="72" t="s">
        <v>238</v>
      </c>
      <c r="GU5" s="72" t="s">
        <v>239</v>
      </c>
      <c r="GV5" s="72" t="s">
        <v>240</v>
      </c>
      <c r="GW5" s="72" t="s">
        <v>241</v>
      </c>
      <c r="GX5" s="72" t="s">
        <v>242</v>
      </c>
      <c r="GY5" s="72" t="s">
        <v>243</v>
      </c>
      <c r="GZ5" s="72" t="s">
        <v>244</v>
      </c>
      <c r="HA5" s="72" t="s">
        <v>245</v>
      </c>
      <c r="HB5" s="72" t="s">
        <v>246</v>
      </c>
      <c r="HC5" s="72" t="s">
        <v>247</v>
      </c>
      <c r="HD5" s="72" t="s">
        <v>248</v>
      </c>
      <c r="HE5" s="72" t="s">
        <v>249</v>
      </c>
      <c r="HF5" s="72" t="s">
        <v>250</v>
      </c>
      <c r="HG5" s="72" t="s">
        <v>251</v>
      </c>
      <c r="HH5" s="72" t="s">
        <v>252</v>
      </c>
      <c r="HI5" s="72" t="s">
        <v>253</v>
      </c>
      <c r="HJ5" s="72" t="s">
        <v>254</v>
      </c>
      <c r="HK5" s="72" t="s">
        <v>255</v>
      </c>
      <c r="HL5" s="72" t="s">
        <v>256</v>
      </c>
      <c r="HM5" s="72" t="s">
        <v>257</v>
      </c>
      <c r="HN5" s="72" t="s">
        <v>258</v>
      </c>
      <c r="HO5" s="72" t="s">
        <v>259</v>
      </c>
      <c r="HP5" s="72" t="s">
        <v>260</v>
      </c>
      <c r="HQ5" s="72" t="s">
        <v>261</v>
      </c>
      <c r="HR5" s="72" t="s">
        <v>262</v>
      </c>
      <c r="HS5" s="72" t="s">
        <v>263</v>
      </c>
      <c r="HT5" s="72" t="s">
        <v>264</v>
      </c>
      <c r="HU5" s="72" t="s">
        <v>265</v>
      </c>
      <c r="HV5" s="72" t="s">
        <v>266</v>
      </c>
      <c r="HW5" s="72" t="s">
        <v>267</v>
      </c>
      <c r="HX5" s="72" t="s">
        <v>268</v>
      </c>
      <c r="HY5" s="72" t="s">
        <v>269</v>
      </c>
    </row>
    <row r="6" spans="1:252" x14ac:dyDescent="0.2">
      <c r="A6" s="36">
        <v>3</v>
      </c>
      <c r="B6" s="70" t="s">
        <v>60</v>
      </c>
      <c r="C6" s="77">
        <v>32000</v>
      </c>
      <c r="D6" s="77">
        <v>32076</v>
      </c>
      <c r="E6" s="77">
        <v>32504</v>
      </c>
      <c r="F6" s="77">
        <v>32778</v>
      </c>
      <c r="G6" s="150">
        <v>33000</v>
      </c>
      <c r="H6" s="41">
        <v>29096</v>
      </c>
      <c r="I6" s="41">
        <v>148</v>
      </c>
      <c r="J6" s="41">
        <v>2532</v>
      </c>
      <c r="K6" s="41">
        <v>172</v>
      </c>
      <c r="L6" s="41">
        <v>501</v>
      </c>
      <c r="M6" s="41">
        <v>13280</v>
      </c>
      <c r="N6" s="41">
        <v>13273</v>
      </c>
      <c r="O6" s="41">
        <v>13224</v>
      </c>
      <c r="P6" s="41">
        <v>13372</v>
      </c>
      <c r="Q6" s="41">
        <v>13477</v>
      </c>
      <c r="R6" s="86">
        <v>26.519552799882831</v>
      </c>
      <c r="S6" s="86">
        <v>27.252419955323901</v>
      </c>
      <c r="T6" s="86">
        <v>28.022469675879897</v>
      </c>
      <c r="U6" s="86">
        <v>28.534095951876139</v>
      </c>
      <c r="V6" s="86">
        <v>29.733195245845046</v>
      </c>
      <c r="W6" s="86">
        <v>29.707562368793635</v>
      </c>
      <c r="X6" s="86">
        <v>31.973194341027551</v>
      </c>
      <c r="Y6" s="86">
        <v>33.560349970173</v>
      </c>
      <c r="Z6" s="86">
        <v>33.085153592031951</v>
      </c>
      <c r="AA6" s="42">
        <v>33.012773092666571</v>
      </c>
      <c r="AB6" s="86">
        <v>56.227115168676463</v>
      </c>
      <c r="AC6" s="86">
        <v>59.225614296351452</v>
      </c>
      <c r="AD6" s="86">
        <v>61.58281964605289</v>
      </c>
      <c r="AE6" s="86">
        <v>61.61924954390809</v>
      </c>
      <c r="AF6" s="86">
        <v>62.745968338511616</v>
      </c>
      <c r="AG6" s="44">
        <v>6.7034139402560458</v>
      </c>
      <c r="AH6" s="44">
        <v>8.9068358811652732</v>
      </c>
      <c r="AI6" s="44">
        <v>7.8163632276916157</v>
      </c>
      <c r="AJ6" s="44">
        <v>7.1476211649622057</v>
      </c>
      <c r="AK6" s="44">
        <v>5.8167419552729909</v>
      </c>
      <c r="AL6" s="41">
        <v>1258.6666666666667</v>
      </c>
      <c r="AM6" s="41">
        <v>1591</v>
      </c>
      <c r="AN6" s="41">
        <v>1258.6666666666667</v>
      </c>
      <c r="AO6" s="41">
        <v>2088.5</v>
      </c>
      <c r="AP6" s="41">
        <v>2134</v>
      </c>
      <c r="AQ6" s="41">
        <v>36612.508634438018</v>
      </c>
      <c r="AR6" s="41">
        <v>36779.145840688238</v>
      </c>
      <c r="AS6" s="41">
        <v>37620.017297644408</v>
      </c>
      <c r="AT6" s="41">
        <v>38982.312108523744</v>
      </c>
      <c r="AU6" s="41">
        <v>40273.333333333336</v>
      </c>
      <c r="AV6" s="84">
        <v>46919.521789203616</v>
      </c>
      <c r="AW6" s="84">
        <v>47726.113170812845</v>
      </c>
      <c r="AX6" s="84">
        <v>46297.096207634437</v>
      </c>
      <c r="AY6" s="84">
        <v>48808.259037165022</v>
      </c>
      <c r="AZ6" s="84">
        <v>47356</v>
      </c>
      <c r="BA6" s="45">
        <v>11.60884483415936</v>
      </c>
      <c r="BB6" s="45">
        <v>13.146209958769425</v>
      </c>
      <c r="BC6" s="45">
        <v>14.596282992347337</v>
      </c>
      <c r="BD6" s="45">
        <v>12.942015061827874</v>
      </c>
      <c r="BE6" s="45">
        <v>13.48964583525647</v>
      </c>
      <c r="BF6" s="45">
        <v>17.663268117938827</v>
      </c>
      <c r="BG6" s="45">
        <v>19.45981554677207</v>
      </c>
      <c r="BH6" s="45">
        <v>22.520005080655405</v>
      </c>
      <c r="BI6" s="45">
        <v>20.352175577389307</v>
      </c>
      <c r="BJ6" s="45">
        <v>20.637732506643047</v>
      </c>
      <c r="BK6" s="41">
        <v>4466</v>
      </c>
      <c r="BL6" s="41">
        <v>4510</v>
      </c>
      <c r="BM6" s="41">
        <v>4539</v>
      </c>
      <c r="BN6" s="41">
        <v>4617</v>
      </c>
      <c r="BO6" s="44">
        <v>41.043439319301392</v>
      </c>
      <c r="BP6" s="44">
        <v>41.773835920177383</v>
      </c>
      <c r="BQ6" s="44">
        <v>40.361313064551666</v>
      </c>
      <c r="BR6" s="44">
        <v>44.119558154645873</v>
      </c>
      <c r="BS6" s="86">
        <v>0.26869682042095833</v>
      </c>
      <c r="BT6" s="86">
        <v>0.33259423503325941</v>
      </c>
      <c r="BU6" s="86">
        <v>0.26437541308658297</v>
      </c>
      <c r="BV6" s="86">
        <v>0.41152263374485598</v>
      </c>
      <c r="BW6" s="44">
        <v>20.510523958799819</v>
      </c>
      <c r="BX6" s="44">
        <v>20.576496674057651</v>
      </c>
      <c r="BY6" s="44">
        <v>20.577219651905708</v>
      </c>
      <c r="BZ6" s="44">
        <v>19.926359107645656</v>
      </c>
      <c r="CA6" s="44">
        <v>85.444743935309972</v>
      </c>
      <c r="CB6" s="44">
        <v>80.965147453083105</v>
      </c>
      <c r="CC6" s="44">
        <v>84.9</v>
      </c>
      <c r="CD6" s="44">
        <v>84.7</v>
      </c>
      <c r="CE6" s="44">
        <v>6.1994609164420487</v>
      </c>
      <c r="CF6" s="44">
        <v>6.4343163538873993</v>
      </c>
      <c r="CG6" s="44">
        <v>5.41</v>
      </c>
      <c r="CH6" s="44">
        <v>4.37</v>
      </c>
      <c r="CI6" s="41">
        <v>1805</v>
      </c>
      <c r="CJ6" s="41">
        <v>1831</v>
      </c>
      <c r="CK6" s="41">
        <v>2122</v>
      </c>
      <c r="CL6" s="41">
        <v>2190</v>
      </c>
      <c r="CM6" s="44">
        <v>12.5</v>
      </c>
      <c r="CN6" s="44">
        <v>12.2</v>
      </c>
      <c r="CO6" s="44">
        <v>13.3</v>
      </c>
      <c r="CP6" s="44">
        <v>13.5</v>
      </c>
      <c r="CQ6" s="41">
        <v>72</v>
      </c>
      <c r="CR6" s="41">
        <v>72</v>
      </c>
      <c r="CS6" s="41">
        <v>79</v>
      </c>
      <c r="CT6" s="41">
        <v>76</v>
      </c>
      <c r="CU6" s="44">
        <v>4.0999999999999996</v>
      </c>
      <c r="CV6" s="44">
        <v>4.0999999999999996</v>
      </c>
      <c r="CW6" s="44">
        <v>3.8</v>
      </c>
      <c r="CX6" s="44">
        <v>3.6</v>
      </c>
      <c r="CY6" s="41">
        <v>126</v>
      </c>
      <c r="CZ6" s="41">
        <v>116</v>
      </c>
      <c r="DA6" s="41">
        <v>116</v>
      </c>
      <c r="DB6" s="41">
        <v>128</v>
      </c>
      <c r="DC6" s="44">
        <v>7.6</v>
      </c>
      <c r="DD6" s="44">
        <v>7.4</v>
      </c>
      <c r="DE6" s="44">
        <v>6.3</v>
      </c>
      <c r="DF6" s="44">
        <v>7</v>
      </c>
      <c r="DG6" s="44">
        <v>83</v>
      </c>
      <c r="DH6" s="44">
        <v>81.2</v>
      </c>
      <c r="DI6" s="44">
        <v>83.2</v>
      </c>
      <c r="DJ6" s="44">
        <v>82.6</v>
      </c>
      <c r="DK6" s="44">
        <v>25.5</v>
      </c>
      <c r="DL6" s="44">
        <v>23.9</v>
      </c>
      <c r="DM6" s="44">
        <v>21.1</v>
      </c>
      <c r="DN6" s="44">
        <v>21.658986175115206</v>
      </c>
      <c r="DO6" s="44">
        <v>30.9</v>
      </c>
      <c r="DP6" s="44">
        <v>33.4</v>
      </c>
      <c r="DQ6" s="44">
        <v>37.799999999999997</v>
      </c>
      <c r="DR6" s="44">
        <v>41.9</v>
      </c>
      <c r="DS6" s="44">
        <v>41.37794496139378</v>
      </c>
      <c r="DT6" s="44">
        <v>38.3419689119171</v>
      </c>
      <c r="DU6" s="44">
        <v>32.863849765258216</v>
      </c>
      <c r="DV6" s="44">
        <v>34.511092851273624</v>
      </c>
      <c r="DW6" s="41">
        <v>352</v>
      </c>
      <c r="DX6" s="41">
        <v>5</v>
      </c>
      <c r="DY6" s="41">
        <v>74</v>
      </c>
      <c r="DZ6" s="41">
        <v>3</v>
      </c>
      <c r="EA6" s="41">
        <v>9</v>
      </c>
      <c r="EB6" s="41">
        <v>7</v>
      </c>
      <c r="EC6" s="41">
        <v>15</v>
      </c>
      <c r="ED6" s="41">
        <v>9</v>
      </c>
      <c r="EE6" s="41">
        <v>16</v>
      </c>
      <c r="EF6" s="41">
        <v>1646</v>
      </c>
      <c r="EG6" s="41">
        <v>1614</v>
      </c>
      <c r="EH6" s="41">
        <v>1582</v>
      </c>
      <c r="EI6" s="41">
        <v>1695</v>
      </c>
      <c r="EJ6" s="92">
        <v>305</v>
      </c>
      <c r="EK6" s="92">
        <v>0</v>
      </c>
      <c r="EL6" s="92">
        <v>29</v>
      </c>
      <c r="EM6" s="92">
        <v>0</v>
      </c>
      <c r="EN6" s="92">
        <v>0</v>
      </c>
      <c r="EO6" s="44">
        <v>1136.4264015465342</v>
      </c>
      <c r="EP6" s="44">
        <v>1073.6237128488945</v>
      </c>
      <c r="EQ6" s="44">
        <v>994.63700778985617</v>
      </c>
      <c r="ER6" s="44">
        <v>1050.5728288934586</v>
      </c>
      <c r="ES6" s="44">
        <v>897.3</v>
      </c>
      <c r="ET6" s="44">
        <v>854.2</v>
      </c>
      <c r="EU6" s="44">
        <v>772.5</v>
      </c>
      <c r="EV6" s="44">
        <v>774.7</v>
      </c>
      <c r="EW6" s="44">
        <v>1107.0175642025633</v>
      </c>
      <c r="EX6" s="44">
        <v>1070.7642849207014</v>
      </c>
      <c r="EY6" s="44">
        <v>932.8574661806656</v>
      </c>
      <c r="EZ6" s="44">
        <v>919.36155198632127</v>
      </c>
      <c r="FA6" s="44">
        <v>724.35282907899568</v>
      </c>
      <c r="FB6" s="44">
        <v>674.76310852128699</v>
      </c>
      <c r="FC6" s="44">
        <v>644.40383745809027</v>
      </c>
      <c r="FD6" s="44">
        <v>663.20077340896671</v>
      </c>
      <c r="FE6" s="41">
        <v>330</v>
      </c>
      <c r="FF6" s="41">
        <v>347</v>
      </c>
      <c r="FG6" s="41">
        <v>330</v>
      </c>
      <c r="FH6" s="41">
        <v>416</v>
      </c>
      <c r="FI6" s="44">
        <v>186.59610000000001</v>
      </c>
      <c r="FJ6" s="44">
        <v>185.5652</v>
      </c>
      <c r="FK6" s="44">
        <v>163.6386</v>
      </c>
      <c r="FL6" s="44">
        <v>187.8766</v>
      </c>
      <c r="FM6" s="41">
        <v>489</v>
      </c>
      <c r="FN6" s="41">
        <v>458</v>
      </c>
      <c r="FO6" s="41">
        <v>388</v>
      </c>
      <c r="FP6" s="41">
        <v>307</v>
      </c>
      <c r="FQ6" s="44">
        <v>262.70749999999998</v>
      </c>
      <c r="FR6" s="44">
        <v>235.97790000000001</v>
      </c>
      <c r="FS6" s="44">
        <v>184.99930000000001</v>
      </c>
      <c r="FT6" s="44">
        <v>137.34729999999999</v>
      </c>
      <c r="FU6" s="41">
        <v>152</v>
      </c>
      <c r="FV6" s="41">
        <v>133</v>
      </c>
      <c r="FW6" s="41">
        <v>108</v>
      </c>
      <c r="FX6" s="41">
        <v>91</v>
      </c>
      <c r="FY6" s="44">
        <v>77.198419999999999</v>
      </c>
      <c r="FZ6" s="44">
        <v>67.636560000000003</v>
      </c>
      <c r="GA6" s="44">
        <v>51.350349999999999</v>
      </c>
      <c r="GB6" s="44">
        <v>40.284509999999997</v>
      </c>
      <c r="GC6" s="38">
        <v>84</v>
      </c>
      <c r="GD6" s="38">
        <v>95</v>
      </c>
      <c r="GE6" s="38">
        <v>79</v>
      </c>
      <c r="GF6" s="38">
        <v>89</v>
      </c>
      <c r="GG6" s="90">
        <v>54.773850000000003</v>
      </c>
      <c r="GH6" s="90">
        <v>58.569870000000002</v>
      </c>
      <c r="GI6" s="90">
        <v>46.02017</v>
      </c>
      <c r="GJ6" s="90">
        <v>50.394199999999998</v>
      </c>
      <c r="GK6" s="72" t="s">
        <v>270</v>
      </c>
      <c r="GL6" s="72" t="s">
        <v>271</v>
      </c>
      <c r="GM6" s="72" t="s">
        <v>272</v>
      </c>
      <c r="GN6" s="72" t="s">
        <v>273</v>
      </c>
      <c r="GO6" s="72" t="s">
        <v>274</v>
      </c>
      <c r="GP6" s="72" t="s">
        <v>275</v>
      </c>
      <c r="GQ6" s="72" t="s">
        <v>276</v>
      </c>
      <c r="GR6" s="72" t="s">
        <v>277</v>
      </c>
      <c r="GS6" s="72" t="s">
        <v>278</v>
      </c>
      <c r="GT6" s="72" t="s">
        <v>279</v>
      </c>
      <c r="GU6" s="72" t="s">
        <v>280</v>
      </c>
      <c r="GV6" s="72" t="s">
        <v>281</v>
      </c>
      <c r="GW6" s="72" t="s">
        <v>282</v>
      </c>
      <c r="GX6" s="72" t="s">
        <v>283</v>
      </c>
      <c r="GY6" s="72" t="s">
        <v>284</v>
      </c>
      <c r="GZ6" s="72" t="s">
        <v>285</v>
      </c>
      <c r="HA6" s="72" t="s">
        <v>286</v>
      </c>
      <c r="HB6" s="72" t="s">
        <v>287</v>
      </c>
      <c r="HC6" s="72" t="s">
        <v>288</v>
      </c>
      <c r="HD6" s="72" t="s">
        <v>289</v>
      </c>
      <c r="HE6" s="72" t="s">
        <v>290</v>
      </c>
      <c r="HF6" s="72" t="s">
        <v>291</v>
      </c>
      <c r="HG6" s="72" t="s">
        <v>292</v>
      </c>
      <c r="HH6" s="72" t="s">
        <v>293</v>
      </c>
      <c r="HI6" s="72" t="s">
        <v>294</v>
      </c>
      <c r="HJ6" s="72" t="s">
        <v>295</v>
      </c>
      <c r="HK6" s="72" t="s">
        <v>296</v>
      </c>
      <c r="HL6" s="72" t="s">
        <v>297</v>
      </c>
      <c r="HM6" s="72" t="s">
        <v>298</v>
      </c>
      <c r="HN6" s="72" t="s">
        <v>299</v>
      </c>
      <c r="HO6" s="72" t="s">
        <v>300</v>
      </c>
      <c r="HP6" s="72" t="s">
        <v>301</v>
      </c>
      <c r="HQ6" s="72" t="s">
        <v>302</v>
      </c>
      <c r="HR6" s="72" t="s">
        <v>303</v>
      </c>
      <c r="HS6" s="72" t="s">
        <v>304</v>
      </c>
      <c r="HT6" s="72" t="s">
        <v>305</v>
      </c>
      <c r="HU6" s="72" t="s">
        <v>306</v>
      </c>
      <c r="HV6" s="72" t="s">
        <v>307</v>
      </c>
      <c r="HW6" s="72" t="s">
        <v>308</v>
      </c>
      <c r="HX6" s="72" t="s">
        <v>309</v>
      </c>
      <c r="HY6" s="72" t="s">
        <v>310</v>
      </c>
      <c r="HZ6" s="52"/>
      <c r="IA6" s="52"/>
      <c r="IB6" s="52"/>
      <c r="IC6" s="52"/>
      <c r="ID6" s="52"/>
      <c r="IE6" s="52"/>
      <c r="IF6" s="52"/>
      <c r="IG6" s="52"/>
      <c r="IH6" s="52"/>
      <c r="II6" s="52"/>
      <c r="IJ6" s="52"/>
      <c r="IK6" s="52"/>
      <c r="IL6" s="52"/>
      <c r="IM6" s="52"/>
      <c r="IN6" s="52"/>
      <c r="IO6" s="52"/>
      <c r="IP6" s="52"/>
      <c r="IQ6" s="52"/>
      <c r="IR6" s="52"/>
    </row>
    <row r="7" spans="1:252" x14ac:dyDescent="0.2">
      <c r="A7" s="36">
        <v>4</v>
      </c>
      <c r="B7" s="70" t="s">
        <v>61</v>
      </c>
      <c r="C7" s="77">
        <v>43835</v>
      </c>
      <c r="D7" s="77">
        <v>44350</v>
      </c>
      <c r="E7" s="77">
        <v>44442</v>
      </c>
      <c r="F7" s="77">
        <v>45264</v>
      </c>
      <c r="G7" s="150">
        <v>45375</v>
      </c>
      <c r="H7" s="41">
        <v>33978</v>
      </c>
      <c r="I7" s="41">
        <v>309</v>
      </c>
      <c r="J7" s="41">
        <v>9196</v>
      </c>
      <c r="K7" s="41">
        <v>400</v>
      </c>
      <c r="L7" s="41">
        <v>758</v>
      </c>
      <c r="M7" s="41">
        <v>16397</v>
      </c>
      <c r="N7" s="41">
        <v>16480</v>
      </c>
      <c r="O7" s="41">
        <v>16846</v>
      </c>
      <c r="P7" s="41">
        <v>17163</v>
      </c>
      <c r="Q7" s="41">
        <v>17246</v>
      </c>
      <c r="R7" s="86">
        <v>19.826779837173046</v>
      </c>
      <c r="S7" s="86">
        <v>19.584782164041727</v>
      </c>
      <c r="T7" s="86">
        <v>19.600763046736613</v>
      </c>
      <c r="U7" s="86">
        <v>20.215242400728719</v>
      </c>
      <c r="V7" s="86">
        <v>21.063894833384285</v>
      </c>
      <c r="W7" s="86">
        <v>32.035336913216696</v>
      </c>
      <c r="X7" s="86">
        <v>31.604963523556282</v>
      </c>
      <c r="Y7" s="86">
        <v>31.789072080664941</v>
      </c>
      <c r="Z7" s="86">
        <v>32.492156135083164</v>
      </c>
      <c r="AA7" s="42">
        <v>33.06837868134108</v>
      </c>
      <c r="AB7" s="86">
        <v>51.862116750389745</v>
      </c>
      <c r="AC7" s="86">
        <v>51.189745687598013</v>
      </c>
      <c r="AD7" s="86">
        <v>51.389835127401554</v>
      </c>
      <c r="AE7" s="86">
        <v>52.707398535811883</v>
      </c>
      <c r="AF7" s="86">
        <v>54.132273514725362</v>
      </c>
      <c r="AG7" s="44">
        <v>6.843713278495887</v>
      </c>
      <c r="AH7" s="44">
        <v>8.9790107013273328</v>
      </c>
      <c r="AI7" s="44">
        <v>8.2816572301608691</v>
      </c>
      <c r="AJ7" s="44">
        <v>8.4297595371542222</v>
      </c>
      <c r="AK7" s="44">
        <v>7.3331825378873559</v>
      </c>
      <c r="AL7" s="41">
        <v>3225.6666666666665</v>
      </c>
      <c r="AM7" s="41">
        <v>3634.1666666666665</v>
      </c>
      <c r="AN7" s="41">
        <v>3225.6666666666665</v>
      </c>
      <c r="AO7" s="41">
        <v>4331.583333333333</v>
      </c>
      <c r="AP7" s="41">
        <v>4220.333333333333</v>
      </c>
      <c r="AQ7" s="41">
        <v>32098.008659130828</v>
      </c>
      <c r="AR7" s="41">
        <v>33228.900925280192</v>
      </c>
      <c r="AS7" s="41">
        <v>32872.156921039415</v>
      </c>
      <c r="AT7" s="41">
        <v>32676.347074763053</v>
      </c>
      <c r="AU7" s="41">
        <v>33222.74380165289</v>
      </c>
      <c r="AV7" s="84">
        <v>47711.839903010252</v>
      </c>
      <c r="AW7" s="84">
        <v>42380.523089007074</v>
      </c>
      <c r="AX7" s="84">
        <v>42441.286193707732</v>
      </c>
      <c r="AY7" s="84">
        <v>41498.094641753662</v>
      </c>
      <c r="AZ7" s="84">
        <v>42655</v>
      </c>
      <c r="BA7" s="45">
        <v>17.014136798514922</v>
      </c>
      <c r="BB7" s="45">
        <v>20.902007083825264</v>
      </c>
      <c r="BC7" s="45">
        <v>20.809411764705882</v>
      </c>
      <c r="BD7" s="45">
        <v>20.436723647382664</v>
      </c>
      <c r="BE7" s="45">
        <v>21.216737058321218</v>
      </c>
      <c r="BF7" s="45">
        <v>25.245415817744028</v>
      </c>
      <c r="BG7" s="45">
        <v>29.943977591036415</v>
      </c>
      <c r="BH7" s="45">
        <v>29.639581210043549</v>
      </c>
      <c r="BI7" s="45">
        <v>29.637661516219392</v>
      </c>
      <c r="BJ7" s="45">
        <v>28.007854337736521</v>
      </c>
      <c r="BK7" s="41">
        <v>7667</v>
      </c>
      <c r="BL7" s="41">
        <v>7813</v>
      </c>
      <c r="BM7" s="41">
        <v>7805</v>
      </c>
      <c r="BN7" s="41">
        <v>7913</v>
      </c>
      <c r="BO7" s="44">
        <v>59.566975348897877</v>
      </c>
      <c r="BP7" s="44">
        <v>60.296940995776268</v>
      </c>
      <c r="BQ7" s="44">
        <v>59.692504804612426</v>
      </c>
      <c r="BR7" s="44">
        <v>58.29647415645141</v>
      </c>
      <c r="BS7" s="86">
        <v>1.7999217425329332</v>
      </c>
      <c r="BT7" s="86">
        <v>1.1519262767182901</v>
      </c>
      <c r="BU7" s="86">
        <v>1.1274823830877643</v>
      </c>
      <c r="BV7" s="86">
        <v>1.1373688866422342</v>
      </c>
      <c r="BW7" s="44">
        <v>18.638320073040301</v>
      </c>
      <c r="BX7" s="44">
        <v>18.507615512607192</v>
      </c>
      <c r="BY7" s="44">
        <v>18.347213324791799</v>
      </c>
      <c r="BZ7" s="44">
        <v>18.551750284342223</v>
      </c>
      <c r="CA7" s="44">
        <v>58.797653958944281</v>
      </c>
      <c r="CB7" s="44">
        <v>56.327160493827158</v>
      </c>
      <c r="CC7" s="44">
        <v>59.7</v>
      </c>
      <c r="CD7" s="44">
        <v>66.11</v>
      </c>
      <c r="CE7" s="44">
        <v>12.170087976539589</v>
      </c>
      <c r="CF7" s="44">
        <v>13.271604938271604</v>
      </c>
      <c r="CG7" s="44">
        <v>12.17</v>
      </c>
      <c r="CH7" s="44">
        <v>11.9</v>
      </c>
      <c r="CI7" s="41">
        <v>2711</v>
      </c>
      <c r="CJ7" s="41">
        <v>2901</v>
      </c>
      <c r="CK7" s="41">
        <v>3378</v>
      </c>
      <c r="CL7" s="41">
        <v>3636</v>
      </c>
      <c r="CM7" s="44">
        <v>14.4</v>
      </c>
      <c r="CN7" s="44">
        <v>14.6</v>
      </c>
      <c r="CO7" s="44">
        <v>15.8</v>
      </c>
      <c r="CP7" s="44">
        <v>16.3</v>
      </c>
      <c r="CQ7" s="41">
        <v>120</v>
      </c>
      <c r="CR7" s="41">
        <v>129</v>
      </c>
      <c r="CS7" s="41">
        <v>153</v>
      </c>
      <c r="CT7" s="41">
        <v>170</v>
      </c>
      <c r="CU7" s="44">
        <v>4.5</v>
      </c>
      <c r="CV7" s="44">
        <v>4.5</v>
      </c>
      <c r="CW7" s="44">
        <v>4.7</v>
      </c>
      <c r="CX7" s="44">
        <v>4.8</v>
      </c>
      <c r="CY7" s="41">
        <v>191</v>
      </c>
      <c r="CZ7" s="41">
        <v>202</v>
      </c>
      <c r="DA7" s="41">
        <v>241</v>
      </c>
      <c r="DB7" s="41">
        <v>305</v>
      </c>
      <c r="DC7" s="44">
        <v>8</v>
      </c>
      <c r="DD7" s="44">
        <v>9</v>
      </c>
      <c r="DE7" s="44">
        <v>8.8000000000000007</v>
      </c>
      <c r="DF7" s="44">
        <v>10</v>
      </c>
      <c r="DG7" s="44">
        <v>71.099999999999994</v>
      </c>
      <c r="DH7" s="44">
        <v>72.5</v>
      </c>
      <c r="DI7" s="44">
        <v>72.5</v>
      </c>
      <c r="DJ7" s="44">
        <v>72.400000000000006</v>
      </c>
      <c r="DK7" s="44">
        <v>18.5</v>
      </c>
      <c r="DL7" s="44">
        <v>18.600000000000001</v>
      </c>
      <c r="DM7" s="44">
        <v>26.6</v>
      </c>
      <c r="DN7" s="44">
        <v>28.693495038588754</v>
      </c>
      <c r="DO7" s="44">
        <v>45.6</v>
      </c>
      <c r="DP7" s="44">
        <v>48.3</v>
      </c>
      <c r="DQ7" s="44">
        <v>52.9</v>
      </c>
      <c r="DR7" s="44">
        <v>57.8</v>
      </c>
      <c r="DS7" s="44">
        <v>43.865661411925977</v>
      </c>
      <c r="DT7" s="44">
        <v>45.336383487574089</v>
      </c>
      <c r="DU7" s="44">
        <v>54.45441268516587</v>
      </c>
      <c r="DV7" s="44">
        <v>54.83207676490747</v>
      </c>
      <c r="DW7" s="41">
        <v>416</v>
      </c>
      <c r="DX7" s="41">
        <v>4</v>
      </c>
      <c r="DY7" s="41">
        <v>292</v>
      </c>
      <c r="DZ7" s="41">
        <v>5</v>
      </c>
      <c r="EA7" s="41">
        <v>12</v>
      </c>
      <c r="EB7" s="41">
        <v>31</v>
      </c>
      <c r="EC7" s="41">
        <v>23</v>
      </c>
      <c r="ED7" s="41">
        <v>23</v>
      </c>
      <c r="EE7" s="41">
        <v>35</v>
      </c>
      <c r="EF7" s="41">
        <v>1516</v>
      </c>
      <c r="EG7" s="41">
        <v>1629</v>
      </c>
      <c r="EH7" s="41">
        <v>1714</v>
      </c>
      <c r="EI7" s="41">
        <v>1847</v>
      </c>
      <c r="EJ7" s="92">
        <v>325</v>
      </c>
      <c r="EK7" s="92">
        <v>0</v>
      </c>
      <c r="EL7" s="92">
        <v>84</v>
      </c>
      <c r="EM7" s="92">
        <v>1</v>
      </c>
      <c r="EN7" s="92">
        <v>0</v>
      </c>
      <c r="EO7" s="44">
        <v>803.42994631434465</v>
      </c>
      <c r="EP7" s="44">
        <v>818.1201818044849</v>
      </c>
      <c r="EQ7" s="44">
        <v>802.02518377794104</v>
      </c>
      <c r="ER7" s="44">
        <v>807.79803362733355</v>
      </c>
      <c r="ES7" s="44">
        <v>867.2</v>
      </c>
      <c r="ET7" s="44">
        <v>863.2</v>
      </c>
      <c r="EU7" s="44">
        <v>797.5</v>
      </c>
      <c r="EV7" s="44">
        <v>762.9</v>
      </c>
      <c r="EW7" s="44">
        <v>1064.585324102042</v>
      </c>
      <c r="EX7" s="44">
        <v>1026.231794746788</v>
      </c>
      <c r="EY7" s="44">
        <v>1020.3563475815678</v>
      </c>
      <c r="EZ7" s="44">
        <v>912.73040450648023</v>
      </c>
      <c r="FA7" s="44">
        <v>709.05251288764885</v>
      </c>
      <c r="FB7" s="44">
        <v>717.7586333724621</v>
      </c>
      <c r="FC7" s="44">
        <v>621.77685971116807</v>
      </c>
      <c r="FD7" s="44">
        <v>634.27609151172635</v>
      </c>
      <c r="FE7" s="41">
        <v>317</v>
      </c>
      <c r="FF7" s="41">
        <v>335</v>
      </c>
      <c r="FG7" s="41">
        <v>379</v>
      </c>
      <c r="FH7" s="41">
        <v>393</v>
      </c>
      <c r="FI7" s="44">
        <v>186.5975</v>
      </c>
      <c r="FJ7" s="44">
        <v>182.77459999999999</v>
      </c>
      <c r="FK7" s="44">
        <v>181.7373</v>
      </c>
      <c r="FL7" s="44">
        <v>164.91720000000001</v>
      </c>
      <c r="FM7" s="41">
        <v>414</v>
      </c>
      <c r="FN7" s="41">
        <v>368</v>
      </c>
      <c r="FO7" s="41">
        <v>330</v>
      </c>
      <c r="FP7" s="41">
        <v>362</v>
      </c>
      <c r="FQ7" s="44">
        <v>239.10249999999999</v>
      </c>
      <c r="FR7" s="44">
        <v>194.12860000000001</v>
      </c>
      <c r="FS7" s="44">
        <v>152.5316</v>
      </c>
      <c r="FT7" s="44">
        <v>146.3657</v>
      </c>
      <c r="FU7" s="41">
        <v>123</v>
      </c>
      <c r="FV7" s="41">
        <v>100</v>
      </c>
      <c r="FW7" s="41">
        <v>93</v>
      </c>
      <c r="FX7" s="41">
        <v>91</v>
      </c>
      <c r="FY7" s="44">
        <v>70.974779999999996</v>
      </c>
      <c r="FZ7" s="44">
        <v>52.366390000000003</v>
      </c>
      <c r="GA7" s="44">
        <v>42.785960000000003</v>
      </c>
      <c r="GB7" s="44">
        <v>36.813000000000002</v>
      </c>
      <c r="GC7" s="38">
        <v>109</v>
      </c>
      <c r="GD7" s="38">
        <v>105</v>
      </c>
      <c r="GE7" s="38">
        <v>125</v>
      </c>
      <c r="GF7" s="38">
        <v>115</v>
      </c>
      <c r="GG7" s="90">
        <v>57.42557</v>
      </c>
      <c r="GH7" s="90">
        <v>52.904980000000002</v>
      </c>
      <c r="GI7" s="90">
        <v>59.53145</v>
      </c>
      <c r="GJ7" s="90">
        <v>52.595280000000002</v>
      </c>
      <c r="GK7" s="72" t="s">
        <v>311</v>
      </c>
      <c r="GL7" s="72" t="s">
        <v>312</v>
      </c>
      <c r="GM7" s="72" t="s">
        <v>313</v>
      </c>
      <c r="GN7" s="72" t="s">
        <v>314</v>
      </c>
      <c r="GO7" s="72" t="s">
        <v>315</v>
      </c>
      <c r="GP7" s="72" t="s">
        <v>316</v>
      </c>
      <c r="GQ7" s="72" t="s">
        <v>317</v>
      </c>
      <c r="GR7" s="72" t="s">
        <v>318</v>
      </c>
      <c r="GS7" s="72" t="s">
        <v>319</v>
      </c>
      <c r="GT7" s="72" t="s">
        <v>320</v>
      </c>
      <c r="GU7" s="72" t="s">
        <v>321</v>
      </c>
      <c r="GV7" s="72" t="s">
        <v>322</v>
      </c>
      <c r="GW7" s="72" t="s">
        <v>323</v>
      </c>
      <c r="GX7" s="72" t="s">
        <v>324</v>
      </c>
      <c r="GY7" s="72" t="s">
        <v>325</v>
      </c>
      <c r="GZ7" s="72" t="s">
        <v>326</v>
      </c>
      <c r="HA7" s="72" t="s">
        <v>327</v>
      </c>
      <c r="HB7" s="72" t="s">
        <v>328</v>
      </c>
      <c r="HC7" s="72" t="s">
        <v>329</v>
      </c>
      <c r="HD7" s="72" t="s">
        <v>330</v>
      </c>
      <c r="HE7" s="72" t="s">
        <v>331</v>
      </c>
      <c r="HF7" s="72" t="s">
        <v>332</v>
      </c>
      <c r="HG7" s="72" t="s">
        <v>333</v>
      </c>
      <c r="HH7" s="72" t="s">
        <v>334</v>
      </c>
      <c r="HI7" s="72" t="s">
        <v>335</v>
      </c>
      <c r="HJ7" s="72" t="s">
        <v>336</v>
      </c>
      <c r="HK7" s="72" t="s">
        <v>337</v>
      </c>
      <c r="HL7" s="72" t="s">
        <v>338</v>
      </c>
      <c r="HM7" s="72" t="s">
        <v>339</v>
      </c>
      <c r="HN7" s="72" t="s">
        <v>340</v>
      </c>
      <c r="HO7" s="72" t="s">
        <v>341</v>
      </c>
      <c r="HP7" s="72" t="s">
        <v>342</v>
      </c>
      <c r="HQ7" s="72" t="s">
        <v>343</v>
      </c>
      <c r="HR7" s="72" t="s">
        <v>344</v>
      </c>
      <c r="HS7" s="72" t="s">
        <v>345</v>
      </c>
      <c r="HT7" s="72" t="s">
        <v>346</v>
      </c>
      <c r="HU7" s="72" t="s">
        <v>347</v>
      </c>
      <c r="HV7" s="72" t="s">
        <v>348</v>
      </c>
      <c r="HW7" s="72" t="s">
        <v>349</v>
      </c>
      <c r="HX7" s="72" t="s">
        <v>350</v>
      </c>
      <c r="HY7" s="72" t="s">
        <v>351</v>
      </c>
      <c r="HZ7" s="52"/>
      <c r="IA7" s="52"/>
      <c r="IB7" s="52"/>
      <c r="IC7" s="52"/>
      <c r="ID7" s="52"/>
      <c r="IE7" s="52"/>
      <c r="IF7" s="52"/>
      <c r="IG7" s="52"/>
      <c r="IH7" s="52"/>
      <c r="II7" s="52"/>
      <c r="IJ7" s="52"/>
      <c r="IK7" s="52"/>
      <c r="IL7" s="52"/>
      <c r="IM7" s="52"/>
      <c r="IN7" s="52"/>
      <c r="IO7" s="52"/>
      <c r="IP7" s="52"/>
      <c r="IQ7" s="52"/>
      <c r="IR7" s="52"/>
    </row>
    <row r="8" spans="1:252" x14ac:dyDescent="0.2">
      <c r="A8" s="36">
        <v>5</v>
      </c>
      <c r="B8" s="70" t="s">
        <v>62</v>
      </c>
      <c r="C8" s="77">
        <v>39878</v>
      </c>
      <c r="D8" s="77">
        <v>40193</v>
      </c>
      <c r="E8" s="77">
        <v>38451</v>
      </c>
      <c r="F8" s="77">
        <v>38671</v>
      </c>
      <c r="G8" s="150">
        <v>38865</v>
      </c>
      <c r="H8" s="41">
        <v>36800</v>
      </c>
      <c r="I8" s="41">
        <v>875</v>
      </c>
      <c r="J8" s="41">
        <v>164</v>
      </c>
      <c r="K8" s="41">
        <v>434</v>
      </c>
      <c r="L8" s="41">
        <v>687</v>
      </c>
      <c r="M8" s="41">
        <v>15611</v>
      </c>
      <c r="N8" s="41">
        <v>15741</v>
      </c>
      <c r="O8" s="41">
        <v>15079</v>
      </c>
      <c r="P8" s="41">
        <v>15155</v>
      </c>
      <c r="Q8" s="41">
        <v>15287</v>
      </c>
      <c r="R8" s="86">
        <v>15.065438327118519</v>
      </c>
      <c r="S8" s="86">
        <v>14.800547235023041</v>
      </c>
      <c r="T8" s="86">
        <v>17.623632215906895</v>
      </c>
      <c r="U8" s="86">
        <v>17.610667076544729</v>
      </c>
      <c r="V8" s="86">
        <v>19.202688608181713</v>
      </c>
      <c r="W8" s="86">
        <v>30.719456021057251</v>
      </c>
      <c r="X8" s="86">
        <v>29.903513824884794</v>
      </c>
      <c r="Y8" s="86">
        <v>31.048215597571822</v>
      </c>
      <c r="Z8" s="86">
        <v>30.986781432523824</v>
      </c>
      <c r="AA8" s="42">
        <v>30.930582918066982</v>
      </c>
      <c r="AB8" s="86">
        <v>45.784894348175769</v>
      </c>
      <c r="AC8" s="86">
        <v>44.704061059907836</v>
      </c>
      <c r="AD8" s="86">
        <v>48.671847813478713</v>
      </c>
      <c r="AE8" s="86">
        <v>48.597448509068549</v>
      </c>
      <c r="AF8" s="86">
        <v>50.133271526248699</v>
      </c>
      <c r="AG8" s="44">
        <v>6.0008628127696291</v>
      </c>
      <c r="AH8" s="44">
        <v>8.7914915515910455</v>
      </c>
      <c r="AI8" s="44">
        <v>7.9689554264387805</v>
      </c>
      <c r="AJ8" s="44">
        <v>6.9612462328621758</v>
      </c>
      <c r="AK8" s="44">
        <v>6.0505705974490933</v>
      </c>
      <c r="AL8" s="41">
        <v>823.66666666666663</v>
      </c>
      <c r="AM8" s="41">
        <v>1055.3333333333333</v>
      </c>
      <c r="AN8" s="41">
        <v>823.66666666666663</v>
      </c>
      <c r="AO8" s="41">
        <v>1748.6666666666667</v>
      </c>
      <c r="AP8" s="41">
        <v>1902.9166666666667</v>
      </c>
      <c r="AQ8" s="41">
        <v>36348.520967632168</v>
      </c>
      <c r="AR8" s="41">
        <v>35361.533157062338</v>
      </c>
      <c r="AS8" s="41">
        <v>35445.826140146441</v>
      </c>
      <c r="AT8" s="41">
        <v>35821.601206663006</v>
      </c>
      <c r="AU8" s="41">
        <v>37418.628586131483</v>
      </c>
      <c r="AV8" s="84">
        <v>53944.813490089393</v>
      </c>
      <c r="AW8" s="84">
        <v>53157.318308983871</v>
      </c>
      <c r="AX8" s="84">
        <v>52368.259653920999</v>
      </c>
      <c r="AY8" s="84">
        <v>50505.662470503346</v>
      </c>
      <c r="AZ8" s="84">
        <v>52308</v>
      </c>
      <c r="BA8" s="45">
        <v>10.194558482290843</v>
      </c>
      <c r="BB8" s="45">
        <v>12.15196922142351</v>
      </c>
      <c r="BC8" s="45">
        <v>10.540919060328198</v>
      </c>
      <c r="BD8" s="45">
        <v>11.526824006104139</v>
      </c>
      <c r="BE8" s="45">
        <v>10.60027213732468</v>
      </c>
      <c r="BF8" s="45">
        <v>12.802768166089965</v>
      </c>
      <c r="BG8" s="45">
        <v>13.433454168824444</v>
      </c>
      <c r="BH8" s="45">
        <v>12.654155495978552</v>
      </c>
      <c r="BI8" s="45">
        <v>14.104070947750827</v>
      </c>
      <c r="BJ8" s="45">
        <v>12.365937365937366</v>
      </c>
      <c r="BK8" s="41">
        <v>5455</v>
      </c>
      <c r="BL8" s="41">
        <v>5559</v>
      </c>
      <c r="BM8" s="41">
        <v>5830</v>
      </c>
      <c r="BN8" s="41">
        <v>5756</v>
      </c>
      <c r="BO8" s="44">
        <v>32.447296058661777</v>
      </c>
      <c r="BP8" s="44">
        <v>32.074114049289442</v>
      </c>
      <c r="BQ8" s="44">
        <v>32.658662092624354</v>
      </c>
      <c r="BR8" s="44">
        <v>33.703961084086174</v>
      </c>
      <c r="BS8" s="86">
        <v>0.38496791934005498</v>
      </c>
      <c r="BT8" s="86">
        <v>0.35977693829825508</v>
      </c>
      <c r="BU8" s="86">
        <v>0.39451114922813035</v>
      </c>
      <c r="BV8" s="86">
        <v>0.46907574704656013</v>
      </c>
      <c r="BW8" s="44">
        <v>16.901924839596699</v>
      </c>
      <c r="BX8" s="44">
        <v>16.531750314804821</v>
      </c>
      <c r="BY8" s="44">
        <v>16.39794168096055</v>
      </c>
      <c r="BZ8" s="44">
        <v>17.025712300208479</v>
      </c>
      <c r="CA8" s="44">
        <v>85.091743119266056</v>
      </c>
      <c r="CB8" s="44">
        <v>83.885209713024281</v>
      </c>
      <c r="CC8" s="44">
        <v>89.33</v>
      </c>
      <c r="CD8" s="44">
        <v>88.41</v>
      </c>
      <c r="CE8" s="44">
        <v>1.834862385321101</v>
      </c>
      <c r="CF8" s="44">
        <v>2.2075055187637971</v>
      </c>
      <c r="CG8" s="44">
        <v>0.63</v>
      </c>
      <c r="CH8" s="44">
        <v>1.36</v>
      </c>
      <c r="CI8" s="41">
        <v>2412</v>
      </c>
      <c r="CJ8" s="41">
        <v>2695</v>
      </c>
      <c r="CK8" s="41">
        <v>2990</v>
      </c>
      <c r="CL8" s="41">
        <v>2907</v>
      </c>
      <c r="CM8" s="44">
        <v>14.7</v>
      </c>
      <c r="CN8" s="44">
        <v>15.4</v>
      </c>
      <c r="CO8" s="44">
        <v>15.6</v>
      </c>
      <c r="CP8" s="44">
        <v>14.8</v>
      </c>
      <c r="CQ8" s="41">
        <v>100</v>
      </c>
      <c r="CR8" s="41">
        <v>128</v>
      </c>
      <c r="CS8" s="41">
        <v>159</v>
      </c>
      <c r="CT8" s="41">
        <v>137</v>
      </c>
      <c r="CU8" s="44">
        <v>4.3</v>
      </c>
      <c r="CV8" s="44">
        <v>4.9000000000000004</v>
      </c>
      <c r="CW8" s="44">
        <v>5.5</v>
      </c>
      <c r="CX8" s="44">
        <v>4.8</v>
      </c>
      <c r="CY8" s="41">
        <v>163</v>
      </c>
      <c r="CZ8" s="41">
        <v>202</v>
      </c>
      <c r="DA8" s="41">
        <v>286</v>
      </c>
      <c r="DB8" s="41">
        <v>303</v>
      </c>
      <c r="DC8" s="44">
        <v>7.1</v>
      </c>
      <c r="DD8" s="44">
        <v>7.8</v>
      </c>
      <c r="DE8" s="44">
        <v>10</v>
      </c>
      <c r="DF8" s="44">
        <v>10.9</v>
      </c>
      <c r="DG8" s="44">
        <v>86.7</v>
      </c>
      <c r="DH8" s="44">
        <v>89.8</v>
      </c>
      <c r="DI8" s="44">
        <v>90.1</v>
      </c>
      <c r="DJ8" s="44">
        <v>88.4</v>
      </c>
      <c r="DK8" s="44">
        <v>19.399999999999999</v>
      </c>
      <c r="DL8" s="44">
        <v>16.8</v>
      </c>
      <c r="DM8" s="44">
        <v>17.2</v>
      </c>
      <c r="DN8" s="44">
        <v>17.699724517906336</v>
      </c>
      <c r="DO8" s="44">
        <v>22.6</v>
      </c>
      <c r="DP8" s="44">
        <v>29.1</v>
      </c>
      <c r="DQ8" s="44">
        <v>32.4</v>
      </c>
      <c r="DR8" s="44">
        <v>33.200000000000003</v>
      </c>
      <c r="DS8" s="44">
        <v>31.648800408371617</v>
      </c>
      <c r="DT8" s="44">
        <v>40.515653775322285</v>
      </c>
      <c r="DU8" s="44">
        <v>34.549878345498783</v>
      </c>
      <c r="DV8" s="44">
        <v>26.550218340611355</v>
      </c>
      <c r="DW8" s="41">
        <v>531</v>
      </c>
      <c r="DX8" s="41">
        <v>34</v>
      </c>
      <c r="DY8" s="41">
        <v>5</v>
      </c>
      <c r="DZ8" s="41">
        <v>10</v>
      </c>
      <c r="EA8" s="41">
        <v>12</v>
      </c>
      <c r="EB8" s="41">
        <v>8</v>
      </c>
      <c r="EC8" s="41">
        <v>16</v>
      </c>
      <c r="ED8" s="41">
        <v>23</v>
      </c>
      <c r="EE8" s="41">
        <v>11</v>
      </c>
      <c r="EF8" s="41">
        <v>1371</v>
      </c>
      <c r="EG8" s="41">
        <v>1547</v>
      </c>
      <c r="EH8" s="41">
        <v>1568</v>
      </c>
      <c r="EI8" s="41">
        <v>1544</v>
      </c>
      <c r="EJ8" s="92">
        <v>316</v>
      </c>
      <c r="EK8" s="92">
        <v>5</v>
      </c>
      <c r="EL8" s="92">
        <v>0</v>
      </c>
      <c r="EM8" s="92">
        <v>1</v>
      </c>
      <c r="EN8" s="92">
        <v>1</v>
      </c>
      <c r="EO8" s="44">
        <v>833.11558491276901</v>
      </c>
      <c r="EP8" s="44">
        <v>884.52566096423016</v>
      </c>
      <c r="EQ8" s="44">
        <v>817.85511237683932</v>
      </c>
      <c r="ER8" s="44">
        <v>776.11598480848386</v>
      </c>
      <c r="ES8" s="44">
        <v>821</v>
      </c>
      <c r="ET8" s="44">
        <v>908.6</v>
      </c>
      <c r="EU8" s="44">
        <v>876.5</v>
      </c>
      <c r="EV8" s="44">
        <v>741.4</v>
      </c>
      <c r="EW8" s="44">
        <v>1002.8756412352141</v>
      </c>
      <c r="EX8" s="44">
        <v>1096.9304960062216</v>
      </c>
      <c r="EY8" s="44">
        <v>1034.2454223509669</v>
      </c>
      <c r="EZ8" s="44">
        <v>877.30331144116076</v>
      </c>
      <c r="FA8" s="44">
        <v>679.61831646691166</v>
      </c>
      <c r="FB8" s="44">
        <v>765.46268870882159</v>
      </c>
      <c r="FC8" s="44">
        <v>755.78239062511534</v>
      </c>
      <c r="FD8" s="44">
        <v>631.41171652905211</v>
      </c>
      <c r="FE8" s="41">
        <v>292</v>
      </c>
      <c r="FF8" s="41">
        <v>303</v>
      </c>
      <c r="FG8" s="41">
        <v>357</v>
      </c>
      <c r="FH8" s="41">
        <v>307</v>
      </c>
      <c r="FI8" s="44">
        <v>193.99340000000001</v>
      </c>
      <c r="FJ8" s="44">
        <v>196.4468</v>
      </c>
      <c r="FK8" s="44">
        <v>214.09030000000001</v>
      </c>
      <c r="FL8" s="44">
        <v>158.07380000000001</v>
      </c>
      <c r="FM8" s="41">
        <v>451</v>
      </c>
      <c r="FN8" s="41">
        <v>455</v>
      </c>
      <c r="FO8" s="41">
        <v>404</v>
      </c>
      <c r="FP8" s="41">
        <v>333</v>
      </c>
      <c r="FQ8" s="44">
        <v>264.6506</v>
      </c>
      <c r="FR8" s="44">
        <v>264.51499999999999</v>
      </c>
      <c r="FS8" s="44">
        <v>222.7259</v>
      </c>
      <c r="FT8" s="44">
        <v>157.26179999999999</v>
      </c>
      <c r="FU8" s="41">
        <v>119</v>
      </c>
      <c r="FV8" s="41">
        <v>149</v>
      </c>
      <c r="FW8" s="41">
        <v>128</v>
      </c>
      <c r="FX8" s="41">
        <v>87</v>
      </c>
      <c r="FY8" s="44">
        <v>65.669610000000006</v>
      </c>
      <c r="FZ8" s="44">
        <v>83.809690000000003</v>
      </c>
      <c r="GA8" s="44">
        <v>68.144859999999994</v>
      </c>
      <c r="GB8" s="44">
        <v>40.634169999999997</v>
      </c>
      <c r="GC8" s="38">
        <v>56</v>
      </c>
      <c r="GD8" s="38">
        <v>78</v>
      </c>
      <c r="GE8" s="38">
        <v>63</v>
      </c>
      <c r="GF8" s="38">
        <v>69</v>
      </c>
      <c r="GG8" s="90">
        <v>34.05986</v>
      </c>
      <c r="GH8" s="90">
        <v>43.492289999999997</v>
      </c>
      <c r="GI8" s="90">
        <v>32.869210000000002</v>
      </c>
      <c r="GJ8" s="90">
        <v>34.282850000000003</v>
      </c>
      <c r="GK8" s="72" t="s">
        <v>352</v>
      </c>
      <c r="GL8" s="72" t="s">
        <v>353</v>
      </c>
      <c r="GM8" s="72" t="s">
        <v>354</v>
      </c>
      <c r="GN8" s="72" t="s">
        <v>355</v>
      </c>
      <c r="GO8" s="72" t="s">
        <v>356</v>
      </c>
      <c r="GP8" s="72" t="s">
        <v>357</v>
      </c>
      <c r="GQ8" s="72" t="s">
        <v>358</v>
      </c>
      <c r="GR8" s="72" t="s">
        <v>359</v>
      </c>
      <c r="GS8" s="72" t="s">
        <v>360</v>
      </c>
      <c r="GT8" s="72" t="s">
        <v>361</v>
      </c>
      <c r="GU8" s="72" t="s">
        <v>362</v>
      </c>
      <c r="GV8" s="72" t="s">
        <v>363</v>
      </c>
      <c r="GW8" s="72" t="s">
        <v>364</v>
      </c>
      <c r="GX8" s="72" t="s">
        <v>365</v>
      </c>
      <c r="GY8" s="72" t="s">
        <v>366</v>
      </c>
      <c r="GZ8" s="72" t="s">
        <v>367</v>
      </c>
      <c r="HA8" s="72" t="s">
        <v>368</v>
      </c>
      <c r="HB8" s="72" t="s">
        <v>369</v>
      </c>
      <c r="HC8" s="72" t="s">
        <v>370</v>
      </c>
      <c r="HD8" s="72" t="s">
        <v>371</v>
      </c>
      <c r="HE8" s="72" t="s">
        <v>372</v>
      </c>
      <c r="HF8" s="72" t="s">
        <v>373</v>
      </c>
      <c r="HG8" s="72" t="s">
        <v>374</v>
      </c>
      <c r="HH8" s="72" t="s">
        <v>375</v>
      </c>
      <c r="HI8" s="72" t="s">
        <v>376</v>
      </c>
      <c r="HJ8" s="72" t="s">
        <v>377</v>
      </c>
      <c r="HK8" s="72" t="s">
        <v>378</v>
      </c>
      <c r="HL8" s="72" t="s">
        <v>379</v>
      </c>
      <c r="HM8" s="72" t="s">
        <v>380</v>
      </c>
      <c r="HN8" s="72" t="s">
        <v>381</v>
      </c>
      <c r="HO8" s="72" t="s">
        <v>382</v>
      </c>
      <c r="HP8" s="72" t="s">
        <v>383</v>
      </c>
      <c r="HQ8" s="72" t="s">
        <v>384</v>
      </c>
      <c r="HR8" s="72" t="s">
        <v>385</v>
      </c>
      <c r="HS8" s="72" t="s">
        <v>386</v>
      </c>
      <c r="HT8" s="72" t="s">
        <v>387</v>
      </c>
      <c r="HU8" s="72" t="s">
        <v>388</v>
      </c>
      <c r="HV8" s="72" t="s">
        <v>389</v>
      </c>
      <c r="HW8" s="72" t="s">
        <v>390</v>
      </c>
      <c r="HX8" s="72" t="s">
        <v>391</v>
      </c>
      <c r="HY8" s="72" t="s">
        <v>392</v>
      </c>
      <c r="HZ8" s="52"/>
      <c r="IA8" s="52"/>
      <c r="IB8" s="52"/>
      <c r="IC8" s="52"/>
      <c r="ID8" s="52"/>
      <c r="IE8" s="52"/>
      <c r="IF8" s="52"/>
      <c r="IG8" s="52"/>
      <c r="IH8" s="52"/>
      <c r="II8" s="52"/>
      <c r="IJ8" s="52"/>
      <c r="IK8" s="52"/>
      <c r="IL8" s="52"/>
      <c r="IM8" s="52"/>
      <c r="IN8" s="52"/>
      <c r="IO8" s="52"/>
      <c r="IP8" s="52"/>
      <c r="IQ8" s="52"/>
      <c r="IR8" s="52"/>
    </row>
    <row r="9" spans="1:252" x14ac:dyDescent="0.2">
      <c r="A9" s="36">
        <v>6</v>
      </c>
      <c r="B9" s="70" t="s">
        <v>63</v>
      </c>
      <c r="C9" s="77">
        <v>5365</v>
      </c>
      <c r="D9" s="77">
        <v>5251</v>
      </c>
      <c r="E9" s="77">
        <v>5269</v>
      </c>
      <c r="F9" s="77">
        <v>5238</v>
      </c>
      <c r="G9" s="150">
        <v>5164</v>
      </c>
      <c r="H9" s="41">
        <v>5067</v>
      </c>
      <c r="I9" s="41">
        <v>15</v>
      </c>
      <c r="J9" s="41">
        <v>27</v>
      </c>
      <c r="K9" s="41">
        <v>8</v>
      </c>
      <c r="L9" s="41">
        <v>50</v>
      </c>
      <c r="M9" s="41">
        <v>2261</v>
      </c>
      <c r="N9" s="41">
        <v>2222</v>
      </c>
      <c r="O9" s="41">
        <v>2293</v>
      </c>
      <c r="P9" s="41">
        <v>2285</v>
      </c>
      <c r="Q9" s="41">
        <v>2255</v>
      </c>
      <c r="R9" s="86">
        <v>44.546899841017485</v>
      </c>
      <c r="S9" s="86">
        <v>42.333873581847648</v>
      </c>
      <c r="T9" s="86">
        <v>43.367179823124793</v>
      </c>
      <c r="U9" s="86">
        <v>43.764472378432018</v>
      </c>
      <c r="V9" s="86">
        <v>43.930248155600268</v>
      </c>
      <c r="W9" s="86">
        <v>26.04133545310016</v>
      </c>
      <c r="X9" s="86">
        <v>27.876823338735818</v>
      </c>
      <c r="Y9" s="86">
        <v>29.217163445791027</v>
      </c>
      <c r="Z9" s="86">
        <v>29.507112140258023</v>
      </c>
      <c r="AA9" s="42">
        <v>29.242119382964454</v>
      </c>
      <c r="AB9" s="86">
        <v>70.588235294117652</v>
      </c>
      <c r="AC9" s="86">
        <v>70.210696920583473</v>
      </c>
      <c r="AD9" s="86">
        <v>72.584343268915816</v>
      </c>
      <c r="AE9" s="86">
        <v>73.271584518690048</v>
      </c>
      <c r="AF9" s="86">
        <v>73.172367538564728</v>
      </c>
      <c r="AG9" s="44">
        <v>5.4726368159203984</v>
      </c>
      <c r="AH9" s="44">
        <v>5.9661016949152543</v>
      </c>
      <c r="AI9" s="44">
        <v>6.0272197018794555</v>
      </c>
      <c r="AJ9" s="44">
        <v>6.2624254473161036</v>
      </c>
      <c r="AK9" s="44">
        <v>5.0563717116501534</v>
      </c>
      <c r="AL9" s="41">
        <v>117.75</v>
      </c>
      <c r="AM9" s="41">
        <v>132.25</v>
      </c>
      <c r="AN9" s="41">
        <v>117.75</v>
      </c>
      <c r="AO9" s="41">
        <v>179.16666666666666</v>
      </c>
      <c r="AP9" s="41">
        <v>200.25</v>
      </c>
      <c r="AQ9" s="41">
        <v>41158.189458295179</v>
      </c>
      <c r="AR9" s="41">
        <v>41489.688100261017</v>
      </c>
      <c r="AS9" s="41">
        <v>43009.01594379676</v>
      </c>
      <c r="AT9" s="41">
        <v>43962.346106969773</v>
      </c>
      <c r="AU9" s="41">
        <v>52299.76762199845</v>
      </c>
      <c r="AV9" s="84">
        <v>42407.680686221262</v>
      </c>
      <c r="AW9" s="84">
        <v>41858.271245178999</v>
      </c>
      <c r="AX9" s="84">
        <v>42989.859928621932</v>
      </c>
      <c r="AY9" s="84">
        <v>44083.496263308669</v>
      </c>
      <c r="AZ9" s="84">
        <v>44210</v>
      </c>
      <c r="BA9" s="45">
        <v>12.576804915514593</v>
      </c>
      <c r="BB9" s="45">
        <v>11.606441476826394</v>
      </c>
      <c r="BC9" s="45">
        <v>11.290951638065522</v>
      </c>
      <c r="BD9" s="45">
        <v>14.997059400117625</v>
      </c>
      <c r="BE9" s="45">
        <v>13.203420163054286</v>
      </c>
      <c r="BF9" s="45">
        <v>16.187739463601531</v>
      </c>
      <c r="BG9" s="45">
        <v>15.700934579439252</v>
      </c>
      <c r="BH9" s="45">
        <v>15.45538178472861</v>
      </c>
      <c r="BI9" s="45">
        <v>21.028037383177569</v>
      </c>
      <c r="BJ9" s="45">
        <v>20.15209125475285</v>
      </c>
      <c r="BK9" s="41">
        <v>897</v>
      </c>
      <c r="BL9" s="41">
        <v>904</v>
      </c>
      <c r="BM9" s="41">
        <v>868</v>
      </c>
      <c r="BN9" s="41">
        <v>858</v>
      </c>
      <c r="BO9" s="44">
        <v>42.474916387959865</v>
      </c>
      <c r="BP9" s="44">
        <v>46.017699115044245</v>
      </c>
      <c r="BQ9" s="44">
        <v>44.124423963133637</v>
      </c>
      <c r="BR9" s="44">
        <v>46.969696969696969</v>
      </c>
      <c r="BS9" s="86">
        <v>0.55741360089186176</v>
      </c>
      <c r="BT9" s="86">
        <v>0.33185840707964603</v>
      </c>
      <c r="BU9" s="86">
        <v>0</v>
      </c>
      <c r="BV9" s="86">
        <v>0</v>
      </c>
      <c r="BW9" s="44">
        <v>13.154960981047937</v>
      </c>
      <c r="BX9" s="44">
        <v>14.269911504424778</v>
      </c>
      <c r="BY9" s="44">
        <v>13.364055299539171</v>
      </c>
      <c r="BZ9" s="44">
        <v>13.986013986013987</v>
      </c>
      <c r="CA9" s="44">
        <v>96.703296703296701</v>
      </c>
      <c r="CB9" s="44">
        <v>92.222222222222229</v>
      </c>
      <c r="CC9" s="44">
        <v>92.41</v>
      </c>
      <c r="CD9" s="44">
        <v>84.42</v>
      </c>
      <c r="CE9" s="44">
        <v>50.549450549450547</v>
      </c>
      <c r="CF9" s="44">
        <v>3.3333333333333335</v>
      </c>
      <c r="CG9" s="44">
        <v>2.5299999999999998</v>
      </c>
      <c r="CH9" s="44">
        <v>2.6</v>
      </c>
      <c r="CI9" s="41">
        <v>287</v>
      </c>
      <c r="CJ9" s="41">
        <v>276</v>
      </c>
      <c r="CK9" s="41">
        <v>277</v>
      </c>
      <c r="CL9" s="41">
        <v>305</v>
      </c>
      <c r="CM9" s="44">
        <v>9.6999999999999993</v>
      </c>
      <c r="CN9" s="44">
        <v>9.6999999999999993</v>
      </c>
      <c r="CO9" s="44">
        <v>10</v>
      </c>
      <c r="CP9" s="44">
        <v>11.6</v>
      </c>
      <c r="CQ9" s="41">
        <v>8</v>
      </c>
      <c r="CR9" s="41">
        <v>11</v>
      </c>
      <c r="CS9" s="41">
        <v>4</v>
      </c>
      <c r="CT9" s="41">
        <v>9</v>
      </c>
      <c r="CU9" s="44">
        <v>2.8</v>
      </c>
      <c r="CV9" s="44">
        <v>4</v>
      </c>
      <c r="CW9" s="44">
        <v>1.5</v>
      </c>
      <c r="CX9" s="44">
        <v>3.1</v>
      </c>
      <c r="CY9" s="41">
        <v>17</v>
      </c>
      <c r="CZ9" s="41">
        <v>22</v>
      </c>
      <c r="DA9" s="41">
        <v>19</v>
      </c>
      <c r="DB9" s="41">
        <v>23</v>
      </c>
      <c r="DC9" s="44">
        <v>6.5</v>
      </c>
      <c r="DD9" s="44">
        <v>8.3000000000000007</v>
      </c>
      <c r="DE9" s="44">
        <v>7.1</v>
      </c>
      <c r="DF9" s="44">
        <v>8</v>
      </c>
      <c r="DG9" s="44">
        <v>75.900000000000006</v>
      </c>
      <c r="DH9" s="44">
        <v>80.7</v>
      </c>
      <c r="DI9" s="44">
        <v>81.2</v>
      </c>
      <c r="DJ9" s="44">
        <v>84.6</v>
      </c>
      <c r="DK9" s="44">
        <v>14.2</v>
      </c>
      <c r="DL9" s="44">
        <v>17.100000000000001</v>
      </c>
      <c r="DM9" s="44">
        <v>10.8</v>
      </c>
      <c r="DN9" s="44">
        <v>15.737704918032787</v>
      </c>
      <c r="DO9" s="44">
        <v>24</v>
      </c>
      <c r="DP9" s="44">
        <v>26.1</v>
      </c>
      <c r="DQ9" s="44">
        <v>21.3</v>
      </c>
      <c r="DR9" s="44">
        <v>26.6</v>
      </c>
      <c r="DS9" s="44">
        <v>25.150905432595575</v>
      </c>
      <c r="DT9" s="44">
        <v>29.177718832891248</v>
      </c>
      <c r="DU9" s="44" t="s">
        <v>39</v>
      </c>
      <c r="DV9" s="44" t="s">
        <v>39</v>
      </c>
      <c r="DW9" s="41">
        <v>61</v>
      </c>
      <c r="DX9" s="41">
        <v>0</v>
      </c>
      <c r="DY9" s="41">
        <v>0</v>
      </c>
      <c r="DZ9" s="41">
        <v>0</v>
      </c>
      <c r="EA9" s="41">
        <v>1</v>
      </c>
      <c r="EB9" s="41">
        <v>2</v>
      </c>
      <c r="EC9" s="41">
        <v>1</v>
      </c>
      <c r="ED9" s="41">
        <v>1</v>
      </c>
      <c r="EE9" s="41">
        <v>2</v>
      </c>
      <c r="EF9" s="41">
        <v>503</v>
      </c>
      <c r="EG9" s="41">
        <v>465</v>
      </c>
      <c r="EH9" s="41">
        <v>403</v>
      </c>
      <c r="EI9" s="41">
        <v>400</v>
      </c>
      <c r="EJ9" s="92">
        <v>68</v>
      </c>
      <c r="EK9" s="92">
        <v>0</v>
      </c>
      <c r="EL9" s="92">
        <v>0</v>
      </c>
      <c r="EM9" s="92">
        <v>0</v>
      </c>
      <c r="EN9" s="92">
        <v>1</v>
      </c>
      <c r="EO9" s="44">
        <v>1708.2696552895229</v>
      </c>
      <c r="EP9" s="44">
        <v>1634.7336966074881</v>
      </c>
      <c r="EQ9" s="44">
        <v>1458.5067496652312</v>
      </c>
      <c r="ER9" s="44">
        <v>1567.0122615158832</v>
      </c>
      <c r="ES9" s="44">
        <v>917.1</v>
      </c>
      <c r="ET9" s="44">
        <v>852.8</v>
      </c>
      <c r="EU9" s="44">
        <v>731.8</v>
      </c>
      <c r="EV9" s="44">
        <v>705.4</v>
      </c>
      <c r="EW9" s="44">
        <v>1119.6732023936829</v>
      </c>
      <c r="EX9" s="44">
        <v>1071.2012985564661</v>
      </c>
      <c r="EY9" s="44">
        <v>876.6731224265518</v>
      </c>
      <c r="EZ9" s="44">
        <v>869.35523578382163</v>
      </c>
      <c r="FA9" s="44">
        <v>773.60156758381731</v>
      </c>
      <c r="FB9" s="44">
        <v>669.20250106987464</v>
      </c>
      <c r="FC9" s="44">
        <v>596.96051405996502</v>
      </c>
      <c r="FD9" s="44">
        <v>596.88622299169106</v>
      </c>
      <c r="FE9" s="41">
        <v>120</v>
      </c>
      <c r="FF9" s="41">
        <v>124</v>
      </c>
      <c r="FG9" s="41">
        <v>100</v>
      </c>
      <c r="FH9" s="41">
        <v>97</v>
      </c>
      <c r="FI9" s="44">
        <v>254.72540000000001</v>
      </c>
      <c r="FJ9" s="44">
        <v>246.50800000000001</v>
      </c>
      <c r="FK9" s="44">
        <v>194.71709999999999</v>
      </c>
      <c r="FL9" s="44">
        <v>185.96729999999999</v>
      </c>
      <c r="FM9" s="41">
        <v>217</v>
      </c>
      <c r="FN9" s="41">
        <v>159</v>
      </c>
      <c r="FO9" s="41">
        <v>115</v>
      </c>
      <c r="FP9" s="41">
        <v>104</v>
      </c>
      <c r="FQ9" s="44">
        <v>353.52440000000001</v>
      </c>
      <c r="FR9" s="44">
        <v>269.11309999999997</v>
      </c>
      <c r="FS9" s="44">
        <v>183.29580000000001</v>
      </c>
      <c r="FT9" s="44">
        <v>167.58199999999999</v>
      </c>
      <c r="FU9" s="41">
        <v>40</v>
      </c>
      <c r="FV9" s="41">
        <v>44</v>
      </c>
      <c r="FW9" s="41">
        <v>39</v>
      </c>
      <c r="FX9" s="41">
        <v>27</v>
      </c>
      <c r="FY9" s="44">
        <v>58.786430000000003</v>
      </c>
      <c r="FZ9" s="44">
        <v>66.581760000000003</v>
      </c>
      <c r="GA9" s="44">
        <v>58.185409999999997</v>
      </c>
      <c r="GB9" s="44">
        <v>38.893700000000003</v>
      </c>
      <c r="GC9" s="38">
        <v>12</v>
      </c>
      <c r="GD9" s="38">
        <v>15</v>
      </c>
      <c r="GE9" s="38">
        <v>20</v>
      </c>
      <c r="GF9" s="38">
        <v>15</v>
      </c>
      <c r="GG9" s="90">
        <v>30.211020000000001</v>
      </c>
      <c r="GH9" s="90">
        <v>45.839129999999997</v>
      </c>
      <c r="GI9" s="90">
        <v>61.876399999999997</v>
      </c>
      <c r="GJ9" s="90">
        <v>38.365699999999997</v>
      </c>
      <c r="GK9" s="72" t="s">
        <v>393</v>
      </c>
      <c r="GL9" s="72" t="s">
        <v>394</v>
      </c>
      <c r="GM9" s="72" t="s">
        <v>395</v>
      </c>
      <c r="GN9" s="72" t="s">
        <v>396</v>
      </c>
      <c r="GO9" s="72" t="s">
        <v>397</v>
      </c>
      <c r="GP9" s="72" t="s">
        <v>398</v>
      </c>
      <c r="GQ9" s="72" t="s">
        <v>399</v>
      </c>
      <c r="GR9" s="72" t="s">
        <v>400</v>
      </c>
      <c r="GS9" s="72" t="s">
        <v>401</v>
      </c>
      <c r="GT9" s="72" t="s">
        <v>402</v>
      </c>
      <c r="GU9" s="72" t="s">
        <v>403</v>
      </c>
      <c r="GV9" s="72" t="s">
        <v>404</v>
      </c>
      <c r="GW9" s="72" t="s">
        <v>405</v>
      </c>
      <c r="GX9" s="72" t="s">
        <v>406</v>
      </c>
      <c r="GY9" s="72" t="s">
        <v>407</v>
      </c>
      <c r="GZ9" s="72" t="s">
        <v>408</v>
      </c>
      <c r="HA9" s="72" t="s">
        <v>409</v>
      </c>
      <c r="HB9" s="72" t="s">
        <v>410</v>
      </c>
      <c r="HC9" s="72" t="s">
        <v>411</v>
      </c>
      <c r="HD9" s="72" t="s">
        <v>412</v>
      </c>
      <c r="HE9" s="72" t="s">
        <v>413</v>
      </c>
      <c r="HF9" s="72" t="s">
        <v>414</v>
      </c>
      <c r="HG9" s="72" t="s">
        <v>415</v>
      </c>
      <c r="HH9" s="72" t="s">
        <v>416</v>
      </c>
      <c r="HI9" s="72" t="s">
        <v>417</v>
      </c>
      <c r="HJ9" s="72" t="s">
        <v>418</v>
      </c>
      <c r="HK9" s="72" t="s">
        <v>419</v>
      </c>
      <c r="HL9" s="72" t="s">
        <v>420</v>
      </c>
      <c r="HM9" s="72" t="s">
        <v>421</v>
      </c>
      <c r="HN9" s="72" t="s">
        <v>422</v>
      </c>
      <c r="HO9" s="72" t="s">
        <v>423</v>
      </c>
      <c r="HP9" s="72" t="s">
        <v>424</v>
      </c>
      <c r="HQ9" s="72" t="s">
        <v>425</v>
      </c>
      <c r="HR9" s="72" t="s">
        <v>426</v>
      </c>
      <c r="HS9" s="72" t="s">
        <v>427</v>
      </c>
      <c r="HT9" s="72" t="s">
        <v>428</v>
      </c>
      <c r="HU9" s="72" t="s">
        <v>429</v>
      </c>
      <c r="HV9" s="72" t="s">
        <v>430</v>
      </c>
      <c r="HW9" s="72" t="s">
        <v>431</v>
      </c>
      <c r="HX9" s="72" t="s">
        <v>432</v>
      </c>
      <c r="HY9" s="72" t="s">
        <v>433</v>
      </c>
      <c r="HZ9" s="52"/>
      <c r="IA9" s="52"/>
      <c r="IB9" s="52"/>
      <c r="IC9" s="52"/>
      <c r="ID9" s="52"/>
      <c r="IE9" s="52"/>
      <c r="IF9" s="52"/>
      <c r="IG9" s="52"/>
      <c r="IH9" s="52"/>
      <c r="II9" s="52"/>
      <c r="IJ9" s="52"/>
      <c r="IK9" s="52"/>
      <c r="IL9" s="52"/>
      <c r="IM9" s="52"/>
      <c r="IN9" s="52"/>
      <c r="IO9" s="52"/>
      <c r="IP9" s="52"/>
      <c r="IQ9" s="52"/>
      <c r="IR9" s="52"/>
    </row>
    <row r="10" spans="1:252" ht="21" customHeight="1" x14ac:dyDescent="0.2">
      <c r="A10" s="36">
        <v>7</v>
      </c>
      <c r="B10" s="70" t="s">
        <v>64</v>
      </c>
      <c r="C10" s="77">
        <v>60401</v>
      </c>
      <c r="D10" s="77">
        <v>61010</v>
      </c>
      <c r="E10" s="77">
        <v>64013</v>
      </c>
      <c r="F10" s="77">
        <v>64384</v>
      </c>
      <c r="G10" s="150">
        <v>65091</v>
      </c>
      <c r="H10" s="41">
        <v>60383</v>
      </c>
      <c r="I10" s="41">
        <v>2012</v>
      </c>
      <c r="J10" s="41">
        <v>219</v>
      </c>
      <c r="K10" s="41">
        <v>1504</v>
      </c>
      <c r="L10" s="41">
        <v>1806</v>
      </c>
      <c r="M10" s="42">
        <v>23974</v>
      </c>
      <c r="N10" s="43">
        <v>24175</v>
      </c>
      <c r="O10" s="43">
        <v>24445</v>
      </c>
      <c r="P10" s="44">
        <v>24634</v>
      </c>
      <c r="Q10" s="44">
        <v>24935</v>
      </c>
      <c r="R10" s="87">
        <v>16.103301581429761</v>
      </c>
      <c r="S10" s="87">
        <v>16.397665618018511</v>
      </c>
      <c r="T10" s="87">
        <v>16.450574312565262</v>
      </c>
      <c r="U10" s="87">
        <v>16.659467864547338</v>
      </c>
      <c r="V10" s="87">
        <v>17.074219842140351</v>
      </c>
      <c r="W10" s="87">
        <v>23.545731989272173</v>
      </c>
      <c r="X10" s="87">
        <v>22.684995212693202</v>
      </c>
      <c r="Y10" s="87">
        <v>22.804994778976681</v>
      </c>
      <c r="Z10" s="87">
        <v>22.386834830684172</v>
      </c>
      <c r="AA10" s="42">
        <v>22.915456911198572</v>
      </c>
      <c r="AB10" s="87">
        <v>39.649033570701931</v>
      </c>
      <c r="AC10" s="87">
        <v>39.08266083071171</v>
      </c>
      <c r="AD10" s="87">
        <v>39.255569091541943</v>
      </c>
      <c r="AE10" s="87">
        <v>39.04630269523151</v>
      </c>
      <c r="AF10" s="87">
        <v>39.989676753338927</v>
      </c>
      <c r="AG10" s="44">
        <v>4.3551177958205773</v>
      </c>
      <c r="AH10" s="44">
        <v>6.6821431397894848</v>
      </c>
      <c r="AI10" s="44">
        <v>6.2096035588119847</v>
      </c>
      <c r="AJ10" s="43">
        <v>5.3391911099625275</v>
      </c>
      <c r="AK10" s="43">
        <v>4.8602609850754046</v>
      </c>
      <c r="AL10" s="47">
        <v>1268.6666666666667</v>
      </c>
      <c r="AM10" s="47">
        <v>1654.25</v>
      </c>
      <c r="AN10" s="47">
        <v>1268.6666666666667</v>
      </c>
      <c r="AO10" s="47">
        <v>2396.6666666666665</v>
      </c>
      <c r="AP10" s="47">
        <v>2627.8333333333335</v>
      </c>
      <c r="AQ10" s="47">
        <v>36388.9023051974</v>
      </c>
      <c r="AR10" s="47">
        <v>34863.975631297406</v>
      </c>
      <c r="AS10" s="47">
        <v>36232.732812840361</v>
      </c>
      <c r="AT10" s="47">
        <v>37880.558904970101</v>
      </c>
      <c r="AU10" s="47">
        <v>39318.968828255827</v>
      </c>
      <c r="AV10" s="84">
        <v>52356.978131464784</v>
      </c>
      <c r="AW10" s="85">
        <v>45995.618844030076</v>
      </c>
      <c r="AX10" s="85">
        <v>49313.725287344983</v>
      </c>
      <c r="AY10" s="85">
        <v>47237.420862836887</v>
      </c>
      <c r="AZ10" s="85">
        <v>48788</v>
      </c>
      <c r="BA10" s="83">
        <v>15.78751988686583</v>
      </c>
      <c r="BB10" s="83">
        <v>17.547542819153588</v>
      </c>
      <c r="BC10" s="83">
        <v>16.94847623322859</v>
      </c>
      <c r="BD10" s="83">
        <v>18.345663075319003</v>
      </c>
      <c r="BE10" s="83">
        <v>16.639112144178355</v>
      </c>
      <c r="BF10" s="83">
        <v>12.144964180362411</v>
      </c>
      <c r="BG10" s="46">
        <v>14.023602377465759</v>
      </c>
      <c r="BH10" s="46">
        <v>14.462066710268148</v>
      </c>
      <c r="BI10" s="46">
        <v>17.285373281751585</v>
      </c>
      <c r="BJ10" s="46">
        <v>15.238786705388835</v>
      </c>
      <c r="BK10" s="42">
        <v>9938</v>
      </c>
      <c r="BL10" s="42">
        <v>10082</v>
      </c>
      <c r="BM10" s="40">
        <v>10184</v>
      </c>
      <c r="BN10" s="40">
        <v>10332</v>
      </c>
      <c r="BO10" s="43">
        <v>33.839806802173477</v>
      </c>
      <c r="BP10" s="43">
        <v>34.318587581829</v>
      </c>
      <c r="BQ10" s="44">
        <v>35.280832678711704</v>
      </c>
      <c r="BR10" s="44">
        <v>36.265969802555169</v>
      </c>
      <c r="BS10" s="87">
        <v>3.5822097001408735</v>
      </c>
      <c r="BT10" s="87">
        <v>3.5707200952192024</v>
      </c>
      <c r="BU10" s="87">
        <v>4.0750196386488611</v>
      </c>
      <c r="BV10" s="87">
        <v>4.6747967479674797</v>
      </c>
      <c r="BW10" s="43">
        <v>18.373918293419198</v>
      </c>
      <c r="BX10" s="43">
        <v>18.736361832969649</v>
      </c>
      <c r="BY10" s="43">
        <v>17.979183032207384</v>
      </c>
      <c r="BZ10" s="43">
        <v>17.11188540456833</v>
      </c>
      <c r="CA10" s="42">
        <v>80.886075949367083</v>
      </c>
      <c r="CB10" s="42">
        <v>82.299741602067186</v>
      </c>
      <c r="CC10" s="43">
        <v>83.49</v>
      </c>
      <c r="CD10" s="44">
        <v>86.12</v>
      </c>
      <c r="CE10" s="43">
        <v>0</v>
      </c>
      <c r="CF10" s="43">
        <v>5.5555555555555554</v>
      </c>
      <c r="CG10" s="43">
        <v>4.8099999999999996</v>
      </c>
      <c r="CH10" s="44">
        <v>4.1500000000000004</v>
      </c>
      <c r="CI10" s="49">
        <v>3080</v>
      </c>
      <c r="CJ10" s="49">
        <v>3330</v>
      </c>
      <c r="CK10" s="54">
        <v>3701</v>
      </c>
      <c r="CL10" s="54">
        <v>3839</v>
      </c>
      <c r="CM10" s="88">
        <v>11.4</v>
      </c>
      <c r="CN10" s="88">
        <v>12</v>
      </c>
      <c r="CO10" s="88">
        <v>12.7</v>
      </c>
      <c r="CP10" s="88">
        <v>12.2</v>
      </c>
      <c r="CQ10" s="53">
        <v>121</v>
      </c>
      <c r="CR10" s="53">
        <v>128</v>
      </c>
      <c r="CS10" s="53">
        <v>159</v>
      </c>
      <c r="CT10" s="53">
        <v>133</v>
      </c>
      <c r="CU10" s="88">
        <v>4</v>
      </c>
      <c r="CV10" s="88">
        <v>4</v>
      </c>
      <c r="CW10" s="88">
        <v>4.4000000000000004</v>
      </c>
      <c r="CX10" s="88">
        <v>3.6</v>
      </c>
      <c r="CY10" s="51">
        <v>198</v>
      </c>
      <c r="CZ10" s="53">
        <v>214</v>
      </c>
      <c r="DA10" s="53">
        <v>265</v>
      </c>
      <c r="DB10" s="53">
        <v>238</v>
      </c>
      <c r="DC10" s="88">
        <v>7.1</v>
      </c>
      <c r="DD10" s="88">
        <v>7.1</v>
      </c>
      <c r="DE10" s="88">
        <v>7.8</v>
      </c>
      <c r="DF10" s="88">
        <v>6.6</v>
      </c>
      <c r="DG10" s="88">
        <v>88.9</v>
      </c>
      <c r="DH10" s="88">
        <v>88.2</v>
      </c>
      <c r="DI10" s="88">
        <v>89.6</v>
      </c>
      <c r="DJ10" s="88">
        <v>90.4</v>
      </c>
      <c r="DK10" s="88">
        <v>12.8</v>
      </c>
      <c r="DL10" s="88">
        <v>13.3</v>
      </c>
      <c r="DM10" s="88">
        <v>9.5</v>
      </c>
      <c r="DN10" s="88">
        <v>9.1264667535853974</v>
      </c>
      <c r="DO10" s="88">
        <v>23.6</v>
      </c>
      <c r="DP10" s="88">
        <v>26.7</v>
      </c>
      <c r="DQ10" s="88">
        <v>31.1</v>
      </c>
      <c r="DR10" s="88">
        <v>30.2</v>
      </c>
      <c r="DS10" s="88">
        <v>17.676583981959702</v>
      </c>
      <c r="DT10" s="88">
        <v>17.043525497385755</v>
      </c>
      <c r="DU10" s="88">
        <v>16.205505625928808</v>
      </c>
      <c r="DV10" s="88">
        <v>12.012012012012011</v>
      </c>
      <c r="DW10" s="54">
        <v>663</v>
      </c>
      <c r="DX10" s="54">
        <v>42</v>
      </c>
      <c r="DY10" s="51">
        <v>3</v>
      </c>
      <c r="DZ10" s="53">
        <v>22</v>
      </c>
      <c r="EA10" s="53">
        <v>25</v>
      </c>
      <c r="EB10" s="53">
        <v>28</v>
      </c>
      <c r="EC10" s="53">
        <v>16</v>
      </c>
      <c r="ED10" s="51">
        <v>9</v>
      </c>
      <c r="EE10" s="53">
        <v>18</v>
      </c>
      <c r="EF10" s="53">
        <v>2088</v>
      </c>
      <c r="EG10" s="53">
        <v>2209</v>
      </c>
      <c r="EH10" s="53">
        <v>2150</v>
      </c>
      <c r="EI10" s="53">
        <v>2303</v>
      </c>
      <c r="EJ10" s="92">
        <v>459</v>
      </c>
      <c r="EK10" s="92">
        <v>2</v>
      </c>
      <c r="EL10" s="92">
        <v>0</v>
      </c>
      <c r="EM10" s="92">
        <v>1</v>
      </c>
      <c r="EN10" s="92">
        <v>3</v>
      </c>
      <c r="EO10" s="88">
        <v>774.37443674273186</v>
      </c>
      <c r="EP10" s="88">
        <v>798.75612445987235</v>
      </c>
      <c r="EQ10" s="88">
        <v>739.337209982084</v>
      </c>
      <c r="ER10" s="88">
        <v>736.5656824441171</v>
      </c>
      <c r="ES10" s="88">
        <v>769.1</v>
      </c>
      <c r="ET10" s="88">
        <v>752.7</v>
      </c>
      <c r="EU10" s="88">
        <v>687.4</v>
      </c>
      <c r="EV10" s="88">
        <v>672</v>
      </c>
      <c r="EW10" s="88">
        <v>982.72334566227619</v>
      </c>
      <c r="EX10" s="88">
        <v>920.00667269672203</v>
      </c>
      <c r="EY10" s="88">
        <v>801.20298446481274</v>
      </c>
      <c r="EZ10" s="88">
        <v>811.77208984366416</v>
      </c>
      <c r="FA10" s="88">
        <v>620.08816137714234</v>
      </c>
      <c r="FB10" s="88">
        <v>631.93045063229306</v>
      </c>
      <c r="FC10" s="88">
        <v>605.28043028661796</v>
      </c>
      <c r="FD10" s="88">
        <v>564.52483562563202</v>
      </c>
      <c r="FE10" s="51">
        <v>481</v>
      </c>
      <c r="FF10" s="54">
        <v>511</v>
      </c>
      <c r="FG10" s="54">
        <v>452</v>
      </c>
      <c r="FH10" s="54">
        <v>511</v>
      </c>
      <c r="FI10" s="88">
        <v>187.96680000000001</v>
      </c>
      <c r="FJ10" s="88">
        <v>189.2663</v>
      </c>
      <c r="FK10" s="88">
        <v>162.5976</v>
      </c>
      <c r="FL10" s="88">
        <v>162.3252</v>
      </c>
      <c r="FM10" s="54">
        <v>580</v>
      </c>
      <c r="FN10" s="54">
        <v>575</v>
      </c>
      <c r="FO10" s="51">
        <v>435</v>
      </c>
      <c r="FP10" s="54">
        <v>436</v>
      </c>
      <c r="FQ10" s="88">
        <v>209.26499999999999</v>
      </c>
      <c r="FR10" s="88">
        <v>191.68119999999999</v>
      </c>
      <c r="FS10" s="88">
        <v>132.0487</v>
      </c>
      <c r="FT10" s="88">
        <v>121.625</v>
      </c>
      <c r="FU10" s="53">
        <v>230</v>
      </c>
      <c r="FV10" s="53">
        <v>185</v>
      </c>
      <c r="FW10" s="53">
        <v>140</v>
      </c>
      <c r="FX10" s="53">
        <v>112</v>
      </c>
      <c r="FY10" s="88">
        <v>80.326250000000002</v>
      </c>
      <c r="FZ10" s="88">
        <v>58.408079999999998</v>
      </c>
      <c r="GA10" s="88">
        <v>40.743749999999999</v>
      </c>
      <c r="GB10" s="88">
        <v>31.545559999999998</v>
      </c>
      <c r="GC10" s="55">
        <v>93</v>
      </c>
      <c r="GD10" s="56">
        <v>68</v>
      </c>
      <c r="GE10" s="55">
        <v>89</v>
      </c>
      <c r="GF10" s="55">
        <v>85</v>
      </c>
      <c r="GG10" s="91">
        <v>34.515279999999997</v>
      </c>
      <c r="GH10" s="91">
        <v>22.364159999999998</v>
      </c>
      <c r="GI10" s="91">
        <v>29.482520000000001</v>
      </c>
      <c r="GJ10" s="91">
        <v>26.420459999999999</v>
      </c>
      <c r="GK10" s="55"/>
      <c r="GL10" s="55"/>
      <c r="GM10" s="55"/>
      <c r="GN10" s="56"/>
      <c r="GO10" s="55"/>
      <c r="GP10" s="55"/>
      <c r="GQ10" s="55"/>
      <c r="GR10" s="55"/>
      <c r="GS10" s="56"/>
      <c r="GT10" s="55"/>
      <c r="GU10" s="55"/>
      <c r="GV10" s="55"/>
      <c r="GW10" s="55"/>
      <c r="GX10" s="56"/>
      <c r="GY10" s="56"/>
      <c r="GZ10" s="56"/>
      <c r="HA10" s="56"/>
      <c r="HB10" s="56"/>
      <c r="HC10" s="56"/>
      <c r="HD10" s="57"/>
      <c r="HE10" s="57"/>
      <c r="HF10" s="57"/>
      <c r="HG10" s="57"/>
      <c r="HH10" s="57"/>
      <c r="HI10" s="58"/>
      <c r="HJ10" s="58"/>
      <c r="HK10" s="55"/>
      <c r="HL10" s="56"/>
      <c r="HM10" s="56"/>
      <c r="HN10" s="56"/>
      <c r="HO10" s="56"/>
      <c r="HP10" s="56"/>
      <c r="HQ10" s="56"/>
      <c r="HR10" s="56"/>
      <c r="HS10" s="56"/>
      <c r="HT10" s="56"/>
      <c r="HU10" s="38"/>
      <c r="HV10" s="52"/>
      <c r="HW10" s="52"/>
      <c r="HX10" s="52"/>
      <c r="HY10" s="52"/>
      <c r="HZ10" s="52"/>
      <c r="IA10" s="52"/>
      <c r="IB10" s="52"/>
      <c r="IC10" s="52"/>
      <c r="ID10" s="52"/>
      <c r="IE10" s="52"/>
      <c r="IF10" s="52"/>
      <c r="IG10" s="52"/>
      <c r="IH10" s="52"/>
      <c r="II10" s="52"/>
      <c r="IJ10" s="52"/>
      <c r="IK10" s="52"/>
      <c r="IL10" s="52"/>
      <c r="IM10" s="52"/>
      <c r="IN10" s="52"/>
      <c r="IO10" s="52"/>
      <c r="IP10" s="52"/>
      <c r="IQ10" s="52"/>
      <c r="IR10" s="52"/>
    </row>
    <row r="11" spans="1:252" x14ac:dyDescent="0.2">
      <c r="A11" s="36">
        <v>8</v>
      </c>
      <c r="B11" s="70" t="s">
        <v>65</v>
      </c>
      <c r="C11" s="77">
        <v>25862</v>
      </c>
      <c r="D11" s="77">
        <v>25603</v>
      </c>
      <c r="E11" s="77">
        <v>25893</v>
      </c>
      <c r="F11" s="77">
        <v>25734</v>
      </c>
      <c r="G11" s="150">
        <v>25425</v>
      </c>
      <c r="H11" s="41">
        <v>24966</v>
      </c>
      <c r="I11" s="41">
        <v>87</v>
      </c>
      <c r="J11" s="41">
        <v>42</v>
      </c>
      <c r="K11" s="41">
        <v>180</v>
      </c>
      <c r="L11" s="41">
        <v>882</v>
      </c>
      <c r="M11" s="42">
        <v>10898</v>
      </c>
      <c r="N11" s="43">
        <v>10890</v>
      </c>
      <c r="O11" s="43">
        <v>10782</v>
      </c>
      <c r="P11" s="44">
        <v>10781</v>
      </c>
      <c r="Q11" s="44">
        <v>10728</v>
      </c>
      <c r="R11" s="87">
        <v>28.721876495931067</v>
      </c>
      <c r="S11" s="87">
        <v>28.754813863928113</v>
      </c>
      <c r="T11" s="87">
        <v>29.996326230712711</v>
      </c>
      <c r="U11" s="87">
        <v>30.521964461994077</v>
      </c>
      <c r="V11" s="87">
        <v>31.222515391380828</v>
      </c>
      <c r="W11" s="87">
        <v>26.029200574437532</v>
      </c>
      <c r="X11" s="87">
        <v>27.752307598263954</v>
      </c>
      <c r="Y11" s="87">
        <v>28.545187362233651</v>
      </c>
      <c r="Z11" s="87">
        <v>28.251480750246792</v>
      </c>
      <c r="AA11" s="42">
        <v>28.502324412614652</v>
      </c>
      <c r="AB11" s="87">
        <v>54.751077070368595</v>
      </c>
      <c r="AC11" s="87">
        <v>56.507121462192067</v>
      </c>
      <c r="AD11" s="87">
        <v>58.541513592946366</v>
      </c>
      <c r="AE11" s="87">
        <v>58.773445212240865</v>
      </c>
      <c r="AF11" s="87">
        <v>59.724839803995479</v>
      </c>
      <c r="AG11" s="44">
        <v>5.9425133689839571</v>
      </c>
      <c r="AH11" s="44">
        <v>7.5935120820920226</v>
      </c>
      <c r="AI11" s="44">
        <v>6.8563092633114513</v>
      </c>
      <c r="AJ11" s="43">
        <v>5.9946595460614152</v>
      </c>
      <c r="AK11" s="43">
        <v>5.4866567106032074</v>
      </c>
      <c r="AL11" s="47">
        <v>440.5</v>
      </c>
      <c r="AM11" s="47">
        <v>551.5</v>
      </c>
      <c r="AN11" s="47">
        <v>440.5</v>
      </c>
      <c r="AO11" s="47">
        <v>810.91666666666663</v>
      </c>
      <c r="AP11" s="47">
        <v>840.91666666666663</v>
      </c>
      <c r="AQ11" s="47">
        <v>40034.964939023201</v>
      </c>
      <c r="AR11" s="47">
        <v>38952.742511837903</v>
      </c>
      <c r="AS11" s="47">
        <v>39503.418620245451</v>
      </c>
      <c r="AT11" s="47">
        <v>41750.715332570231</v>
      </c>
      <c r="AU11" s="47">
        <v>43714.729596853489</v>
      </c>
      <c r="AV11" s="84">
        <v>51881.373987780047</v>
      </c>
      <c r="AW11" s="85">
        <v>48107.100171638238</v>
      </c>
      <c r="AX11" s="85">
        <v>46248.661674417446</v>
      </c>
      <c r="AY11" s="85">
        <v>51380.391720275416</v>
      </c>
      <c r="AZ11" s="85">
        <v>48348</v>
      </c>
      <c r="BA11" s="83">
        <v>9.3515764425936947</v>
      </c>
      <c r="BB11" s="83">
        <v>11.398444390987089</v>
      </c>
      <c r="BC11" s="83">
        <v>9.3258200845240484</v>
      </c>
      <c r="BD11" s="83">
        <v>8.0191162771860185</v>
      </c>
      <c r="BE11" s="83">
        <v>8.837742648865591</v>
      </c>
      <c r="BF11" s="83">
        <v>10.372439478584729</v>
      </c>
      <c r="BG11" s="46">
        <v>12.959001782531194</v>
      </c>
      <c r="BH11" s="46">
        <v>11.942959001782532</v>
      </c>
      <c r="BI11" s="46">
        <v>11.46438953488372</v>
      </c>
      <c r="BJ11" s="46">
        <v>10.717579782327984</v>
      </c>
      <c r="BK11" s="42">
        <v>3567</v>
      </c>
      <c r="BL11" s="42">
        <v>3540</v>
      </c>
      <c r="BM11" s="40">
        <v>3537</v>
      </c>
      <c r="BN11" s="40">
        <v>3471</v>
      </c>
      <c r="BO11" s="43">
        <v>33.024950939164562</v>
      </c>
      <c r="BP11" s="43">
        <v>35.084745762711862</v>
      </c>
      <c r="BQ11" s="44">
        <v>36.047497879558946</v>
      </c>
      <c r="BR11" s="44">
        <v>37.885335638144625</v>
      </c>
      <c r="BS11" s="87">
        <v>2.1586767591813851</v>
      </c>
      <c r="BT11" s="87">
        <v>2.3163841807909606</v>
      </c>
      <c r="BU11" s="87">
        <v>2.5162567147299972</v>
      </c>
      <c r="BV11" s="87">
        <v>2.6217228464419478</v>
      </c>
      <c r="BW11" s="43">
        <v>15.783571628819736</v>
      </c>
      <c r="BX11" s="43">
        <v>16.299435028248588</v>
      </c>
      <c r="BY11" s="43">
        <v>16.935255866553575</v>
      </c>
      <c r="BZ11" s="43">
        <v>17.487755690002881</v>
      </c>
      <c r="CA11" s="42">
        <v>81.76638176638177</v>
      </c>
      <c r="CB11" s="42">
        <v>79.256965944272451</v>
      </c>
      <c r="CC11" s="43">
        <v>85.49</v>
      </c>
      <c r="CD11" s="44">
        <v>83.73</v>
      </c>
      <c r="CE11" s="43">
        <v>4.5584045584045585</v>
      </c>
      <c r="CF11" s="43">
        <v>4.643962848297214</v>
      </c>
      <c r="CG11" s="43">
        <v>4.32</v>
      </c>
      <c r="CH11" s="44">
        <v>7.8</v>
      </c>
      <c r="CI11" s="49">
        <v>1548</v>
      </c>
      <c r="CJ11" s="49">
        <v>1415</v>
      </c>
      <c r="CK11" s="54">
        <v>1473</v>
      </c>
      <c r="CL11" s="54">
        <v>1414</v>
      </c>
      <c r="CM11" s="88">
        <v>11.4</v>
      </c>
      <c r="CN11" s="88">
        <v>10.5</v>
      </c>
      <c r="CO11" s="88">
        <v>11.1</v>
      </c>
      <c r="CP11" s="88">
        <v>11</v>
      </c>
      <c r="CQ11" s="53">
        <v>66</v>
      </c>
      <c r="CR11" s="53">
        <v>45</v>
      </c>
      <c r="CS11" s="53">
        <v>63</v>
      </c>
      <c r="CT11" s="53">
        <v>47</v>
      </c>
      <c r="CU11" s="88">
        <v>4.4000000000000004</v>
      </c>
      <c r="CV11" s="88">
        <v>3.3</v>
      </c>
      <c r="CW11" s="88">
        <v>4.4000000000000004</v>
      </c>
      <c r="CX11" s="88">
        <v>3.5</v>
      </c>
      <c r="CY11" s="51">
        <v>107</v>
      </c>
      <c r="CZ11" s="53">
        <v>93</v>
      </c>
      <c r="DA11" s="53">
        <v>137</v>
      </c>
      <c r="DB11" s="53">
        <v>101</v>
      </c>
      <c r="DC11" s="88">
        <v>7.4</v>
      </c>
      <c r="DD11" s="88">
        <v>6.9</v>
      </c>
      <c r="DE11" s="88">
        <v>9.8000000000000007</v>
      </c>
      <c r="DF11" s="88">
        <v>7.6</v>
      </c>
      <c r="DG11" s="88">
        <v>83.9</v>
      </c>
      <c r="DH11" s="88">
        <v>86.6</v>
      </c>
      <c r="DI11" s="88">
        <v>89.2</v>
      </c>
      <c r="DJ11" s="88">
        <v>89.9</v>
      </c>
      <c r="DK11" s="88">
        <v>12.6</v>
      </c>
      <c r="DL11" s="88">
        <v>14.3</v>
      </c>
      <c r="DM11" s="88">
        <v>13</v>
      </c>
      <c r="DN11" s="88">
        <v>16.13588110403397</v>
      </c>
      <c r="DO11" s="88">
        <v>20</v>
      </c>
      <c r="DP11" s="88">
        <v>24.9</v>
      </c>
      <c r="DQ11" s="88">
        <v>28.3</v>
      </c>
      <c r="DR11" s="88">
        <v>33.200000000000003</v>
      </c>
      <c r="DS11" s="88">
        <v>24.144869215291749</v>
      </c>
      <c r="DT11" s="88">
        <v>23.367697594501717</v>
      </c>
      <c r="DU11" s="88">
        <v>20.079594790159188</v>
      </c>
      <c r="DV11" s="88">
        <v>18.778280542986426</v>
      </c>
      <c r="DW11" s="54">
        <v>246</v>
      </c>
      <c r="DX11" s="54">
        <v>2</v>
      </c>
      <c r="DY11" s="51">
        <v>0</v>
      </c>
      <c r="DZ11" s="53">
        <v>3</v>
      </c>
      <c r="EA11" s="53">
        <v>14</v>
      </c>
      <c r="EB11" s="53">
        <v>9</v>
      </c>
      <c r="EC11" s="53">
        <v>5</v>
      </c>
      <c r="ED11" s="51">
        <v>6</v>
      </c>
      <c r="EE11" s="53">
        <v>5</v>
      </c>
      <c r="EF11" s="53">
        <v>1353</v>
      </c>
      <c r="EG11" s="53">
        <v>1370</v>
      </c>
      <c r="EH11" s="53">
        <v>1425</v>
      </c>
      <c r="EI11" s="53">
        <v>1416</v>
      </c>
      <c r="EJ11" s="92">
        <v>291</v>
      </c>
      <c r="EK11" s="92">
        <v>0</v>
      </c>
      <c r="EL11" s="92">
        <v>0</v>
      </c>
      <c r="EM11" s="92">
        <v>0</v>
      </c>
      <c r="EN11" s="92">
        <v>1</v>
      </c>
      <c r="EO11" s="88">
        <v>994.5019404915912</v>
      </c>
      <c r="EP11" s="88">
        <v>1019.9751334529509</v>
      </c>
      <c r="EQ11" s="88">
        <v>1078.1079772424646</v>
      </c>
      <c r="ER11" s="88">
        <v>1091.258293563031</v>
      </c>
      <c r="ES11" s="88">
        <v>708.3</v>
      </c>
      <c r="ET11" s="88">
        <v>698.9</v>
      </c>
      <c r="EU11" s="88">
        <v>677.2</v>
      </c>
      <c r="EV11" s="88">
        <v>649.4</v>
      </c>
      <c r="EW11" s="88">
        <v>905.14102882259658</v>
      </c>
      <c r="EX11" s="88">
        <v>874.75694550481262</v>
      </c>
      <c r="EY11" s="88">
        <v>792.9795468982627</v>
      </c>
      <c r="EZ11" s="88">
        <v>807.78889608386112</v>
      </c>
      <c r="FA11" s="88">
        <v>578.97033784569317</v>
      </c>
      <c r="FB11" s="88">
        <v>568.96715596023989</v>
      </c>
      <c r="FC11" s="88">
        <v>577.91016414617707</v>
      </c>
      <c r="FD11" s="88">
        <v>522.26968227463271</v>
      </c>
      <c r="FE11" s="51">
        <v>340</v>
      </c>
      <c r="FF11" s="54">
        <v>337</v>
      </c>
      <c r="FG11" s="54">
        <v>335</v>
      </c>
      <c r="FH11" s="54">
        <v>319</v>
      </c>
      <c r="FI11" s="88">
        <v>183.8776</v>
      </c>
      <c r="FJ11" s="88">
        <v>184.6087</v>
      </c>
      <c r="FK11" s="88">
        <v>173.7405</v>
      </c>
      <c r="FL11" s="88">
        <v>162.2869</v>
      </c>
      <c r="FM11" s="54">
        <v>446</v>
      </c>
      <c r="FN11" s="54">
        <v>386</v>
      </c>
      <c r="FO11" s="51">
        <v>344</v>
      </c>
      <c r="FP11" s="54">
        <v>304</v>
      </c>
      <c r="FQ11" s="88">
        <v>226.5521</v>
      </c>
      <c r="FR11" s="88">
        <v>185.22880000000001</v>
      </c>
      <c r="FS11" s="88">
        <v>152.4246</v>
      </c>
      <c r="FT11" s="88">
        <v>129.19130000000001</v>
      </c>
      <c r="FU11" s="53">
        <v>115</v>
      </c>
      <c r="FV11" s="53">
        <v>100</v>
      </c>
      <c r="FW11" s="53">
        <v>99</v>
      </c>
      <c r="FX11" s="53">
        <v>86</v>
      </c>
      <c r="FY11" s="88">
        <v>56.166170000000001</v>
      </c>
      <c r="FZ11" s="88">
        <v>47.51981</v>
      </c>
      <c r="GA11" s="88">
        <v>41.211959999999998</v>
      </c>
      <c r="GB11" s="88">
        <v>32.916670000000003</v>
      </c>
      <c r="GC11" s="55">
        <v>36</v>
      </c>
      <c r="GD11" s="56">
        <v>35</v>
      </c>
      <c r="GE11" s="55">
        <v>64</v>
      </c>
      <c r="GF11" s="55">
        <v>57</v>
      </c>
      <c r="GG11" s="91">
        <v>23.55219</v>
      </c>
      <c r="GH11" s="91">
        <v>22.15155</v>
      </c>
      <c r="GI11" s="91">
        <v>34.5167</v>
      </c>
      <c r="GJ11" s="91">
        <v>34.561529999999998</v>
      </c>
      <c r="GK11" s="55"/>
      <c r="GL11" s="55"/>
      <c r="GM11" s="55"/>
      <c r="GN11" s="56"/>
      <c r="GO11" s="55"/>
      <c r="GP11" s="55"/>
      <c r="GQ11" s="55"/>
      <c r="GR11" s="55"/>
      <c r="GS11" s="56"/>
      <c r="GT11" s="55"/>
      <c r="GU11" s="55"/>
      <c r="GV11" s="55"/>
      <c r="GW11" s="55"/>
      <c r="GX11" s="56"/>
      <c r="GY11" s="56"/>
      <c r="GZ11" s="56"/>
      <c r="HA11" s="56"/>
      <c r="HB11" s="56"/>
      <c r="HC11" s="56"/>
      <c r="HD11" s="57"/>
      <c r="HE11" s="57"/>
      <c r="HF11" s="57"/>
      <c r="HG11" s="57"/>
      <c r="HH11" s="57"/>
      <c r="HI11" s="58"/>
      <c r="HJ11" s="58"/>
      <c r="HK11" s="55"/>
      <c r="HL11" s="56"/>
      <c r="HM11" s="56"/>
      <c r="HN11" s="56"/>
      <c r="HO11" s="56"/>
      <c r="HP11" s="56"/>
      <c r="HQ11" s="56"/>
      <c r="HR11" s="56"/>
      <c r="HS11" s="56"/>
      <c r="HT11" s="56"/>
      <c r="HU11" s="38"/>
      <c r="HV11" s="52"/>
      <c r="HW11" s="52"/>
      <c r="HX11" s="52"/>
      <c r="HY11" s="52"/>
      <c r="HZ11" s="52"/>
      <c r="IA11" s="52"/>
      <c r="IB11" s="52"/>
      <c r="IC11" s="52"/>
      <c r="ID11" s="52"/>
      <c r="IE11" s="52"/>
      <c r="IF11" s="52"/>
      <c r="IG11" s="52"/>
      <c r="IH11" s="52"/>
      <c r="II11" s="52"/>
      <c r="IJ11" s="52"/>
      <c r="IK11" s="52"/>
      <c r="IL11" s="52"/>
      <c r="IM11" s="52"/>
      <c r="IN11" s="52"/>
      <c r="IO11" s="52"/>
      <c r="IP11" s="52"/>
      <c r="IQ11" s="52"/>
      <c r="IR11" s="52"/>
    </row>
    <row r="12" spans="1:252" x14ac:dyDescent="0.2">
      <c r="A12" s="36">
        <v>9</v>
      </c>
      <c r="B12" s="70" t="s">
        <v>66</v>
      </c>
      <c r="C12" s="77">
        <v>33933</v>
      </c>
      <c r="D12" s="77">
        <v>34327</v>
      </c>
      <c r="E12" s="77">
        <v>35386</v>
      </c>
      <c r="F12" s="77">
        <v>35455</v>
      </c>
      <c r="G12" s="150">
        <v>35348</v>
      </c>
      <c r="H12" s="41">
        <v>31736</v>
      </c>
      <c r="I12" s="41">
        <v>527</v>
      </c>
      <c r="J12" s="41">
        <v>2069</v>
      </c>
      <c r="K12" s="41">
        <v>193</v>
      </c>
      <c r="L12" s="41">
        <v>519</v>
      </c>
      <c r="M12" s="42">
        <v>13503</v>
      </c>
      <c r="N12" s="43">
        <v>13610</v>
      </c>
      <c r="O12" s="43">
        <v>13538</v>
      </c>
      <c r="P12" s="44">
        <v>13586</v>
      </c>
      <c r="Q12" s="44">
        <v>13558</v>
      </c>
      <c r="R12" s="87">
        <v>22.406950079379079</v>
      </c>
      <c r="S12" s="87">
        <v>23.462862764387605</v>
      </c>
      <c r="T12" s="87">
        <v>22.95768566493955</v>
      </c>
      <c r="U12" s="87">
        <v>22.827763496143959</v>
      </c>
      <c r="V12" s="87">
        <v>23.760107233968952</v>
      </c>
      <c r="W12" s="87">
        <v>27.235844064208855</v>
      </c>
      <c r="X12" s="87">
        <v>30.036220542860974</v>
      </c>
      <c r="Y12" s="87">
        <v>29.831606217616581</v>
      </c>
      <c r="Z12" s="87">
        <v>29.078834618680379</v>
      </c>
      <c r="AA12" s="42">
        <v>29.082890128421326</v>
      </c>
      <c r="AB12" s="87">
        <v>49.642794143587935</v>
      </c>
      <c r="AC12" s="87">
        <v>53.499083307248583</v>
      </c>
      <c r="AD12" s="87">
        <v>52.789291882556128</v>
      </c>
      <c r="AE12" s="87">
        <v>51.906598114824334</v>
      </c>
      <c r="AF12" s="87">
        <v>52.842997362390278</v>
      </c>
      <c r="AG12" s="44">
        <v>6.5984917733089583</v>
      </c>
      <c r="AH12" s="44">
        <v>8.8014981273408246</v>
      </c>
      <c r="AI12" s="44">
        <v>8.6034704011605196</v>
      </c>
      <c r="AJ12" s="43">
        <v>7.8598484848484844</v>
      </c>
      <c r="AK12" s="43">
        <v>7.0968825208484914</v>
      </c>
      <c r="AL12" s="47">
        <v>893.41666666666663</v>
      </c>
      <c r="AM12" s="47">
        <v>1089.3333333333333</v>
      </c>
      <c r="AN12" s="47">
        <v>893.41666666666663</v>
      </c>
      <c r="AO12" s="47">
        <v>1545.4166666666667</v>
      </c>
      <c r="AP12" s="47">
        <v>1644.5833333333333</v>
      </c>
      <c r="AQ12" s="47">
        <v>32038.005636383503</v>
      </c>
      <c r="AR12" s="47">
        <v>32462.274393181324</v>
      </c>
      <c r="AS12" s="47">
        <v>32800.078781046832</v>
      </c>
      <c r="AT12" s="47">
        <v>33192.913942061823</v>
      </c>
      <c r="AU12" s="47">
        <v>33329.212402399004</v>
      </c>
      <c r="AV12" s="84">
        <v>52548.925992144723</v>
      </c>
      <c r="AW12" s="85">
        <v>55191.746085863306</v>
      </c>
      <c r="AX12" s="85">
        <v>51550.137212407877</v>
      </c>
      <c r="AY12" s="85">
        <v>50378.076523920492</v>
      </c>
      <c r="AZ12" s="85">
        <v>50049</v>
      </c>
      <c r="BA12" s="83">
        <v>10.87170647623738</v>
      </c>
      <c r="BB12" s="83">
        <v>10.47677261613692</v>
      </c>
      <c r="BC12" s="83">
        <v>10.773153089054903</v>
      </c>
      <c r="BD12" s="83">
        <v>12.188841201716738</v>
      </c>
      <c r="BE12" s="83">
        <v>12.60961326952231</v>
      </c>
      <c r="BF12" s="83">
        <v>12.313282196205087</v>
      </c>
      <c r="BG12" s="46">
        <v>12.832413447064727</v>
      </c>
      <c r="BH12" s="46">
        <v>13.083312973369166</v>
      </c>
      <c r="BI12" s="46">
        <v>13.404892661008487</v>
      </c>
      <c r="BJ12" s="46">
        <v>12.850701402805612</v>
      </c>
      <c r="BK12" s="42">
        <v>6250</v>
      </c>
      <c r="BL12" s="42">
        <v>6256</v>
      </c>
      <c r="BM12" s="40">
        <v>6249</v>
      </c>
      <c r="BN12" s="40">
        <v>6284</v>
      </c>
      <c r="BO12" s="43">
        <v>32.479999999999997</v>
      </c>
      <c r="BP12" s="43">
        <v>34.367007672634273</v>
      </c>
      <c r="BQ12" s="44">
        <v>33.733397343574971</v>
      </c>
      <c r="BR12" s="44">
        <v>36.203055378739656</v>
      </c>
      <c r="BS12" s="87">
        <v>9.6000000000000002E-2</v>
      </c>
      <c r="BT12" s="87">
        <v>1.5984654731457801E-2</v>
      </c>
      <c r="BU12" s="87">
        <v>8.0012802048327739E-2</v>
      </c>
      <c r="BV12" s="87">
        <v>7.9567154678548691E-2</v>
      </c>
      <c r="BW12" s="43">
        <v>14.976000000000001</v>
      </c>
      <c r="BX12" s="43">
        <v>15.297314578005116</v>
      </c>
      <c r="BY12" s="43">
        <v>14.722355576892303</v>
      </c>
      <c r="BZ12" s="43">
        <v>15.324633991088479</v>
      </c>
      <c r="CA12" s="42">
        <v>83.712121212121218</v>
      </c>
      <c r="CB12" s="42">
        <v>80.819366852886404</v>
      </c>
      <c r="CC12" s="43">
        <v>81.93</v>
      </c>
      <c r="CD12" s="44">
        <v>86.06</v>
      </c>
      <c r="CE12" s="43">
        <v>4.7348484848484844</v>
      </c>
      <c r="CF12" s="43">
        <v>4.8417132216014895</v>
      </c>
      <c r="CG12" s="43">
        <v>5.22</v>
      </c>
      <c r="CH12" s="44">
        <v>4.95</v>
      </c>
      <c r="CI12" s="49">
        <v>1681</v>
      </c>
      <c r="CJ12" s="49">
        <v>1851</v>
      </c>
      <c r="CK12" s="54">
        <v>2050</v>
      </c>
      <c r="CL12" s="54">
        <v>1973</v>
      </c>
      <c r="CM12" s="88">
        <v>11.1</v>
      </c>
      <c r="CN12" s="88">
        <v>11.7</v>
      </c>
      <c r="CO12" s="88">
        <v>12.2</v>
      </c>
      <c r="CP12" s="88">
        <v>11.3</v>
      </c>
      <c r="CQ12" s="53">
        <v>62</v>
      </c>
      <c r="CR12" s="53">
        <v>77</v>
      </c>
      <c r="CS12" s="53">
        <v>71</v>
      </c>
      <c r="CT12" s="53">
        <v>85</v>
      </c>
      <c r="CU12" s="88">
        <v>3.8</v>
      </c>
      <c r="CV12" s="88">
        <v>4.3</v>
      </c>
      <c r="CW12" s="88">
        <v>3.6</v>
      </c>
      <c r="CX12" s="88">
        <v>4.4000000000000004</v>
      </c>
      <c r="CY12" s="51">
        <v>101</v>
      </c>
      <c r="CZ12" s="53">
        <v>129</v>
      </c>
      <c r="DA12" s="53">
        <v>139</v>
      </c>
      <c r="DB12" s="53">
        <v>145</v>
      </c>
      <c r="DC12" s="88">
        <v>6.6</v>
      </c>
      <c r="DD12" s="88">
        <v>7.7</v>
      </c>
      <c r="DE12" s="88">
        <v>8.1</v>
      </c>
      <c r="DF12" s="88">
        <v>8.4</v>
      </c>
      <c r="DG12" s="88">
        <v>87.8</v>
      </c>
      <c r="DH12" s="88">
        <v>89.1</v>
      </c>
      <c r="DI12" s="88">
        <v>90.2</v>
      </c>
      <c r="DJ12" s="88">
        <v>87.7</v>
      </c>
      <c r="DK12" s="88">
        <v>24.4</v>
      </c>
      <c r="DL12" s="88">
        <v>21.6</v>
      </c>
      <c r="DM12" s="88">
        <v>20.8</v>
      </c>
      <c r="DN12" s="88">
        <v>20.328542094455852</v>
      </c>
      <c r="DO12" s="88">
        <v>30</v>
      </c>
      <c r="DP12" s="88">
        <v>31.8</v>
      </c>
      <c r="DQ12" s="88">
        <v>33</v>
      </c>
      <c r="DR12" s="88">
        <v>39.4</v>
      </c>
      <c r="DS12" s="88">
        <v>34.616880591209643</v>
      </c>
      <c r="DT12" s="88">
        <v>31.821259309410969</v>
      </c>
      <c r="DU12" s="88">
        <v>31.089003375377509</v>
      </c>
      <c r="DV12" s="88">
        <v>28.690860725821775</v>
      </c>
      <c r="DW12" s="54">
        <v>317</v>
      </c>
      <c r="DX12" s="54">
        <v>3</v>
      </c>
      <c r="DY12" s="51">
        <v>41</v>
      </c>
      <c r="DZ12" s="53">
        <v>2</v>
      </c>
      <c r="EA12" s="53">
        <v>6</v>
      </c>
      <c r="EB12" s="53">
        <v>12</v>
      </c>
      <c r="EC12" s="53">
        <v>12</v>
      </c>
      <c r="ED12" s="51">
        <v>7</v>
      </c>
      <c r="EE12" s="53">
        <v>12</v>
      </c>
      <c r="EF12" s="53">
        <v>1514</v>
      </c>
      <c r="EG12" s="53">
        <v>1588</v>
      </c>
      <c r="EH12" s="53">
        <v>1665</v>
      </c>
      <c r="EI12" s="53">
        <v>1790</v>
      </c>
      <c r="EJ12" s="92">
        <v>339</v>
      </c>
      <c r="EK12" s="92">
        <v>0</v>
      </c>
      <c r="EL12" s="92">
        <v>24</v>
      </c>
      <c r="EM12" s="92">
        <v>3</v>
      </c>
      <c r="EN12" s="92">
        <v>1</v>
      </c>
      <c r="EO12" s="88">
        <v>998.4436413516579</v>
      </c>
      <c r="EP12" s="88">
        <v>1000.8382335331228</v>
      </c>
      <c r="EQ12" s="88">
        <v>986.85380338790173</v>
      </c>
      <c r="ER12" s="88">
        <v>1022.9976779462405</v>
      </c>
      <c r="ES12" s="88">
        <v>877.6</v>
      </c>
      <c r="ET12" s="88">
        <v>844.6</v>
      </c>
      <c r="EU12" s="88">
        <v>809.1</v>
      </c>
      <c r="EV12" s="88">
        <v>803.9</v>
      </c>
      <c r="EW12" s="88">
        <v>1095.6327444437406</v>
      </c>
      <c r="EX12" s="88">
        <v>1021.4103073430553</v>
      </c>
      <c r="EY12" s="88">
        <v>1003.9953445113775</v>
      </c>
      <c r="EZ12" s="88">
        <v>935.53161290045102</v>
      </c>
      <c r="FA12" s="88">
        <v>695.13187908187342</v>
      </c>
      <c r="FB12" s="88">
        <v>708.20367187030376</v>
      </c>
      <c r="FC12" s="88">
        <v>657.13284706429067</v>
      </c>
      <c r="FD12" s="88">
        <v>707.63461059578992</v>
      </c>
      <c r="FE12" s="51">
        <v>298</v>
      </c>
      <c r="FF12" s="54">
        <v>348</v>
      </c>
      <c r="FG12" s="54">
        <v>428</v>
      </c>
      <c r="FH12" s="54">
        <v>401</v>
      </c>
      <c r="FI12" s="88">
        <v>172.15199999999999</v>
      </c>
      <c r="FJ12" s="88">
        <v>188.60159999999999</v>
      </c>
      <c r="FK12" s="88">
        <v>214.77850000000001</v>
      </c>
      <c r="FL12" s="88">
        <v>184.86760000000001</v>
      </c>
      <c r="FM12" s="54">
        <v>486</v>
      </c>
      <c r="FN12" s="54">
        <v>416</v>
      </c>
      <c r="FO12" s="51">
        <v>399</v>
      </c>
      <c r="FP12" s="54">
        <v>379</v>
      </c>
      <c r="FQ12" s="88">
        <v>277.69670000000002</v>
      </c>
      <c r="FR12" s="88">
        <v>216.32210000000001</v>
      </c>
      <c r="FS12" s="88">
        <v>189.35249999999999</v>
      </c>
      <c r="FT12" s="88">
        <v>165.0067</v>
      </c>
      <c r="FU12" s="53">
        <v>122</v>
      </c>
      <c r="FV12" s="53">
        <v>129</v>
      </c>
      <c r="FW12" s="53">
        <v>98</v>
      </c>
      <c r="FX12" s="53">
        <v>100</v>
      </c>
      <c r="FY12" s="88">
        <v>68.683930000000004</v>
      </c>
      <c r="FZ12" s="88">
        <v>65.882459999999995</v>
      </c>
      <c r="GA12" s="88">
        <v>45.568919999999999</v>
      </c>
      <c r="GB12" s="88">
        <v>41.880220000000001</v>
      </c>
      <c r="GC12" s="55">
        <v>65</v>
      </c>
      <c r="GD12" s="56">
        <v>78</v>
      </c>
      <c r="GE12" s="55">
        <v>78</v>
      </c>
      <c r="GF12" s="55">
        <v>92</v>
      </c>
      <c r="GG12" s="91">
        <v>40.649470000000001</v>
      </c>
      <c r="GH12" s="91">
        <v>46.363039999999998</v>
      </c>
      <c r="GI12" s="91">
        <v>41.155369999999998</v>
      </c>
      <c r="GJ12" s="91">
        <v>47.689900000000002</v>
      </c>
      <c r="GK12" s="55"/>
      <c r="GL12" s="55"/>
      <c r="GM12" s="55"/>
      <c r="GN12" s="56"/>
      <c r="GO12" s="55"/>
      <c r="GP12" s="55"/>
      <c r="GQ12" s="55"/>
      <c r="GR12" s="55"/>
      <c r="GS12" s="56"/>
      <c r="GT12" s="55"/>
      <c r="GU12" s="55"/>
      <c r="GV12" s="55"/>
      <c r="GW12" s="55"/>
      <c r="GX12" s="56"/>
      <c r="GY12" s="56"/>
      <c r="GZ12" s="56"/>
      <c r="HA12" s="56"/>
      <c r="HB12" s="56"/>
      <c r="HC12" s="56"/>
      <c r="HD12" s="57"/>
      <c r="HE12" s="57"/>
      <c r="HF12" s="57"/>
      <c r="HG12" s="57"/>
      <c r="HH12" s="57"/>
      <c r="HI12" s="58"/>
      <c r="HJ12" s="58"/>
      <c r="HK12" s="55"/>
      <c r="HL12" s="56"/>
      <c r="HM12" s="56"/>
      <c r="HN12" s="56"/>
      <c r="HO12" s="56"/>
      <c r="HP12" s="56"/>
      <c r="HQ12" s="56"/>
      <c r="HR12" s="56"/>
      <c r="HS12" s="56"/>
      <c r="HT12" s="56"/>
      <c r="HU12" s="38"/>
    </row>
    <row r="13" spans="1:252" x14ac:dyDescent="0.2">
      <c r="A13" s="36">
        <v>10</v>
      </c>
      <c r="B13" s="70" t="s">
        <v>144</v>
      </c>
      <c r="C13" s="77">
        <v>90043</v>
      </c>
      <c r="D13" s="77">
        <v>92107</v>
      </c>
      <c r="E13" s="77">
        <v>91042</v>
      </c>
      <c r="F13" s="77">
        <v>92638</v>
      </c>
      <c r="G13" s="150">
        <v>93707</v>
      </c>
      <c r="H13" s="41">
        <v>88065</v>
      </c>
      <c r="I13" s="41">
        <v>1284</v>
      </c>
      <c r="J13" s="41">
        <v>259</v>
      </c>
      <c r="K13" s="41">
        <v>2714</v>
      </c>
      <c r="L13" s="41">
        <v>3775</v>
      </c>
      <c r="M13" s="42">
        <v>32283</v>
      </c>
      <c r="N13" s="43">
        <v>32867</v>
      </c>
      <c r="O13" s="43">
        <v>32891</v>
      </c>
      <c r="P13" s="44">
        <v>33202</v>
      </c>
      <c r="Q13" s="44">
        <v>33698</v>
      </c>
      <c r="R13" s="87">
        <v>11.707933217819377</v>
      </c>
      <c r="S13" s="87">
        <v>12.262665852796607</v>
      </c>
      <c r="T13" s="87">
        <v>12.692687747035572</v>
      </c>
      <c r="U13" s="87">
        <v>12.965023462822311</v>
      </c>
      <c r="V13" s="87">
        <v>13.830498757882667</v>
      </c>
      <c r="W13" s="87">
        <v>34.103606302527815</v>
      </c>
      <c r="X13" s="87">
        <v>35.690879300928451</v>
      </c>
      <c r="Y13" s="87">
        <v>37.244729907773383</v>
      </c>
      <c r="Z13" s="87">
        <v>36.419782948736554</v>
      </c>
      <c r="AA13" s="42">
        <v>35.393974138480161</v>
      </c>
      <c r="AB13" s="87">
        <v>45.811539520347189</v>
      </c>
      <c r="AC13" s="87">
        <v>47.953545153725059</v>
      </c>
      <c r="AD13" s="87">
        <v>49.937417654808961</v>
      </c>
      <c r="AE13" s="87">
        <v>49.38480641155887</v>
      </c>
      <c r="AF13" s="87">
        <v>49.224472896362826</v>
      </c>
      <c r="AG13" s="44">
        <v>4.8500029585215279</v>
      </c>
      <c r="AH13" s="44">
        <v>7.5303564433999215</v>
      </c>
      <c r="AI13" s="44">
        <v>6.8591775247486009</v>
      </c>
      <c r="AJ13" s="43">
        <v>5.7260874672095845</v>
      </c>
      <c r="AK13" s="43">
        <v>5.171737766624843</v>
      </c>
      <c r="AL13" s="47">
        <v>597.5</v>
      </c>
      <c r="AM13" s="47">
        <v>855.33333333333337</v>
      </c>
      <c r="AN13" s="47">
        <v>597.5</v>
      </c>
      <c r="AO13" s="47">
        <v>1380.75</v>
      </c>
      <c r="AP13" s="47">
        <v>1458.6666666666667</v>
      </c>
      <c r="AQ13" s="47">
        <v>58200.636027878129</v>
      </c>
      <c r="AR13" s="47">
        <v>55067.090138765627</v>
      </c>
      <c r="AS13" s="47">
        <v>57217.92265942903</v>
      </c>
      <c r="AT13" s="47">
        <v>60005.198812443443</v>
      </c>
      <c r="AU13" s="47">
        <v>60468.076024203103</v>
      </c>
      <c r="AV13" s="84">
        <v>89666.3103626261</v>
      </c>
      <c r="AW13" s="85">
        <v>81927.187812324119</v>
      </c>
      <c r="AX13" s="85">
        <v>86271.379981180988</v>
      </c>
      <c r="AY13" s="85">
        <v>87078.939574158736</v>
      </c>
      <c r="AZ13" s="85">
        <v>85064</v>
      </c>
      <c r="BA13" s="83">
        <v>4.5578483185781131</v>
      </c>
      <c r="BB13" s="83">
        <v>5.0302517871064794</v>
      </c>
      <c r="BC13" s="83">
        <v>4.8862632508833919</v>
      </c>
      <c r="BD13" s="83">
        <v>5.3648442605096927</v>
      </c>
      <c r="BE13" s="83">
        <v>4.4756524078557973</v>
      </c>
      <c r="BF13" s="83">
        <v>4.9497477456004448</v>
      </c>
      <c r="BG13" s="46">
        <v>5.5017655769449823</v>
      </c>
      <c r="BH13" s="46">
        <v>5.5819608710069639</v>
      </c>
      <c r="BI13" s="46">
        <v>6.1741114136433879</v>
      </c>
      <c r="BJ13" s="46">
        <v>4.8834090739775009</v>
      </c>
      <c r="BK13" s="42">
        <v>15522</v>
      </c>
      <c r="BL13" s="42">
        <v>15853</v>
      </c>
      <c r="BM13" s="40">
        <v>16032</v>
      </c>
      <c r="BN13" s="40">
        <v>16318</v>
      </c>
      <c r="BO13" s="43">
        <v>15.680968947300606</v>
      </c>
      <c r="BP13" s="43">
        <v>17.491957358228728</v>
      </c>
      <c r="BQ13" s="44">
        <v>16.722804391217565</v>
      </c>
      <c r="BR13" s="44">
        <v>17.728888344159824</v>
      </c>
      <c r="BS13" s="87">
        <v>3.6915345960572092</v>
      </c>
      <c r="BT13" s="87">
        <v>3.6586135116381757</v>
      </c>
      <c r="BU13" s="87">
        <v>3.3745009980039922</v>
      </c>
      <c r="BV13" s="87">
        <v>3.4072803039588186</v>
      </c>
      <c r="BW13" s="43">
        <v>12.665893570416184</v>
      </c>
      <c r="BX13" s="43">
        <v>13.000693874976346</v>
      </c>
      <c r="BY13" s="43">
        <v>13.086327345309382</v>
      </c>
      <c r="BZ13" s="43">
        <v>12.709890918004657</v>
      </c>
      <c r="CA13" s="42">
        <v>80.352846832397759</v>
      </c>
      <c r="CB13" s="42">
        <v>78.677042801556425</v>
      </c>
      <c r="CC13" s="43">
        <v>81.5</v>
      </c>
      <c r="CD13" s="44">
        <v>87.62</v>
      </c>
      <c r="CE13" s="43">
        <v>2.72654370489174</v>
      </c>
      <c r="CF13" s="43">
        <v>4.1245136186770424</v>
      </c>
      <c r="CG13" s="43">
        <v>4.28</v>
      </c>
      <c r="CH13" s="44">
        <v>2.46</v>
      </c>
      <c r="CI13" s="49">
        <v>5012</v>
      </c>
      <c r="CJ13" s="49">
        <v>5626</v>
      </c>
      <c r="CK13" s="54">
        <v>6279</v>
      </c>
      <c r="CL13" s="54">
        <v>5702</v>
      </c>
      <c r="CM13" s="88">
        <v>17</v>
      </c>
      <c r="CN13" s="88">
        <v>16</v>
      </c>
      <c r="CO13" s="88">
        <v>14.9</v>
      </c>
      <c r="CP13" s="88">
        <v>12.4</v>
      </c>
      <c r="CQ13" s="53">
        <v>162</v>
      </c>
      <c r="CR13" s="53">
        <v>190</v>
      </c>
      <c r="CS13" s="53">
        <v>209</v>
      </c>
      <c r="CT13" s="53">
        <v>203</v>
      </c>
      <c r="CU13" s="88">
        <v>3.4</v>
      </c>
      <c r="CV13" s="88">
        <v>3.5</v>
      </c>
      <c r="CW13" s="88">
        <v>3.5</v>
      </c>
      <c r="CX13" s="88">
        <v>3.7</v>
      </c>
      <c r="CY13" s="51">
        <v>307</v>
      </c>
      <c r="CZ13" s="53">
        <v>357</v>
      </c>
      <c r="DA13" s="53">
        <v>396</v>
      </c>
      <c r="DB13" s="53">
        <v>351</v>
      </c>
      <c r="DC13" s="88">
        <v>6.8</v>
      </c>
      <c r="DD13" s="88">
        <v>7.3</v>
      </c>
      <c r="DE13" s="88">
        <v>7.2</v>
      </c>
      <c r="DF13" s="88">
        <v>7</v>
      </c>
      <c r="DG13" s="88">
        <v>90.6</v>
      </c>
      <c r="DH13" s="88">
        <v>92</v>
      </c>
      <c r="DI13" s="88">
        <v>92.6</v>
      </c>
      <c r="DJ13" s="88">
        <v>91.6</v>
      </c>
      <c r="DK13" s="88">
        <v>6.9</v>
      </c>
      <c r="DL13" s="88">
        <v>4.5999999999999996</v>
      </c>
      <c r="DM13" s="88">
        <v>4.3</v>
      </c>
      <c r="DN13" s="88">
        <v>4.6191819464033852</v>
      </c>
      <c r="DO13" s="88">
        <v>11.4</v>
      </c>
      <c r="DP13" s="88">
        <v>11.9</v>
      </c>
      <c r="DQ13" s="88">
        <v>13.4</v>
      </c>
      <c r="DR13" s="88">
        <v>15.5</v>
      </c>
      <c r="DS13" s="88">
        <v>21.657250470809792</v>
      </c>
      <c r="DT13" s="88">
        <v>16.501650165016503</v>
      </c>
      <c r="DU13" s="88">
        <v>12.205044751830757</v>
      </c>
      <c r="DV13" s="88">
        <v>8.7405159332321691</v>
      </c>
      <c r="DW13" s="54">
        <v>1048</v>
      </c>
      <c r="DX13" s="54">
        <v>29</v>
      </c>
      <c r="DY13" s="51">
        <v>3</v>
      </c>
      <c r="DZ13" s="53">
        <v>37</v>
      </c>
      <c r="EA13" s="53">
        <v>57</v>
      </c>
      <c r="EB13" s="53">
        <v>26</v>
      </c>
      <c r="EC13" s="53">
        <v>28</v>
      </c>
      <c r="ED13" s="51">
        <v>13</v>
      </c>
      <c r="EE13" s="53">
        <v>28</v>
      </c>
      <c r="EF13" s="53">
        <v>1501</v>
      </c>
      <c r="EG13" s="53">
        <v>1471</v>
      </c>
      <c r="EH13" s="53">
        <v>1732</v>
      </c>
      <c r="EI13" s="53">
        <v>2092</v>
      </c>
      <c r="EJ13" s="92">
        <v>416</v>
      </c>
      <c r="EK13" s="92">
        <v>4</v>
      </c>
      <c r="EL13" s="92">
        <v>1</v>
      </c>
      <c r="EM13" s="92">
        <v>7</v>
      </c>
      <c r="EN13" s="92">
        <v>4</v>
      </c>
      <c r="EO13" s="88">
        <v>509.5632218246505</v>
      </c>
      <c r="EP13" s="88">
        <v>419.46236957742946</v>
      </c>
      <c r="EQ13" s="88">
        <v>410.47517478374215</v>
      </c>
      <c r="ER13" s="88">
        <v>454.03602766312224</v>
      </c>
      <c r="ES13" s="88">
        <v>692.5</v>
      </c>
      <c r="ET13" s="88">
        <v>617</v>
      </c>
      <c r="EU13" s="88">
        <v>597.29999999999995</v>
      </c>
      <c r="EV13" s="88">
        <v>595.79999999999995</v>
      </c>
      <c r="EW13" s="88">
        <v>903.74103608473774</v>
      </c>
      <c r="EX13" s="88">
        <v>746.3790073916839</v>
      </c>
      <c r="EY13" s="88">
        <v>742.03011681792339</v>
      </c>
      <c r="EZ13" s="88">
        <v>694.57189926949673</v>
      </c>
      <c r="FA13" s="88">
        <v>548.28765396959068</v>
      </c>
      <c r="FB13" s="88">
        <v>518.291428666824</v>
      </c>
      <c r="FC13" s="88">
        <v>489.84119906299992</v>
      </c>
      <c r="FD13" s="88">
        <v>518.9303278926177</v>
      </c>
      <c r="FE13" s="51">
        <v>388</v>
      </c>
      <c r="FF13" s="54">
        <v>353</v>
      </c>
      <c r="FG13" s="54">
        <v>448</v>
      </c>
      <c r="FH13" s="54">
        <v>535</v>
      </c>
      <c r="FI13" s="88">
        <v>181.88409999999999</v>
      </c>
      <c r="FJ13" s="88">
        <v>149.65280000000001</v>
      </c>
      <c r="FK13" s="88">
        <v>156.6403</v>
      </c>
      <c r="FL13" s="88">
        <v>149.6551</v>
      </c>
      <c r="FM13" s="54">
        <v>411</v>
      </c>
      <c r="FN13" s="54">
        <v>331</v>
      </c>
      <c r="FO13" s="51">
        <v>352</v>
      </c>
      <c r="FP13" s="54">
        <v>398</v>
      </c>
      <c r="FQ13" s="88">
        <v>193.9982</v>
      </c>
      <c r="FR13" s="88">
        <v>143.00069999999999</v>
      </c>
      <c r="FS13" s="88">
        <v>123.5005</v>
      </c>
      <c r="FT13" s="88">
        <v>115.3588</v>
      </c>
      <c r="FU13" s="53">
        <v>87</v>
      </c>
      <c r="FV13" s="53">
        <v>103</v>
      </c>
      <c r="FW13" s="53">
        <v>107</v>
      </c>
      <c r="FX13" s="53">
        <v>94</v>
      </c>
      <c r="FY13" s="88">
        <v>41.935020000000002</v>
      </c>
      <c r="FZ13" s="88">
        <v>44.628639999999997</v>
      </c>
      <c r="GA13" s="88">
        <v>38.105870000000003</v>
      </c>
      <c r="GB13" s="88">
        <v>28.420089999999998</v>
      </c>
      <c r="GC13" s="55">
        <v>92</v>
      </c>
      <c r="GD13" s="56">
        <v>88</v>
      </c>
      <c r="GE13" s="55">
        <v>104</v>
      </c>
      <c r="GF13" s="55">
        <v>142</v>
      </c>
      <c r="GG13" s="91">
        <v>34.393689999999999</v>
      </c>
      <c r="GH13" s="91">
        <v>29.12144</v>
      </c>
      <c r="GI13" s="91">
        <v>30.124279999999999</v>
      </c>
      <c r="GJ13" s="91">
        <v>37.672609999999999</v>
      </c>
      <c r="GK13" s="55"/>
      <c r="GL13" s="55"/>
      <c r="GM13" s="55"/>
      <c r="GN13" s="56"/>
      <c r="GO13" s="55"/>
      <c r="GP13" s="55"/>
      <c r="GQ13" s="55"/>
      <c r="GR13" s="55"/>
      <c r="GS13" s="56"/>
      <c r="GT13" s="55"/>
      <c r="GU13" s="55"/>
      <c r="GV13" s="55"/>
      <c r="GW13" s="55"/>
      <c r="GX13" s="56"/>
      <c r="GY13" s="56"/>
      <c r="GZ13" s="56"/>
      <c r="HA13" s="56"/>
      <c r="HB13" s="56"/>
      <c r="HC13" s="56"/>
      <c r="HD13" s="57"/>
      <c r="HE13" s="57"/>
      <c r="HF13" s="57"/>
      <c r="HG13" s="57"/>
      <c r="HH13" s="57"/>
      <c r="HI13" s="58"/>
      <c r="HJ13" s="58"/>
      <c r="HK13" s="55"/>
      <c r="HL13" s="56"/>
      <c r="HM13" s="56"/>
      <c r="HN13" s="56"/>
      <c r="HO13" s="56"/>
      <c r="HP13" s="56"/>
      <c r="HQ13" s="56"/>
      <c r="HR13" s="56"/>
      <c r="HS13" s="56"/>
      <c r="HT13" s="56"/>
      <c r="HU13" s="38"/>
    </row>
    <row r="14" spans="1:252" x14ac:dyDescent="0.2">
      <c r="A14" s="36">
        <v>11</v>
      </c>
      <c r="B14" s="70" t="s">
        <v>67</v>
      </c>
      <c r="C14" s="77">
        <v>28732</v>
      </c>
      <c r="D14" s="77">
        <v>28534</v>
      </c>
      <c r="E14" s="77">
        <v>28567</v>
      </c>
      <c r="F14" s="77">
        <v>28390</v>
      </c>
      <c r="G14" s="150">
        <v>28357</v>
      </c>
      <c r="H14" s="41">
        <v>24230</v>
      </c>
      <c r="I14" s="41">
        <v>85</v>
      </c>
      <c r="J14" s="41">
        <v>3293</v>
      </c>
      <c r="K14" s="41">
        <v>107</v>
      </c>
      <c r="L14" s="41">
        <v>399</v>
      </c>
      <c r="M14" s="42">
        <v>12112</v>
      </c>
      <c r="N14" s="43">
        <v>12078</v>
      </c>
      <c r="O14" s="43">
        <v>11948</v>
      </c>
      <c r="P14" s="44">
        <v>11926</v>
      </c>
      <c r="Q14" s="44">
        <v>11919</v>
      </c>
      <c r="R14" s="87">
        <v>30.557239706773963</v>
      </c>
      <c r="S14" s="87">
        <v>32.079085225032387</v>
      </c>
      <c r="T14" s="87">
        <v>34.597727533570527</v>
      </c>
      <c r="U14" s="87">
        <v>35.978405990596158</v>
      </c>
      <c r="V14" s="87">
        <v>38.00224202017818</v>
      </c>
      <c r="W14" s="87">
        <v>27.80686766245935</v>
      </c>
      <c r="X14" s="87">
        <v>28.648679096490735</v>
      </c>
      <c r="Y14" s="87">
        <v>29.335475725926777</v>
      </c>
      <c r="Z14" s="87">
        <v>28.821036744645035</v>
      </c>
      <c r="AA14" s="42">
        <v>29.305563750073752</v>
      </c>
      <c r="AB14" s="87">
        <v>58.364107369233317</v>
      </c>
      <c r="AC14" s="87">
        <v>60.727764321523125</v>
      </c>
      <c r="AD14" s="87">
        <v>63.933203259497304</v>
      </c>
      <c r="AE14" s="87">
        <v>64.799442735241186</v>
      </c>
      <c r="AF14" s="87">
        <v>67.307805770251932</v>
      </c>
      <c r="AG14" s="44">
        <v>8.5336707437087025</v>
      </c>
      <c r="AH14" s="44">
        <v>11.030499401281961</v>
      </c>
      <c r="AI14" s="44">
        <v>10.875183348466857</v>
      </c>
      <c r="AJ14" s="43">
        <v>10.005621135469365</v>
      </c>
      <c r="AK14" s="43">
        <v>8.9128869690424768</v>
      </c>
      <c r="AL14" s="47">
        <v>1299.5833333333333</v>
      </c>
      <c r="AM14" s="47">
        <v>1424.4166666666667</v>
      </c>
      <c r="AN14" s="47">
        <v>1299.5833333333333</v>
      </c>
      <c r="AO14" s="47">
        <v>1832.75</v>
      </c>
      <c r="AP14" s="47">
        <v>1989.75</v>
      </c>
      <c r="AQ14" s="47">
        <v>36761.076797918387</v>
      </c>
      <c r="AR14" s="47">
        <v>37380.201504501172</v>
      </c>
      <c r="AS14" s="47">
        <v>37965.802733675628</v>
      </c>
      <c r="AT14" s="47">
        <v>39563.85270821146</v>
      </c>
      <c r="AU14" s="47">
        <v>40032.514017702859</v>
      </c>
      <c r="AV14" s="84">
        <v>44510.576137670374</v>
      </c>
      <c r="AW14" s="85">
        <v>44185.930590109441</v>
      </c>
      <c r="AX14" s="85">
        <v>42727.68169446908</v>
      </c>
      <c r="AY14" s="85">
        <v>43172.022260920741</v>
      </c>
      <c r="AZ14" s="85">
        <v>43491</v>
      </c>
      <c r="BA14" s="83">
        <v>14.455633135679451</v>
      </c>
      <c r="BB14" s="83">
        <v>14.008841732979665</v>
      </c>
      <c r="BC14" s="83">
        <v>16.449344499805648</v>
      </c>
      <c r="BD14" s="83">
        <v>18.2976300619173</v>
      </c>
      <c r="BE14" s="83">
        <v>17.829540193040568</v>
      </c>
      <c r="BF14" s="83">
        <v>22.894308943089431</v>
      </c>
      <c r="BG14" s="46">
        <v>23.957991467016736</v>
      </c>
      <c r="BH14" s="46">
        <v>26.998194649597899</v>
      </c>
      <c r="BI14" s="46">
        <v>30.051282051282051</v>
      </c>
      <c r="BJ14" s="46">
        <v>28.327645051194541</v>
      </c>
      <c r="BK14" s="42">
        <v>4122</v>
      </c>
      <c r="BL14" s="42">
        <v>4170</v>
      </c>
      <c r="BM14" s="40">
        <v>4131</v>
      </c>
      <c r="BN14" s="40">
        <v>4118</v>
      </c>
      <c r="BO14" s="43">
        <v>63.051916545366325</v>
      </c>
      <c r="BP14" s="43">
        <v>62.733812949640289</v>
      </c>
      <c r="BQ14" s="44">
        <v>64.124909222948432</v>
      </c>
      <c r="BR14" s="44">
        <v>64.594463331714422</v>
      </c>
      <c r="BS14" s="87">
        <v>0.1698204754973314</v>
      </c>
      <c r="BT14" s="87">
        <v>0.14388489208633093</v>
      </c>
      <c r="BU14" s="87">
        <v>0.24207213749697409</v>
      </c>
      <c r="BV14" s="87">
        <v>0.19426906265177271</v>
      </c>
      <c r="BW14" s="43">
        <v>22.076661814653082</v>
      </c>
      <c r="BX14" s="43">
        <v>22.086330935251798</v>
      </c>
      <c r="BY14" s="43">
        <v>22.246429435971919</v>
      </c>
      <c r="BZ14" s="43">
        <v>21.199611461874696</v>
      </c>
      <c r="CA14" s="42">
        <v>63.348416289592762</v>
      </c>
      <c r="CB14" s="42">
        <v>62.849872773536894</v>
      </c>
      <c r="CC14" s="43">
        <v>69.17</v>
      </c>
      <c r="CD14" s="44">
        <v>65.73</v>
      </c>
      <c r="CE14" s="43">
        <v>9.0497737556561084</v>
      </c>
      <c r="CF14" s="43">
        <v>7.888040712468193</v>
      </c>
      <c r="CG14" s="43">
        <v>8.06</v>
      </c>
      <c r="CH14" s="44">
        <v>13.76</v>
      </c>
      <c r="CI14" s="49">
        <v>1357</v>
      </c>
      <c r="CJ14" s="49">
        <v>1536</v>
      </c>
      <c r="CK14" s="54">
        <v>1798</v>
      </c>
      <c r="CL14" s="54">
        <v>1706</v>
      </c>
      <c r="CM14" s="88">
        <v>11</v>
      </c>
      <c r="CN14" s="88">
        <v>11.3</v>
      </c>
      <c r="CO14" s="88">
        <v>12.5</v>
      </c>
      <c r="CP14" s="88">
        <v>12</v>
      </c>
      <c r="CQ14" s="53">
        <v>64</v>
      </c>
      <c r="CR14" s="53">
        <v>67</v>
      </c>
      <c r="CS14" s="53">
        <v>88</v>
      </c>
      <c r="CT14" s="53">
        <v>97</v>
      </c>
      <c r="CU14" s="88">
        <v>4.9000000000000004</v>
      </c>
      <c r="CV14" s="88">
        <v>4.5</v>
      </c>
      <c r="CW14" s="88">
        <v>5.0999999999999996</v>
      </c>
      <c r="CX14" s="88">
        <v>5.9</v>
      </c>
      <c r="CY14" s="51">
        <v>102</v>
      </c>
      <c r="CZ14" s="53">
        <v>101</v>
      </c>
      <c r="DA14" s="53">
        <v>143</v>
      </c>
      <c r="DB14" s="53">
        <v>156</v>
      </c>
      <c r="DC14" s="88">
        <v>8.4</v>
      </c>
      <c r="DD14" s="88">
        <v>7.9</v>
      </c>
      <c r="DE14" s="88">
        <v>9.4</v>
      </c>
      <c r="DF14" s="88">
        <v>10.7</v>
      </c>
      <c r="DG14" s="88">
        <v>73.8</v>
      </c>
      <c r="DH14" s="88">
        <v>76.5</v>
      </c>
      <c r="DI14" s="88">
        <v>74.2</v>
      </c>
      <c r="DJ14" s="88">
        <v>73.7</v>
      </c>
      <c r="DK14" s="88">
        <v>31.2</v>
      </c>
      <c r="DL14" s="88">
        <v>30.8</v>
      </c>
      <c r="DM14" s="88">
        <v>32.4</v>
      </c>
      <c r="DN14" s="88">
        <v>33.608490566037737</v>
      </c>
      <c r="DO14" s="88">
        <v>42.3</v>
      </c>
      <c r="DP14" s="88">
        <v>47.2</v>
      </c>
      <c r="DQ14" s="88">
        <v>51.6</v>
      </c>
      <c r="DR14" s="88">
        <v>55.6</v>
      </c>
      <c r="DS14" s="88">
        <v>56.529704265898978</v>
      </c>
      <c r="DT14" s="88">
        <v>46.910994764397905</v>
      </c>
      <c r="DU14" s="88">
        <v>53.86513157894737</v>
      </c>
      <c r="DV14" s="88">
        <v>48.762911361998562</v>
      </c>
      <c r="DW14" s="54">
        <v>238</v>
      </c>
      <c r="DX14" s="54">
        <v>1</v>
      </c>
      <c r="DY14" s="51">
        <v>101</v>
      </c>
      <c r="DZ14" s="53">
        <v>0</v>
      </c>
      <c r="EA14" s="53">
        <v>5</v>
      </c>
      <c r="EB14" s="53">
        <v>11</v>
      </c>
      <c r="EC14" s="53">
        <v>12</v>
      </c>
      <c r="ED14" s="51">
        <v>12</v>
      </c>
      <c r="EE14" s="53">
        <v>13</v>
      </c>
      <c r="EF14" s="53">
        <v>1486</v>
      </c>
      <c r="EG14" s="53">
        <v>1471</v>
      </c>
      <c r="EH14" s="53">
        <v>1466</v>
      </c>
      <c r="EI14" s="53">
        <v>1447</v>
      </c>
      <c r="EJ14" s="92">
        <v>249</v>
      </c>
      <c r="EK14" s="92">
        <v>0</v>
      </c>
      <c r="EL14" s="92">
        <v>38</v>
      </c>
      <c r="EM14" s="92">
        <v>0</v>
      </c>
      <c r="EN14" s="92">
        <v>1</v>
      </c>
      <c r="EO14" s="88">
        <v>1205.6892956535144</v>
      </c>
      <c r="EP14" s="88">
        <v>1080.7435162736022</v>
      </c>
      <c r="EQ14" s="88">
        <v>1022.7859405305092</v>
      </c>
      <c r="ER14" s="88">
        <v>1014.6818066413945</v>
      </c>
      <c r="ES14" s="88">
        <v>911</v>
      </c>
      <c r="ET14" s="88">
        <v>848.4</v>
      </c>
      <c r="EU14" s="88">
        <v>775.9</v>
      </c>
      <c r="EV14" s="88">
        <v>726.5</v>
      </c>
      <c r="EW14" s="88">
        <v>1145.668105792314</v>
      </c>
      <c r="EX14" s="88">
        <v>1057.4003268209692</v>
      </c>
      <c r="EY14" s="88">
        <v>958.32372866032244</v>
      </c>
      <c r="EZ14" s="88">
        <v>832.25275677475179</v>
      </c>
      <c r="FA14" s="88">
        <v>699.14502755101046</v>
      </c>
      <c r="FB14" s="88">
        <v>656.68833908685406</v>
      </c>
      <c r="FC14" s="88">
        <v>605.99386577816745</v>
      </c>
      <c r="FD14" s="88">
        <v>619.10554020156428</v>
      </c>
      <c r="FE14" s="51">
        <v>334</v>
      </c>
      <c r="FF14" s="54">
        <v>345</v>
      </c>
      <c r="FG14" s="54">
        <v>396</v>
      </c>
      <c r="FH14" s="54">
        <v>381</v>
      </c>
      <c r="FI14" s="88">
        <v>198.22389999999999</v>
      </c>
      <c r="FJ14" s="88">
        <v>189.4383</v>
      </c>
      <c r="FK14" s="88">
        <v>201.75790000000001</v>
      </c>
      <c r="FL14" s="88">
        <v>174.9068</v>
      </c>
      <c r="FM14" s="54">
        <v>409</v>
      </c>
      <c r="FN14" s="54">
        <v>356</v>
      </c>
      <c r="FO14" s="51">
        <v>295</v>
      </c>
      <c r="FP14" s="54">
        <v>279</v>
      </c>
      <c r="FQ14" s="88">
        <v>243.51</v>
      </c>
      <c r="FR14" s="88">
        <v>199.91130000000001</v>
      </c>
      <c r="FS14" s="88">
        <v>152.0941</v>
      </c>
      <c r="FT14" s="88">
        <v>138.8159</v>
      </c>
      <c r="FU14" s="53">
        <v>127</v>
      </c>
      <c r="FV14" s="53">
        <v>89</v>
      </c>
      <c r="FW14" s="53">
        <v>87</v>
      </c>
      <c r="FX14" s="53">
        <v>81</v>
      </c>
      <c r="FY14" s="88">
        <v>75.933179999999993</v>
      </c>
      <c r="FZ14" s="88">
        <v>50.21434</v>
      </c>
      <c r="GA14" s="88">
        <v>44.197850000000003</v>
      </c>
      <c r="GB14" s="88">
        <v>39.978670000000001</v>
      </c>
      <c r="GC14" s="55">
        <v>75</v>
      </c>
      <c r="GD14" s="56">
        <v>67</v>
      </c>
      <c r="GE14" s="55">
        <v>96</v>
      </c>
      <c r="GF14" s="55">
        <v>104</v>
      </c>
      <c r="GG14" s="91">
        <v>58.452710000000003</v>
      </c>
      <c r="GH14" s="91">
        <v>50.073480000000004</v>
      </c>
      <c r="GI14" s="91">
        <v>62.687190000000001</v>
      </c>
      <c r="GJ14" s="91">
        <v>63.84348</v>
      </c>
      <c r="GK14" s="55"/>
      <c r="GL14" s="55"/>
      <c r="GM14" s="55"/>
      <c r="GN14" s="56"/>
      <c r="GO14" s="55"/>
      <c r="GP14" s="55"/>
      <c r="GQ14" s="55"/>
      <c r="GR14" s="55"/>
      <c r="GS14" s="56"/>
      <c r="GT14" s="55"/>
      <c r="GU14" s="55"/>
      <c r="GV14" s="55"/>
      <c r="GW14" s="55"/>
      <c r="GX14" s="56"/>
      <c r="GY14" s="56"/>
      <c r="GZ14" s="56"/>
      <c r="HA14" s="56"/>
      <c r="HB14" s="56"/>
      <c r="HC14" s="56"/>
      <c r="HD14" s="57"/>
      <c r="HE14" s="57"/>
      <c r="HF14" s="57"/>
      <c r="HG14" s="57"/>
      <c r="HH14" s="57"/>
      <c r="HI14" s="58"/>
      <c r="HJ14" s="58"/>
      <c r="HK14" s="55"/>
      <c r="HL14" s="56"/>
      <c r="HM14" s="56"/>
      <c r="HN14" s="56"/>
      <c r="HO14" s="56"/>
      <c r="HP14" s="56"/>
      <c r="HQ14" s="56"/>
      <c r="HR14" s="56"/>
      <c r="HS14" s="56"/>
      <c r="HT14" s="56"/>
      <c r="HU14" s="38"/>
    </row>
    <row r="15" spans="1:252" ht="21" customHeight="1" x14ac:dyDescent="0.2">
      <c r="A15" s="36">
        <v>12</v>
      </c>
      <c r="B15" s="70" t="s">
        <v>68</v>
      </c>
      <c r="C15" s="77">
        <v>12414</v>
      </c>
      <c r="D15" s="77">
        <v>12321</v>
      </c>
      <c r="E15" s="77">
        <v>12441</v>
      </c>
      <c r="F15" s="77">
        <v>12319</v>
      </c>
      <c r="G15" s="150">
        <v>12135</v>
      </c>
      <c r="H15" s="41">
        <v>11614</v>
      </c>
      <c r="I15" s="41">
        <v>73</v>
      </c>
      <c r="J15" s="41">
        <v>122</v>
      </c>
      <c r="K15" s="41">
        <v>181</v>
      </c>
      <c r="L15" s="41">
        <v>637</v>
      </c>
      <c r="M15" s="42">
        <v>5365</v>
      </c>
      <c r="N15" s="43">
        <v>5344</v>
      </c>
      <c r="O15" s="43">
        <v>5241</v>
      </c>
      <c r="P15" s="44">
        <v>5214</v>
      </c>
      <c r="Q15" s="44">
        <v>5177</v>
      </c>
      <c r="R15" s="87">
        <v>30.724823604874921</v>
      </c>
      <c r="S15" s="87">
        <v>30.793525463876826</v>
      </c>
      <c r="T15" s="87">
        <v>31.327502936953401</v>
      </c>
      <c r="U15" s="87">
        <v>31.30514947978401</v>
      </c>
      <c r="V15" s="87">
        <v>31.940736785904964</v>
      </c>
      <c r="W15" s="87">
        <v>28.531109685695959</v>
      </c>
      <c r="X15" s="87">
        <v>31.346229767074615</v>
      </c>
      <c r="Y15" s="87">
        <v>31.066440412478787</v>
      </c>
      <c r="Z15" s="87">
        <v>30.936388779138682</v>
      </c>
      <c r="AA15" s="42">
        <v>30.032034169781099</v>
      </c>
      <c r="AB15" s="87">
        <v>59.25593329057088</v>
      </c>
      <c r="AC15" s="87">
        <v>62.139755230951444</v>
      </c>
      <c r="AD15" s="87">
        <v>62.393943349432192</v>
      </c>
      <c r="AE15" s="87">
        <v>62.241538258922695</v>
      </c>
      <c r="AF15" s="87">
        <v>61.972770955686066</v>
      </c>
      <c r="AG15" s="44">
        <v>5.1639916259595253</v>
      </c>
      <c r="AH15" s="44">
        <v>8.0601092896174862</v>
      </c>
      <c r="AI15" s="44">
        <v>7.1173889193636866</v>
      </c>
      <c r="AJ15" s="43">
        <v>6.2970568104038334</v>
      </c>
      <c r="AK15" s="43">
        <v>5.078336034575905</v>
      </c>
      <c r="AL15" s="47">
        <v>234.66666666666666</v>
      </c>
      <c r="AM15" s="47">
        <v>303.41666666666669</v>
      </c>
      <c r="AN15" s="47">
        <v>234.66666666666666</v>
      </c>
      <c r="AO15" s="47">
        <v>413.58333333333331</v>
      </c>
      <c r="AP15" s="47">
        <v>442.16666666666669</v>
      </c>
      <c r="AQ15" s="47">
        <v>44349.34089974629</v>
      </c>
      <c r="AR15" s="47">
        <v>43679.177426590206</v>
      </c>
      <c r="AS15" s="47">
        <v>46125.473128419755</v>
      </c>
      <c r="AT15" s="47">
        <v>47838.119619869009</v>
      </c>
      <c r="AU15" s="47">
        <v>53813.597033374535</v>
      </c>
      <c r="AV15" s="84">
        <v>47424.984488994123</v>
      </c>
      <c r="AW15" s="85">
        <v>48569.421476010626</v>
      </c>
      <c r="AX15" s="85">
        <v>47083.630910093001</v>
      </c>
      <c r="AY15" s="85">
        <v>47507.903069592547</v>
      </c>
      <c r="AZ15" s="85">
        <v>49545</v>
      </c>
      <c r="BA15" s="83">
        <v>9.5050480177296226</v>
      </c>
      <c r="BB15" s="83">
        <v>9.9478606306380861</v>
      </c>
      <c r="BC15" s="83">
        <v>9.9885937754603233</v>
      </c>
      <c r="BD15" s="83">
        <v>10.867414248021108</v>
      </c>
      <c r="BE15" s="83">
        <v>9.783245459871118</v>
      </c>
      <c r="BF15" s="83">
        <v>12.491000719942404</v>
      </c>
      <c r="BG15" s="46">
        <v>13.40666895840495</v>
      </c>
      <c r="BH15" s="46">
        <v>15.192507804370447</v>
      </c>
      <c r="BI15" s="46">
        <v>16.055045871559631</v>
      </c>
      <c r="BJ15" s="46">
        <v>14.525547445255475</v>
      </c>
      <c r="BK15" s="42">
        <v>2263</v>
      </c>
      <c r="BL15" s="42">
        <v>2122</v>
      </c>
      <c r="BM15" s="40">
        <v>2144</v>
      </c>
      <c r="BN15" s="40">
        <v>2130</v>
      </c>
      <c r="BO15" s="43">
        <v>36.367653557224919</v>
      </c>
      <c r="BP15" s="43">
        <v>40.433553251649386</v>
      </c>
      <c r="BQ15" s="44">
        <v>38.759328358208954</v>
      </c>
      <c r="BR15" s="44">
        <v>41.12676056338028</v>
      </c>
      <c r="BS15" s="87">
        <v>2.5187803800265134</v>
      </c>
      <c r="BT15" s="87">
        <v>3.3459000942507067</v>
      </c>
      <c r="BU15" s="87">
        <v>3.6847014925373136</v>
      </c>
      <c r="BV15" s="87">
        <v>3.9906103286384975</v>
      </c>
      <c r="BW15" s="43">
        <v>17.764030048608042</v>
      </c>
      <c r="BX15" s="43">
        <v>19.085768143261074</v>
      </c>
      <c r="BY15" s="43">
        <v>18.097014925373134</v>
      </c>
      <c r="BZ15" s="43">
        <v>18.450704225352112</v>
      </c>
      <c r="CA15" s="42">
        <v>74.410774410774408</v>
      </c>
      <c r="CB15" s="42">
        <v>81.516587677725113</v>
      </c>
      <c r="CC15" s="43">
        <v>78.209999999999994</v>
      </c>
      <c r="CD15" s="44">
        <v>79.64</v>
      </c>
      <c r="CE15" s="43">
        <v>1.0101010101010102</v>
      </c>
      <c r="CF15" s="43">
        <v>1.4218009478672986</v>
      </c>
      <c r="CG15" s="43">
        <v>2.14</v>
      </c>
      <c r="CH15" s="44">
        <v>0.45</v>
      </c>
      <c r="CI15" s="49">
        <v>761</v>
      </c>
      <c r="CJ15" s="49">
        <v>658</v>
      </c>
      <c r="CK15" s="51">
        <v>794</v>
      </c>
      <c r="CL15" s="51">
        <v>790</v>
      </c>
      <c r="CM15" s="88">
        <v>11.6</v>
      </c>
      <c r="CN15" s="88">
        <v>10.1</v>
      </c>
      <c r="CO15" s="88">
        <v>12.5</v>
      </c>
      <c r="CP15" s="88">
        <v>12.8</v>
      </c>
      <c r="CQ15" s="53">
        <v>20</v>
      </c>
      <c r="CR15" s="53">
        <v>16</v>
      </c>
      <c r="CS15" s="53">
        <v>35</v>
      </c>
      <c r="CT15" s="53">
        <v>29</v>
      </c>
      <c r="CU15" s="88">
        <v>2.7</v>
      </c>
      <c r="CV15" s="88">
        <v>2.5</v>
      </c>
      <c r="CW15" s="88">
        <v>4.5999999999999996</v>
      </c>
      <c r="CX15" s="88">
        <v>3.8</v>
      </c>
      <c r="CY15" s="51">
        <v>45</v>
      </c>
      <c r="CZ15" s="53">
        <v>37</v>
      </c>
      <c r="DA15" s="53">
        <v>50</v>
      </c>
      <c r="DB15" s="53">
        <v>58</v>
      </c>
      <c r="DC15" s="88">
        <v>6.4</v>
      </c>
      <c r="DD15" s="88">
        <v>5.9</v>
      </c>
      <c r="DE15" s="88">
        <v>7.7</v>
      </c>
      <c r="DF15" s="88">
        <v>9.1</v>
      </c>
      <c r="DG15" s="88">
        <v>86.5</v>
      </c>
      <c r="DH15" s="88">
        <v>81.900000000000006</v>
      </c>
      <c r="DI15" s="88">
        <v>86.1</v>
      </c>
      <c r="DJ15" s="88">
        <v>86.6</v>
      </c>
      <c r="DK15" s="88">
        <v>16.3</v>
      </c>
      <c r="DL15" s="88">
        <v>16.7</v>
      </c>
      <c r="DM15" s="88">
        <v>17.399999999999999</v>
      </c>
      <c r="DN15" s="88">
        <v>18.193384223918574</v>
      </c>
      <c r="DO15" s="88">
        <v>21.4</v>
      </c>
      <c r="DP15" s="88">
        <v>31.7</v>
      </c>
      <c r="DQ15" s="88">
        <v>38</v>
      </c>
      <c r="DR15" s="88">
        <v>40.799999999999997</v>
      </c>
      <c r="DS15" s="88">
        <v>27.592768791627023</v>
      </c>
      <c r="DT15" s="88">
        <v>30.53115851108323</v>
      </c>
      <c r="DU15" s="88">
        <v>37.174721189591075</v>
      </c>
      <c r="DV15" s="88">
        <v>42.467138523761378</v>
      </c>
      <c r="DW15" s="54">
        <v>140</v>
      </c>
      <c r="DX15" s="54">
        <v>0</v>
      </c>
      <c r="DY15" s="51">
        <v>3</v>
      </c>
      <c r="DZ15" s="53">
        <v>8</v>
      </c>
      <c r="EA15" s="53">
        <v>20</v>
      </c>
      <c r="EB15" s="53">
        <v>6</v>
      </c>
      <c r="EC15" s="53">
        <v>6</v>
      </c>
      <c r="ED15" s="51">
        <v>0</v>
      </c>
      <c r="EE15" s="53">
        <v>4</v>
      </c>
      <c r="EF15" s="53">
        <v>769</v>
      </c>
      <c r="EG15" s="53">
        <v>798</v>
      </c>
      <c r="EH15" s="53">
        <v>733</v>
      </c>
      <c r="EI15" s="53">
        <v>705</v>
      </c>
      <c r="EJ15" s="92">
        <v>145</v>
      </c>
      <c r="EK15" s="92">
        <v>0</v>
      </c>
      <c r="EL15" s="92">
        <v>1</v>
      </c>
      <c r="EM15" s="92">
        <v>0</v>
      </c>
      <c r="EN15" s="92">
        <v>4</v>
      </c>
      <c r="EO15" s="88">
        <v>1173.5620431272605</v>
      </c>
      <c r="EP15" s="88">
        <v>1226.3527531465629</v>
      </c>
      <c r="EQ15" s="88">
        <v>1155.1493184146245</v>
      </c>
      <c r="ER15" s="88">
        <v>1125.3661986059199</v>
      </c>
      <c r="ES15" s="88">
        <v>707.4</v>
      </c>
      <c r="ET15" s="88">
        <v>732</v>
      </c>
      <c r="EU15" s="88">
        <v>628.20000000000005</v>
      </c>
      <c r="EV15" s="88">
        <v>662.2</v>
      </c>
      <c r="EW15" s="88">
        <v>917.46451560208084</v>
      </c>
      <c r="EX15" s="88">
        <v>941.93695531825938</v>
      </c>
      <c r="EY15" s="88">
        <v>798.27909562820548</v>
      </c>
      <c r="EZ15" s="88">
        <v>762.96345528393078</v>
      </c>
      <c r="FA15" s="88">
        <v>534.54769947336069</v>
      </c>
      <c r="FB15" s="88">
        <v>570.3308701006606</v>
      </c>
      <c r="FC15" s="88">
        <v>518.10861918877481</v>
      </c>
      <c r="FD15" s="88">
        <v>589.82082852429289</v>
      </c>
      <c r="FE15" s="51">
        <v>160</v>
      </c>
      <c r="FF15" s="54">
        <v>179</v>
      </c>
      <c r="FG15" s="54">
        <v>161</v>
      </c>
      <c r="FH15" s="54">
        <v>152</v>
      </c>
      <c r="FI15" s="88">
        <v>154.01320000000001</v>
      </c>
      <c r="FJ15" s="88">
        <v>178.16069999999999</v>
      </c>
      <c r="FK15" s="88">
        <v>158.52420000000001</v>
      </c>
      <c r="FL15" s="88">
        <v>153.5059</v>
      </c>
      <c r="FM15" s="54">
        <v>222</v>
      </c>
      <c r="FN15" s="54">
        <v>176</v>
      </c>
      <c r="FO15" s="51">
        <v>171</v>
      </c>
      <c r="FP15" s="54">
        <v>145</v>
      </c>
      <c r="FQ15" s="88">
        <v>196.5129</v>
      </c>
      <c r="FR15" s="88">
        <v>152.21530000000001</v>
      </c>
      <c r="FS15" s="88">
        <v>140.41079999999999</v>
      </c>
      <c r="FT15" s="88">
        <v>126.465</v>
      </c>
      <c r="FU15" s="53">
        <v>73</v>
      </c>
      <c r="FV15" s="53">
        <v>74</v>
      </c>
      <c r="FW15" s="53">
        <v>48</v>
      </c>
      <c r="FX15" s="53">
        <v>49</v>
      </c>
      <c r="FY15" s="88">
        <v>63.493569999999998</v>
      </c>
      <c r="FZ15" s="88">
        <v>58.497599999999998</v>
      </c>
      <c r="GA15" s="88">
        <v>34.458210000000001</v>
      </c>
      <c r="GB15" s="88">
        <v>40.298780000000001</v>
      </c>
      <c r="GC15" s="55">
        <v>33</v>
      </c>
      <c r="GD15" s="56">
        <v>41</v>
      </c>
      <c r="GE15" s="55">
        <v>36</v>
      </c>
      <c r="GF15" s="55">
        <v>33</v>
      </c>
      <c r="GG15" s="91">
        <v>41.274079999999998</v>
      </c>
      <c r="GH15" s="91">
        <v>50.078510000000001</v>
      </c>
      <c r="GI15" s="91">
        <v>40.577260000000003</v>
      </c>
      <c r="GJ15" s="91">
        <v>41.336539999999999</v>
      </c>
      <c r="GK15" s="55"/>
      <c r="GL15" s="55"/>
      <c r="GM15" s="55"/>
      <c r="GN15" s="56"/>
      <c r="GO15" s="55"/>
      <c r="GP15" s="55"/>
      <c r="GQ15" s="55"/>
      <c r="GR15" s="55"/>
      <c r="GS15" s="56"/>
      <c r="GT15" s="55"/>
      <c r="GU15" s="55"/>
      <c r="GV15" s="55"/>
      <c r="GW15" s="55"/>
      <c r="GX15" s="56"/>
      <c r="GY15" s="56"/>
      <c r="GZ15" s="56"/>
      <c r="HA15" s="56"/>
      <c r="HB15" s="56"/>
      <c r="HC15" s="56"/>
      <c r="HD15" s="57"/>
      <c r="HE15" s="57"/>
      <c r="HF15" s="57"/>
      <c r="HG15" s="57"/>
      <c r="HH15" s="57"/>
      <c r="HI15" s="58"/>
      <c r="HJ15" s="58"/>
      <c r="HK15" s="55"/>
      <c r="HL15" s="56"/>
      <c r="HM15" s="56"/>
      <c r="HN15" s="56"/>
      <c r="HO15" s="56"/>
      <c r="HP15" s="56"/>
      <c r="HQ15" s="56"/>
      <c r="HR15" s="56"/>
      <c r="HS15" s="56"/>
      <c r="HT15" s="56"/>
      <c r="HU15" s="38"/>
    </row>
    <row r="16" spans="1:252" x14ac:dyDescent="0.2">
      <c r="A16" s="36">
        <v>13</v>
      </c>
      <c r="B16" s="70" t="s">
        <v>69</v>
      </c>
      <c r="C16" s="77">
        <v>50257</v>
      </c>
      <c r="D16" s="77">
        <v>50625</v>
      </c>
      <c r="E16" s="77">
        <v>53887</v>
      </c>
      <c r="F16" s="77">
        <v>53916</v>
      </c>
      <c r="G16" s="150">
        <v>53452</v>
      </c>
      <c r="H16" s="41">
        <v>51296</v>
      </c>
      <c r="I16" s="41">
        <v>679</v>
      </c>
      <c r="J16" s="41">
        <v>347</v>
      </c>
      <c r="K16" s="41">
        <v>488</v>
      </c>
      <c r="L16" s="41">
        <v>903</v>
      </c>
      <c r="M16" s="42">
        <v>18057</v>
      </c>
      <c r="N16" s="43">
        <v>18220</v>
      </c>
      <c r="O16" s="43">
        <v>19470</v>
      </c>
      <c r="P16" s="44">
        <v>19537</v>
      </c>
      <c r="Q16" s="44">
        <v>19504</v>
      </c>
      <c r="R16" s="87">
        <v>15.067492549523754</v>
      </c>
      <c r="S16" s="87">
        <v>16.534571479268941</v>
      </c>
      <c r="T16" s="87">
        <v>17.188531807175874</v>
      </c>
      <c r="U16" s="87">
        <v>18.408714837286265</v>
      </c>
      <c r="V16" s="87">
        <v>19.056472873595116</v>
      </c>
      <c r="W16" s="87">
        <v>31.771168117805178</v>
      </c>
      <c r="X16" s="87">
        <v>33.18152244632401</v>
      </c>
      <c r="Y16" s="87">
        <v>31.080783623156506</v>
      </c>
      <c r="Z16" s="87">
        <v>30.284059569773856</v>
      </c>
      <c r="AA16" s="42">
        <v>29.277091716386845</v>
      </c>
      <c r="AB16" s="87">
        <v>46.838660667328931</v>
      </c>
      <c r="AC16" s="87">
        <v>49.716093925592951</v>
      </c>
      <c r="AD16" s="87">
        <v>48.269315430332377</v>
      </c>
      <c r="AE16" s="87">
        <v>48.692774407060121</v>
      </c>
      <c r="AF16" s="87">
        <v>48.333564589981961</v>
      </c>
      <c r="AG16" s="44">
        <v>6.7594577897299848</v>
      </c>
      <c r="AH16" s="44">
        <v>10.295291300877894</v>
      </c>
      <c r="AI16" s="44">
        <v>9.4362923143977913</v>
      </c>
      <c r="AJ16" s="43">
        <v>8.1101759755164498</v>
      </c>
      <c r="AK16" s="43">
        <v>6.6926394879643798</v>
      </c>
      <c r="AL16" s="47">
        <v>795.41666666666663</v>
      </c>
      <c r="AM16" s="47">
        <v>1010.5833333333334</v>
      </c>
      <c r="AN16" s="47">
        <v>795.41666666666663</v>
      </c>
      <c r="AO16" s="47">
        <v>1493.5833333333333</v>
      </c>
      <c r="AP16" s="47">
        <v>1555.75</v>
      </c>
      <c r="AQ16" s="47">
        <v>35681.989990276641</v>
      </c>
      <c r="AR16" s="47">
        <v>35114.833184693605</v>
      </c>
      <c r="AS16" s="47">
        <v>35547.315399710998</v>
      </c>
      <c r="AT16" s="47">
        <v>37046.914736316627</v>
      </c>
      <c r="AU16" s="47">
        <v>37134.681583476762</v>
      </c>
      <c r="AV16" s="84">
        <v>71130.545282966632</v>
      </c>
      <c r="AW16" s="85">
        <v>66203.982710844561</v>
      </c>
      <c r="AX16" s="85">
        <v>66583.795153108455</v>
      </c>
      <c r="AY16" s="85">
        <v>64074.683061483331</v>
      </c>
      <c r="AZ16" s="85">
        <v>65617</v>
      </c>
      <c r="BA16" s="83">
        <v>6.5787310979618674</v>
      </c>
      <c r="BB16" s="83">
        <v>7.7941956814563857</v>
      </c>
      <c r="BC16" s="83">
        <v>7.4454306502609429</v>
      </c>
      <c r="BD16" s="83">
        <v>6.7158207590306356</v>
      </c>
      <c r="BE16" s="83">
        <v>7.7082692898862586</v>
      </c>
      <c r="BF16" s="83">
        <v>8.2533292040879527</v>
      </c>
      <c r="BG16" s="46">
        <v>9.2177304432610807</v>
      </c>
      <c r="BH16" s="46">
        <v>9.4102151324454848</v>
      </c>
      <c r="BI16" s="46">
        <v>8.8025257460723143</v>
      </c>
      <c r="BJ16" s="46">
        <v>8.7875939849624061</v>
      </c>
      <c r="BK16" s="42">
        <v>8140</v>
      </c>
      <c r="BL16" s="42">
        <v>7928</v>
      </c>
      <c r="BM16" s="40">
        <v>7672</v>
      </c>
      <c r="BN16" s="40">
        <v>7618</v>
      </c>
      <c r="BO16" s="43">
        <v>26.412776412776413</v>
      </c>
      <c r="BP16" s="43">
        <v>26.210898082744702</v>
      </c>
      <c r="BQ16" s="44">
        <v>26.811783107403546</v>
      </c>
      <c r="BR16" s="44">
        <v>28.091362562352323</v>
      </c>
      <c r="BS16" s="87">
        <v>0.84766584766584763</v>
      </c>
      <c r="BT16" s="87">
        <v>0.81987891019172554</v>
      </c>
      <c r="BU16" s="87">
        <v>0.67778936392075073</v>
      </c>
      <c r="BV16" s="87">
        <v>0.64321344184825413</v>
      </c>
      <c r="BW16" s="43">
        <v>10.601965601965603</v>
      </c>
      <c r="BX16" s="43">
        <v>10.746720484359233</v>
      </c>
      <c r="BY16" s="43">
        <v>10.649113660062564</v>
      </c>
      <c r="BZ16" s="43">
        <v>11.420320294040431</v>
      </c>
      <c r="CA16" s="42">
        <v>79.184247538677923</v>
      </c>
      <c r="CB16" s="42">
        <v>79.870129870129873</v>
      </c>
      <c r="CC16" s="43">
        <v>79.52</v>
      </c>
      <c r="CD16" s="44">
        <v>83.94</v>
      </c>
      <c r="CE16" s="43">
        <v>3.7974683544303796</v>
      </c>
      <c r="CF16" s="43">
        <v>4.1558441558441555</v>
      </c>
      <c r="CG16" s="43">
        <v>4.04</v>
      </c>
      <c r="CH16" s="44">
        <v>5.05</v>
      </c>
      <c r="CI16" s="49">
        <v>2722</v>
      </c>
      <c r="CJ16" s="49">
        <v>3243</v>
      </c>
      <c r="CK16" s="54">
        <v>3502</v>
      </c>
      <c r="CL16" s="54">
        <v>2970</v>
      </c>
      <c r="CM16" s="88">
        <v>14.8</v>
      </c>
      <c r="CN16" s="88">
        <v>15.3</v>
      </c>
      <c r="CO16" s="88">
        <v>14.3</v>
      </c>
      <c r="CP16" s="88">
        <v>11.3</v>
      </c>
      <c r="CQ16" s="53">
        <v>90</v>
      </c>
      <c r="CR16" s="53">
        <v>129</v>
      </c>
      <c r="CS16" s="53">
        <v>152</v>
      </c>
      <c r="CT16" s="53">
        <v>124</v>
      </c>
      <c r="CU16" s="88">
        <v>3.4</v>
      </c>
      <c r="CV16" s="88">
        <v>4.0999999999999996</v>
      </c>
      <c r="CW16" s="88">
        <v>4.5</v>
      </c>
      <c r="CX16" s="88">
        <v>4.4000000000000004</v>
      </c>
      <c r="CY16" s="51">
        <v>156</v>
      </c>
      <c r="CZ16" s="53">
        <v>188</v>
      </c>
      <c r="DA16" s="53">
        <v>238</v>
      </c>
      <c r="DB16" s="53">
        <v>190</v>
      </c>
      <c r="DC16" s="88">
        <v>6.4</v>
      </c>
      <c r="DD16" s="88">
        <v>7</v>
      </c>
      <c r="DE16" s="88">
        <v>8.1999999999999993</v>
      </c>
      <c r="DF16" s="88">
        <v>7.7</v>
      </c>
      <c r="DG16" s="88">
        <v>87.1</v>
      </c>
      <c r="DH16" s="88">
        <v>89.6</v>
      </c>
      <c r="DI16" s="88">
        <v>89.9</v>
      </c>
      <c r="DJ16" s="88">
        <v>89.6</v>
      </c>
      <c r="DK16" s="88">
        <v>16.7</v>
      </c>
      <c r="DL16" s="88">
        <v>14</v>
      </c>
      <c r="DM16" s="88">
        <v>13.6</v>
      </c>
      <c r="DN16" s="88">
        <v>14.522681110358835</v>
      </c>
      <c r="DO16" s="88">
        <v>21.2</v>
      </c>
      <c r="DP16" s="88">
        <v>20</v>
      </c>
      <c r="DQ16" s="88">
        <v>22.8</v>
      </c>
      <c r="DR16" s="88">
        <v>29.1</v>
      </c>
      <c r="DS16" s="88">
        <v>35.18971848225214</v>
      </c>
      <c r="DT16" s="88">
        <v>25.784326178076974</v>
      </c>
      <c r="DU16" s="88">
        <v>21.904877163257897</v>
      </c>
      <c r="DV16" s="88">
        <v>19.246099533082791</v>
      </c>
      <c r="DW16" s="54">
        <v>554</v>
      </c>
      <c r="DX16" s="54">
        <v>4</v>
      </c>
      <c r="DY16" s="51">
        <v>2</v>
      </c>
      <c r="DZ16" s="53">
        <v>7</v>
      </c>
      <c r="EA16" s="53">
        <v>7</v>
      </c>
      <c r="EB16" s="53">
        <v>11</v>
      </c>
      <c r="EC16" s="53">
        <v>14</v>
      </c>
      <c r="ED16" s="51">
        <v>17</v>
      </c>
      <c r="EE16" s="53">
        <v>19</v>
      </c>
      <c r="EF16" s="53">
        <v>1353</v>
      </c>
      <c r="EG16" s="53">
        <v>1489</v>
      </c>
      <c r="EH16" s="53">
        <v>1620</v>
      </c>
      <c r="EI16" s="53">
        <v>1706</v>
      </c>
      <c r="EJ16" s="92">
        <v>340</v>
      </c>
      <c r="EK16" s="92">
        <v>0</v>
      </c>
      <c r="EL16" s="92">
        <v>1</v>
      </c>
      <c r="EM16" s="92">
        <v>0</v>
      </c>
      <c r="EN16" s="92">
        <v>3</v>
      </c>
      <c r="EO16" s="88">
        <v>735.45798974816137</v>
      </c>
      <c r="EP16" s="88">
        <v>702.14983283269589</v>
      </c>
      <c r="EQ16" s="88">
        <v>662.88576268689701</v>
      </c>
      <c r="ER16" s="88">
        <v>653.61669501880829</v>
      </c>
      <c r="ES16" s="88">
        <v>764.7</v>
      </c>
      <c r="ET16" s="88">
        <v>827.6</v>
      </c>
      <c r="EU16" s="88">
        <v>799.1</v>
      </c>
      <c r="EV16" s="88">
        <v>678.5</v>
      </c>
      <c r="EW16" s="88">
        <v>940.79625187053205</v>
      </c>
      <c r="EX16" s="88">
        <v>990.36533275657496</v>
      </c>
      <c r="EY16" s="88">
        <v>892.57618326342458</v>
      </c>
      <c r="EZ16" s="88">
        <v>727.03938300445952</v>
      </c>
      <c r="FA16" s="88">
        <v>632.65557199675686</v>
      </c>
      <c r="FB16" s="88">
        <v>699.71341662588429</v>
      </c>
      <c r="FC16" s="88">
        <v>705.31833435123099</v>
      </c>
      <c r="FD16" s="88">
        <v>626.36998066295814</v>
      </c>
      <c r="FE16" s="51">
        <v>351</v>
      </c>
      <c r="FF16" s="54">
        <v>390</v>
      </c>
      <c r="FG16" s="54">
        <v>396</v>
      </c>
      <c r="FH16" s="54">
        <v>395</v>
      </c>
      <c r="FI16" s="88">
        <v>202.69300000000001</v>
      </c>
      <c r="FJ16" s="88">
        <v>220.7654</v>
      </c>
      <c r="FK16" s="88">
        <v>198.0155</v>
      </c>
      <c r="FL16" s="88">
        <v>153.69229999999999</v>
      </c>
      <c r="FM16" s="54">
        <v>310</v>
      </c>
      <c r="FN16" s="54">
        <v>313</v>
      </c>
      <c r="FO16" s="51">
        <v>327</v>
      </c>
      <c r="FP16" s="54">
        <v>290</v>
      </c>
      <c r="FQ16" s="88">
        <v>175.6037</v>
      </c>
      <c r="FR16" s="88">
        <v>175.40629999999999</v>
      </c>
      <c r="FS16" s="88">
        <v>163.27930000000001</v>
      </c>
      <c r="FT16" s="88">
        <v>115.5341</v>
      </c>
      <c r="FU16" s="53">
        <v>113</v>
      </c>
      <c r="FV16" s="53">
        <v>101</v>
      </c>
      <c r="FW16" s="53">
        <v>80</v>
      </c>
      <c r="FX16" s="53">
        <v>89</v>
      </c>
      <c r="FY16" s="88">
        <v>63.09628</v>
      </c>
      <c r="FZ16" s="88">
        <v>56.797530000000002</v>
      </c>
      <c r="GA16" s="88">
        <v>39.922890000000002</v>
      </c>
      <c r="GB16" s="88">
        <v>36.341920000000002</v>
      </c>
      <c r="GC16" s="55">
        <v>62</v>
      </c>
      <c r="GD16" s="56">
        <v>82</v>
      </c>
      <c r="GE16" s="55">
        <v>111</v>
      </c>
      <c r="GF16" s="55">
        <v>131</v>
      </c>
      <c r="GG16" s="91">
        <v>34.687919999999998</v>
      </c>
      <c r="GH16" s="91">
        <v>41.326909999999998</v>
      </c>
      <c r="GI16" s="91">
        <v>48.575040000000001</v>
      </c>
      <c r="GJ16" s="91">
        <v>51.802729999999997</v>
      </c>
      <c r="GK16" s="55"/>
      <c r="GL16" s="55"/>
      <c r="GM16" s="55"/>
      <c r="GN16" s="56"/>
      <c r="GO16" s="55"/>
      <c r="GP16" s="55"/>
      <c r="GQ16" s="55"/>
      <c r="GR16" s="55"/>
      <c r="GS16" s="56"/>
      <c r="GT16" s="55"/>
      <c r="GU16" s="55"/>
      <c r="GV16" s="55"/>
      <c r="GW16" s="55"/>
      <c r="GX16" s="56"/>
      <c r="GY16" s="56"/>
      <c r="GZ16" s="56"/>
      <c r="HA16" s="56"/>
      <c r="HB16" s="56"/>
      <c r="HC16" s="56"/>
      <c r="HD16" s="57"/>
      <c r="HE16" s="57"/>
      <c r="HF16" s="57"/>
      <c r="HG16" s="57"/>
      <c r="HH16" s="57"/>
      <c r="HI16" s="58"/>
      <c r="HJ16" s="58"/>
      <c r="HK16" s="55"/>
      <c r="HL16" s="56"/>
      <c r="HM16" s="56"/>
      <c r="HN16" s="56"/>
      <c r="HO16" s="56"/>
      <c r="HP16" s="56"/>
      <c r="HQ16" s="56"/>
      <c r="HR16" s="56"/>
      <c r="HS16" s="56"/>
      <c r="HT16" s="56"/>
      <c r="HU16" s="38"/>
    </row>
    <row r="17" spans="1:229" x14ac:dyDescent="0.2">
      <c r="A17" s="36">
        <v>14</v>
      </c>
      <c r="B17" s="70" t="s">
        <v>70</v>
      </c>
      <c r="C17" s="77">
        <v>55767</v>
      </c>
      <c r="D17" s="77">
        <v>56763</v>
      </c>
      <c r="E17" s="77">
        <v>58999</v>
      </c>
      <c r="F17" s="77">
        <v>59803</v>
      </c>
      <c r="G17" s="150">
        <v>60155</v>
      </c>
      <c r="H17" s="41">
        <v>56328</v>
      </c>
      <c r="I17" s="41">
        <v>895</v>
      </c>
      <c r="J17" s="41">
        <v>842</v>
      </c>
      <c r="K17" s="41">
        <v>871</v>
      </c>
      <c r="L17" s="41">
        <v>2292</v>
      </c>
      <c r="M17" s="42">
        <v>21599</v>
      </c>
      <c r="N17" s="43">
        <v>22038</v>
      </c>
      <c r="O17" s="43">
        <v>22279</v>
      </c>
      <c r="P17" s="44">
        <v>22516</v>
      </c>
      <c r="Q17" s="44">
        <v>22727</v>
      </c>
      <c r="R17" s="87">
        <v>18.118232215947359</v>
      </c>
      <c r="S17" s="87">
        <v>18.050319304454874</v>
      </c>
      <c r="T17" s="87">
        <v>17.516766896824809</v>
      </c>
      <c r="U17" s="87">
        <v>17.323121808898613</v>
      </c>
      <c r="V17" s="87">
        <v>17.874243492210095</v>
      </c>
      <c r="W17" s="87">
        <v>26.348375731827367</v>
      </c>
      <c r="X17" s="87">
        <v>27.529429868431176</v>
      </c>
      <c r="Y17" s="87">
        <v>28.495062736654539</v>
      </c>
      <c r="Z17" s="87">
        <v>28.076829564794554</v>
      </c>
      <c r="AA17" s="42">
        <v>28.335318280144861</v>
      </c>
      <c r="AB17" s="87">
        <v>44.466607947774726</v>
      </c>
      <c r="AC17" s="87">
        <v>45.579749172886054</v>
      </c>
      <c r="AD17" s="87">
        <v>46.011829633479344</v>
      </c>
      <c r="AE17" s="87">
        <v>45.39995137369317</v>
      </c>
      <c r="AF17" s="87">
        <v>46.209561772354959</v>
      </c>
      <c r="AG17" s="44">
        <v>3.6603447210724656</v>
      </c>
      <c r="AH17" s="44">
        <v>4.993145468392993</v>
      </c>
      <c r="AI17" s="44">
        <v>4.751516600424349</v>
      </c>
      <c r="AJ17" s="43">
        <v>4.9817491604613808</v>
      </c>
      <c r="AK17" s="43">
        <v>4.2152049501786593</v>
      </c>
      <c r="AL17" s="47">
        <v>1608.5</v>
      </c>
      <c r="AM17" s="47">
        <v>2023.3333333333333</v>
      </c>
      <c r="AN17" s="47">
        <v>1608.5</v>
      </c>
      <c r="AO17" s="47">
        <v>2694.9166666666665</v>
      </c>
      <c r="AP17" s="47">
        <v>2822.3333333333335</v>
      </c>
      <c r="AQ17" s="47">
        <v>36345.296618616005</v>
      </c>
      <c r="AR17" s="47">
        <v>35550.089175796376</v>
      </c>
      <c r="AS17" s="47">
        <v>36392.387394777514</v>
      </c>
      <c r="AT17" s="47">
        <v>37351.759256564197</v>
      </c>
      <c r="AU17" s="47">
        <v>38548.765688637686</v>
      </c>
      <c r="AV17" s="84">
        <v>52239.676661049263</v>
      </c>
      <c r="AW17" s="85">
        <v>50287.073544338607</v>
      </c>
      <c r="AX17" s="85">
        <v>50956.287718182139</v>
      </c>
      <c r="AY17" s="85">
        <v>53821.87639408496</v>
      </c>
      <c r="AZ17" s="85">
        <v>51954</v>
      </c>
      <c r="BA17" s="83">
        <v>12.998497283551034</v>
      </c>
      <c r="BB17" s="83">
        <v>12.963383265244364</v>
      </c>
      <c r="BC17" s="83">
        <v>12.807109252483011</v>
      </c>
      <c r="BD17" s="83">
        <v>14.781942290898073</v>
      </c>
      <c r="BE17" s="83">
        <v>11.43572176567686</v>
      </c>
      <c r="BF17" s="83">
        <v>13.266307013241786</v>
      </c>
      <c r="BG17" s="46">
        <v>14.245104232469993</v>
      </c>
      <c r="BH17" s="46">
        <v>14.640417248218615</v>
      </c>
      <c r="BI17" s="46">
        <v>16.630861545299652</v>
      </c>
      <c r="BJ17" s="46">
        <v>13.425078691164629</v>
      </c>
      <c r="BK17" s="42">
        <v>8911</v>
      </c>
      <c r="BL17" s="42">
        <v>8942</v>
      </c>
      <c r="BM17" s="40">
        <v>9079</v>
      </c>
      <c r="BN17" s="40">
        <v>9307</v>
      </c>
      <c r="BO17" s="43">
        <v>29.749747503086073</v>
      </c>
      <c r="BP17" s="43">
        <v>32.285842093491389</v>
      </c>
      <c r="BQ17" s="44">
        <v>32.15111796453354</v>
      </c>
      <c r="BR17" s="44">
        <v>34.189319866766951</v>
      </c>
      <c r="BS17" s="87">
        <v>5.0948266187857705</v>
      </c>
      <c r="BT17" s="87">
        <v>5.1442630284052786</v>
      </c>
      <c r="BU17" s="87">
        <v>4.8022910012115876</v>
      </c>
      <c r="BV17" s="87">
        <v>3.6961426882991297</v>
      </c>
      <c r="BW17" s="43">
        <v>14.678487262933453</v>
      </c>
      <c r="BX17" s="43">
        <v>15.287407738760903</v>
      </c>
      <c r="BY17" s="43">
        <v>15.012666593237141</v>
      </c>
      <c r="BZ17" s="43">
        <v>15.096164177500805</v>
      </c>
      <c r="CA17" s="42">
        <v>78.016085790884716</v>
      </c>
      <c r="CB17" s="42">
        <v>75</v>
      </c>
      <c r="CC17" s="43">
        <v>74.39</v>
      </c>
      <c r="CD17" s="44">
        <v>78.37</v>
      </c>
      <c r="CE17" s="43">
        <v>4.5576407506702417</v>
      </c>
      <c r="CF17" s="43">
        <v>5.4404145077720205</v>
      </c>
      <c r="CG17" s="43">
        <v>7.48</v>
      </c>
      <c r="CH17" s="44">
        <v>6.45</v>
      </c>
      <c r="CI17" s="49">
        <v>3284</v>
      </c>
      <c r="CJ17" s="49">
        <v>2823</v>
      </c>
      <c r="CK17" s="54">
        <v>3602</v>
      </c>
      <c r="CL17" s="54">
        <v>3925</v>
      </c>
      <c r="CM17" s="88">
        <v>12.7</v>
      </c>
      <c r="CN17" s="88">
        <v>10.9</v>
      </c>
      <c r="CO17" s="88">
        <v>13.4</v>
      </c>
      <c r="CP17" s="88">
        <v>13.5</v>
      </c>
      <c r="CQ17" s="53">
        <v>131</v>
      </c>
      <c r="CR17" s="53">
        <v>123</v>
      </c>
      <c r="CS17" s="53">
        <v>179</v>
      </c>
      <c r="CT17" s="53">
        <v>184</v>
      </c>
      <c r="CU17" s="88">
        <v>4.0999999999999996</v>
      </c>
      <c r="CV17" s="88">
        <v>4.5</v>
      </c>
      <c r="CW17" s="88">
        <v>5.0999999999999996</v>
      </c>
      <c r="CX17" s="88">
        <v>4.9000000000000004</v>
      </c>
      <c r="CY17" s="51">
        <v>261</v>
      </c>
      <c r="CZ17" s="53">
        <v>233</v>
      </c>
      <c r="DA17" s="53">
        <v>292</v>
      </c>
      <c r="DB17" s="53">
        <v>200</v>
      </c>
      <c r="DC17" s="88">
        <v>8.4</v>
      </c>
      <c r="DD17" s="88">
        <v>9.1</v>
      </c>
      <c r="DE17" s="88">
        <v>9.1999999999999993</v>
      </c>
      <c r="DF17" s="88">
        <v>8</v>
      </c>
      <c r="DG17" s="88">
        <v>74.900000000000006</v>
      </c>
      <c r="DH17" s="88">
        <v>85.4</v>
      </c>
      <c r="DI17" s="88">
        <v>82.4</v>
      </c>
      <c r="DJ17" s="88">
        <v>87.8</v>
      </c>
      <c r="DK17" s="88">
        <v>18</v>
      </c>
      <c r="DL17" s="88">
        <v>16.8</v>
      </c>
      <c r="DM17" s="88">
        <v>12.5</v>
      </c>
      <c r="DN17" s="88">
        <v>13.305720942272846</v>
      </c>
      <c r="DO17" s="88">
        <v>28.2</v>
      </c>
      <c r="DP17" s="88">
        <v>27.5</v>
      </c>
      <c r="DQ17" s="88">
        <v>26.4</v>
      </c>
      <c r="DR17" s="88">
        <v>27.8</v>
      </c>
      <c r="DS17" s="88">
        <v>25.105179667563281</v>
      </c>
      <c r="DT17" s="88">
        <v>16.440024355591639</v>
      </c>
      <c r="DU17" s="88">
        <v>15.577378936674569</v>
      </c>
      <c r="DV17" s="88">
        <v>13.885070112730272</v>
      </c>
      <c r="DW17" s="54">
        <v>715</v>
      </c>
      <c r="DX17" s="54">
        <v>19</v>
      </c>
      <c r="DY17" s="51">
        <v>39</v>
      </c>
      <c r="DZ17" s="53">
        <v>9</v>
      </c>
      <c r="EA17" s="53">
        <v>44</v>
      </c>
      <c r="EB17" s="53">
        <v>20</v>
      </c>
      <c r="EC17" s="53">
        <v>26</v>
      </c>
      <c r="ED17" s="51">
        <v>23</v>
      </c>
      <c r="EE17" s="53">
        <v>24</v>
      </c>
      <c r="EF17" s="53">
        <v>1876</v>
      </c>
      <c r="EG17" s="53">
        <v>1954</v>
      </c>
      <c r="EH17" s="53">
        <v>1921</v>
      </c>
      <c r="EI17" s="53">
        <v>2101</v>
      </c>
      <c r="EJ17" s="92">
        <v>458</v>
      </c>
      <c r="EK17" s="92">
        <v>3</v>
      </c>
      <c r="EL17" s="92">
        <v>3</v>
      </c>
      <c r="EM17" s="92">
        <v>0</v>
      </c>
      <c r="EN17" s="92">
        <v>5</v>
      </c>
      <c r="EO17" s="88">
        <v>725.40262552442823</v>
      </c>
      <c r="EP17" s="88">
        <v>756.85683630743722</v>
      </c>
      <c r="EQ17" s="88">
        <v>716.69209847894138</v>
      </c>
      <c r="ER17" s="88">
        <v>706.34412878460398</v>
      </c>
      <c r="ES17" s="88">
        <v>733.5</v>
      </c>
      <c r="ET17" s="88">
        <v>717</v>
      </c>
      <c r="EU17" s="88">
        <v>641.5</v>
      </c>
      <c r="EV17" s="88">
        <v>664.2</v>
      </c>
      <c r="EW17" s="88">
        <v>928.97074149044079</v>
      </c>
      <c r="EX17" s="88">
        <v>887.17285813542912</v>
      </c>
      <c r="EY17" s="88">
        <v>776.75344003888335</v>
      </c>
      <c r="EZ17" s="88">
        <v>759.78399814795409</v>
      </c>
      <c r="FA17" s="88">
        <v>589.71021094520211</v>
      </c>
      <c r="FB17" s="88">
        <v>593.94588604295825</v>
      </c>
      <c r="FC17" s="88">
        <v>530.71568140183433</v>
      </c>
      <c r="FD17" s="88">
        <v>587.56019747724611</v>
      </c>
      <c r="FE17" s="51">
        <v>398</v>
      </c>
      <c r="FF17" s="54">
        <v>475</v>
      </c>
      <c r="FG17" s="54">
        <v>442</v>
      </c>
      <c r="FH17" s="54">
        <v>458</v>
      </c>
      <c r="FI17" s="88">
        <v>162.00219999999999</v>
      </c>
      <c r="FJ17" s="88">
        <v>184.40450000000001</v>
      </c>
      <c r="FK17" s="88">
        <v>161.97649999999999</v>
      </c>
      <c r="FL17" s="88">
        <v>153.88499999999999</v>
      </c>
      <c r="FM17" s="54">
        <v>593</v>
      </c>
      <c r="FN17" s="54">
        <v>524</v>
      </c>
      <c r="FO17" s="51">
        <v>462</v>
      </c>
      <c r="FP17" s="54">
        <v>434</v>
      </c>
      <c r="FQ17" s="88">
        <v>230.501</v>
      </c>
      <c r="FR17" s="88">
        <v>188.7124</v>
      </c>
      <c r="FS17" s="88">
        <v>144.81379999999999</v>
      </c>
      <c r="FT17" s="88">
        <v>134.35319999999999</v>
      </c>
      <c r="FU17" s="53">
        <v>170</v>
      </c>
      <c r="FV17" s="53">
        <v>146</v>
      </c>
      <c r="FW17" s="53">
        <v>111</v>
      </c>
      <c r="FX17" s="53">
        <v>122</v>
      </c>
      <c r="FY17" s="88">
        <v>63.7547</v>
      </c>
      <c r="FZ17" s="88">
        <v>50.504849999999998</v>
      </c>
      <c r="GA17" s="88">
        <v>34.81288</v>
      </c>
      <c r="GB17" s="88">
        <v>36.42998</v>
      </c>
      <c r="GC17" s="55">
        <v>83</v>
      </c>
      <c r="GD17" s="56">
        <v>84</v>
      </c>
      <c r="GE17" s="55">
        <v>102</v>
      </c>
      <c r="GF17" s="55">
        <v>104</v>
      </c>
      <c r="GG17" s="91">
        <v>31.335450000000002</v>
      </c>
      <c r="GH17" s="91">
        <v>30.321840000000002</v>
      </c>
      <c r="GI17" s="91">
        <v>35.59019</v>
      </c>
      <c r="GJ17" s="91">
        <v>34.316920000000003</v>
      </c>
      <c r="GK17" s="55"/>
      <c r="GL17" s="55"/>
      <c r="GM17" s="55"/>
      <c r="GN17" s="56"/>
      <c r="GO17" s="55"/>
      <c r="GP17" s="55"/>
      <c r="GQ17" s="55"/>
      <c r="GR17" s="55"/>
      <c r="GS17" s="56"/>
      <c r="GT17" s="55"/>
      <c r="GU17" s="55"/>
      <c r="GV17" s="55"/>
      <c r="GW17" s="55"/>
      <c r="GX17" s="56"/>
      <c r="GY17" s="56"/>
      <c r="GZ17" s="56"/>
      <c r="HA17" s="56"/>
      <c r="HB17" s="56"/>
      <c r="HC17" s="56"/>
      <c r="HD17" s="57"/>
      <c r="HE17" s="57"/>
      <c r="HF17" s="57"/>
      <c r="HG17" s="57"/>
      <c r="HH17" s="57"/>
      <c r="HI17" s="58"/>
      <c r="HJ17" s="58"/>
      <c r="HK17" s="55"/>
      <c r="HL17" s="56"/>
      <c r="HM17" s="56"/>
      <c r="HN17" s="56"/>
      <c r="HO17" s="56"/>
      <c r="HP17" s="56"/>
      <c r="HQ17" s="56"/>
      <c r="HR17" s="56"/>
      <c r="HS17" s="56"/>
      <c r="HT17" s="56"/>
      <c r="HU17" s="38"/>
    </row>
    <row r="18" spans="1:229" x14ac:dyDescent="0.2">
      <c r="A18" s="36">
        <v>15</v>
      </c>
      <c r="B18" s="70" t="s">
        <v>71</v>
      </c>
      <c r="C18" s="77">
        <v>8249</v>
      </c>
      <c r="D18" s="77">
        <v>8242</v>
      </c>
      <c r="E18" s="77">
        <v>8695</v>
      </c>
      <c r="F18" s="77">
        <v>8774</v>
      </c>
      <c r="G18" s="150">
        <v>8703</v>
      </c>
      <c r="H18" s="41">
        <v>7582</v>
      </c>
      <c r="I18" s="41">
        <v>25</v>
      </c>
      <c r="J18" s="41">
        <v>793</v>
      </c>
      <c r="K18" s="41">
        <v>33</v>
      </c>
      <c r="L18" s="41">
        <v>122</v>
      </c>
      <c r="M18" s="42">
        <v>3412</v>
      </c>
      <c r="N18" s="43">
        <v>3415</v>
      </c>
      <c r="O18" s="43">
        <v>3527</v>
      </c>
      <c r="P18" s="44">
        <v>3561</v>
      </c>
      <c r="Q18" s="44">
        <v>3540</v>
      </c>
      <c r="R18" s="87">
        <v>30.22351797862002</v>
      </c>
      <c r="S18" s="87">
        <v>32.020891924467655</v>
      </c>
      <c r="T18" s="87">
        <v>30.735684489950703</v>
      </c>
      <c r="U18" s="87">
        <v>31.10443275732532</v>
      </c>
      <c r="V18" s="87">
        <v>31.11405333837715</v>
      </c>
      <c r="W18" s="87">
        <v>30.10689990281827</v>
      </c>
      <c r="X18" s="87">
        <v>33.547609481719569</v>
      </c>
      <c r="Y18" s="87">
        <v>34.129692832764505</v>
      </c>
      <c r="Z18" s="87">
        <v>33.696468820435761</v>
      </c>
      <c r="AA18" s="42">
        <v>33.497257423869868</v>
      </c>
      <c r="AB18" s="87">
        <v>60.330417881438287</v>
      </c>
      <c r="AC18" s="87">
        <v>65.568501406187224</v>
      </c>
      <c r="AD18" s="87">
        <v>64.865377322715204</v>
      </c>
      <c r="AE18" s="87">
        <v>64.800901577761081</v>
      </c>
      <c r="AF18" s="87">
        <v>64.611310762247015</v>
      </c>
      <c r="AG18" s="44">
        <v>11.357477211135748</v>
      </c>
      <c r="AH18" s="44">
        <v>15.223529411764705</v>
      </c>
      <c r="AI18" s="44">
        <v>13.655172413793103</v>
      </c>
      <c r="AJ18" s="43">
        <v>12.653819363826329</v>
      </c>
      <c r="AK18" s="43">
        <v>11.24077161228864</v>
      </c>
      <c r="AL18" s="47">
        <v>363.66666666666669</v>
      </c>
      <c r="AM18" s="47">
        <v>437.08333333333331</v>
      </c>
      <c r="AN18" s="47">
        <v>363.66666666666669</v>
      </c>
      <c r="AO18" s="47">
        <v>530.75</v>
      </c>
      <c r="AP18" s="47">
        <v>510.5</v>
      </c>
      <c r="AQ18" s="47">
        <v>28569.185700875521</v>
      </c>
      <c r="AR18" s="47">
        <v>29619.392822859631</v>
      </c>
      <c r="AS18" s="47">
        <v>30291.431495122371</v>
      </c>
      <c r="AT18" s="47">
        <v>31555.300438158749</v>
      </c>
      <c r="AU18" s="47">
        <v>31945.076410433183</v>
      </c>
      <c r="AV18" s="84">
        <v>40627.897466916715</v>
      </c>
      <c r="AW18" s="85">
        <v>40659.660456065394</v>
      </c>
      <c r="AX18" s="85">
        <v>44131.230233126727</v>
      </c>
      <c r="AY18" s="85">
        <v>37456.17185400876</v>
      </c>
      <c r="AZ18" s="85">
        <v>40704</v>
      </c>
      <c r="BA18" s="83">
        <v>14.287482976352607</v>
      </c>
      <c r="BB18" s="83">
        <v>16.590204587724738</v>
      </c>
      <c r="BC18" s="83">
        <v>15.714618792259268</v>
      </c>
      <c r="BD18" s="83">
        <v>18.932038834951456</v>
      </c>
      <c r="BE18" s="83">
        <v>15.505591798695248</v>
      </c>
      <c r="BF18" s="83">
        <v>22.995220392989911</v>
      </c>
      <c r="BG18" s="46">
        <v>25.532994923857867</v>
      </c>
      <c r="BH18" s="46">
        <v>24.628252788104088</v>
      </c>
      <c r="BI18" s="46">
        <v>30.169971671388101</v>
      </c>
      <c r="BJ18" s="46">
        <v>24.712643678160919</v>
      </c>
      <c r="BK18" s="42">
        <v>1481</v>
      </c>
      <c r="BL18" s="42">
        <v>1500</v>
      </c>
      <c r="BM18" s="40">
        <v>1471</v>
      </c>
      <c r="BN18" s="40">
        <v>1456</v>
      </c>
      <c r="BO18" s="43">
        <v>48.00810263335584</v>
      </c>
      <c r="BP18" s="43">
        <v>52.333333333333336</v>
      </c>
      <c r="BQ18" s="44">
        <v>53.569000679809655</v>
      </c>
      <c r="BR18" s="44">
        <v>53.777472527472526</v>
      </c>
      <c r="BS18" s="87">
        <v>0</v>
      </c>
      <c r="BT18" s="87">
        <v>0</v>
      </c>
      <c r="BU18" s="87">
        <v>0</v>
      </c>
      <c r="BV18" s="87">
        <v>0</v>
      </c>
      <c r="BW18" s="43">
        <v>17.555705604321403</v>
      </c>
      <c r="BX18" s="43">
        <v>17.933333333333334</v>
      </c>
      <c r="BY18" s="43">
        <v>18.490822569680489</v>
      </c>
      <c r="BZ18" s="43">
        <v>18.063186813186814</v>
      </c>
      <c r="CA18" s="42">
        <v>79.591836734693871</v>
      </c>
      <c r="CB18" s="42">
        <v>82.03125</v>
      </c>
      <c r="CC18" s="43">
        <v>76.36</v>
      </c>
      <c r="CD18" s="44">
        <v>75.7</v>
      </c>
      <c r="CE18" s="43">
        <v>8.1632653061224492</v>
      </c>
      <c r="CF18" s="43">
        <v>3.90625</v>
      </c>
      <c r="CG18" s="43">
        <v>4.55</v>
      </c>
      <c r="CH18" s="44">
        <v>7.48</v>
      </c>
      <c r="CI18" s="49">
        <v>491</v>
      </c>
      <c r="CJ18" s="49">
        <v>482</v>
      </c>
      <c r="CK18" s="51">
        <v>615</v>
      </c>
      <c r="CL18" s="51">
        <v>548</v>
      </c>
      <c r="CM18" s="88">
        <v>11.9</v>
      </c>
      <c r="CN18" s="88">
        <v>11.6</v>
      </c>
      <c r="CO18" s="88">
        <v>14.6</v>
      </c>
      <c r="CP18" s="88">
        <v>12.8</v>
      </c>
      <c r="CQ18" s="53">
        <v>31</v>
      </c>
      <c r="CR18" s="53">
        <v>17</v>
      </c>
      <c r="CS18" s="53">
        <v>24</v>
      </c>
      <c r="CT18" s="53">
        <v>23</v>
      </c>
      <c r="CU18" s="88">
        <v>6.4</v>
      </c>
      <c r="CV18" s="88">
        <v>3.7</v>
      </c>
      <c r="CW18" s="88">
        <v>4</v>
      </c>
      <c r="CX18" s="88">
        <v>4.4000000000000004</v>
      </c>
      <c r="CY18" s="51">
        <v>33</v>
      </c>
      <c r="CZ18" s="53">
        <v>29</v>
      </c>
      <c r="DA18" s="53">
        <v>42</v>
      </c>
      <c r="DB18" s="53">
        <v>40</v>
      </c>
      <c r="DC18" s="88">
        <v>7.6</v>
      </c>
      <c r="DD18" s="88">
        <v>7.5</v>
      </c>
      <c r="DE18" s="88">
        <v>8.1999999999999993</v>
      </c>
      <c r="DF18" s="88">
        <v>9.1</v>
      </c>
      <c r="DG18" s="88">
        <v>73.3</v>
      </c>
      <c r="DH18" s="88">
        <v>73</v>
      </c>
      <c r="DI18" s="88">
        <v>74.8</v>
      </c>
      <c r="DJ18" s="88">
        <v>71.400000000000006</v>
      </c>
      <c r="DK18" s="88">
        <v>20.8</v>
      </c>
      <c r="DL18" s="88">
        <v>17.5</v>
      </c>
      <c r="DM18" s="88">
        <v>23.2</v>
      </c>
      <c r="DN18" s="88">
        <v>21.915285451197054</v>
      </c>
      <c r="DO18" s="88">
        <v>32</v>
      </c>
      <c r="DP18" s="88">
        <v>38.700000000000003</v>
      </c>
      <c r="DQ18" s="88">
        <v>37.4</v>
      </c>
      <c r="DR18" s="88">
        <v>40</v>
      </c>
      <c r="DS18" s="88">
        <v>48.7977369165488</v>
      </c>
      <c r="DT18" s="88">
        <v>37.584719654959947</v>
      </c>
      <c r="DU18" s="88">
        <v>46.302695231513475</v>
      </c>
      <c r="DV18" s="88">
        <v>33.872209391839874</v>
      </c>
      <c r="DW18" s="54">
        <v>82</v>
      </c>
      <c r="DX18" s="54">
        <v>0</v>
      </c>
      <c r="DY18" s="51">
        <v>14</v>
      </c>
      <c r="DZ18" s="53">
        <v>0</v>
      </c>
      <c r="EA18" s="53">
        <v>2</v>
      </c>
      <c r="EB18" s="53">
        <v>4</v>
      </c>
      <c r="EC18" s="53">
        <v>4</v>
      </c>
      <c r="ED18" s="51">
        <v>4</v>
      </c>
      <c r="EE18" s="53">
        <v>2</v>
      </c>
      <c r="EF18" s="53">
        <v>539</v>
      </c>
      <c r="EG18" s="53">
        <v>557</v>
      </c>
      <c r="EH18" s="53">
        <v>463</v>
      </c>
      <c r="EI18" s="53">
        <v>471</v>
      </c>
      <c r="EJ18" s="92">
        <v>108</v>
      </c>
      <c r="EK18" s="92">
        <v>0</v>
      </c>
      <c r="EL18" s="92">
        <v>7</v>
      </c>
      <c r="EM18" s="92">
        <v>0</v>
      </c>
      <c r="EN18" s="92">
        <v>0</v>
      </c>
      <c r="EO18" s="88">
        <v>1303.758889265154</v>
      </c>
      <c r="EP18" s="88">
        <v>1338.1702863732462</v>
      </c>
      <c r="EQ18" s="88">
        <v>1101.8038170482127</v>
      </c>
      <c r="ER18" s="88">
        <v>1048.2921083627798</v>
      </c>
      <c r="ES18" s="88">
        <v>860.4</v>
      </c>
      <c r="ET18" s="88">
        <v>931.6</v>
      </c>
      <c r="EU18" s="88">
        <v>742.8</v>
      </c>
      <c r="EV18" s="88">
        <v>754.8</v>
      </c>
      <c r="EW18" s="88">
        <v>1106.0064027807573</v>
      </c>
      <c r="EX18" s="88">
        <v>1005.0118490375546</v>
      </c>
      <c r="EY18" s="88">
        <v>978.91683283422299</v>
      </c>
      <c r="EZ18" s="88">
        <v>857.06418062018122</v>
      </c>
      <c r="FA18" s="88">
        <v>633.31082114210665</v>
      </c>
      <c r="FB18" s="88">
        <v>868.28526039583539</v>
      </c>
      <c r="FC18" s="88">
        <v>537.98870062813967</v>
      </c>
      <c r="FD18" s="88">
        <v>650.43865257571292</v>
      </c>
      <c r="FE18" s="51">
        <v>111</v>
      </c>
      <c r="FF18" s="54">
        <v>115</v>
      </c>
      <c r="FG18" s="54">
        <v>98</v>
      </c>
      <c r="FH18" s="54">
        <v>116</v>
      </c>
      <c r="FI18" s="88">
        <v>189.4152</v>
      </c>
      <c r="FJ18" s="88">
        <v>199.92070000000001</v>
      </c>
      <c r="FK18" s="88">
        <v>170.41200000000001</v>
      </c>
      <c r="FL18" s="88">
        <v>189.26259999999999</v>
      </c>
      <c r="FM18" s="54">
        <v>154</v>
      </c>
      <c r="FN18" s="54">
        <v>158</v>
      </c>
      <c r="FO18" s="51">
        <v>135</v>
      </c>
      <c r="FP18" s="54">
        <v>107</v>
      </c>
      <c r="FQ18" s="88">
        <v>234.91569999999999</v>
      </c>
      <c r="FR18" s="88">
        <v>246.90620000000001</v>
      </c>
      <c r="FS18" s="88">
        <v>205.6841</v>
      </c>
      <c r="FT18" s="88">
        <v>164.66370000000001</v>
      </c>
      <c r="FU18" s="53">
        <v>56</v>
      </c>
      <c r="FV18" s="53">
        <v>46</v>
      </c>
      <c r="FW18" s="53">
        <v>18</v>
      </c>
      <c r="FX18" s="53">
        <v>35</v>
      </c>
      <c r="FY18" s="88">
        <v>74.725830000000002</v>
      </c>
      <c r="FZ18" s="88">
        <v>71.20729</v>
      </c>
      <c r="GA18" s="88">
        <v>28.001110000000001</v>
      </c>
      <c r="GB18" s="88">
        <v>50.00038</v>
      </c>
      <c r="GC18" s="55">
        <v>30</v>
      </c>
      <c r="GD18" s="56">
        <v>41</v>
      </c>
      <c r="GE18" s="55">
        <v>19</v>
      </c>
      <c r="GF18" s="55">
        <v>19</v>
      </c>
      <c r="GG18" s="91">
        <v>65.230429999999998</v>
      </c>
      <c r="GH18" s="91">
        <v>93.327759999999998</v>
      </c>
      <c r="GI18" s="91">
        <v>38.279710000000001</v>
      </c>
      <c r="GJ18" s="91">
        <v>38.915649999999999</v>
      </c>
      <c r="GK18" s="55"/>
      <c r="GL18" s="55"/>
      <c r="GM18" s="55"/>
      <c r="GN18" s="56"/>
      <c r="GO18" s="55"/>
      <c r="GP18" s="55"/>
      <c r="GQ18" s="55"/>
      <c r="GR18" s="55"/>
      <c r="GS18" s="56"/>
      <c r="GT18" s="55"/>
      <c r="GU18" s="55"/>
      <c r="GV18" s="55"/>
      <c r="GW18" s="55"/>
      <c r="GX18" s="56"/>
      <c r="GY18" s="56"/>
      <c r="GZ18" s="56"/>
      <c r="HA18" s="56"/>
      <c r="HB18" s="56"/>
      <c r="HC18" s="56"/>
      <c r="HD18" s="57"/>
      <c r="HE18" s="57"/>
      <c r="HF18" s="57"/>
      <c r="HG18" s="57"/>
      <c r="HH18" s="57"/>
      <c r="HI18" s="58"/>
      <c r="HJ18" s="58"/>
      <c r="HK18" s="55"/>
      <c r="HL18" s="56"/>
      <c r="HM18" s="56"/>
      <c r="HN18" s="56"/>
      <c r="HO18" s="56"/>
      <c r="HP18" s="56"/>
      <c r="HQ18" s="56"/>
      <c r="HR18" s="56"/>
      <c r="HS18" s="56"/>
      <c r="HT18" s="56"/>
      <c r="HU18" s="38"/>
    </row>
    <row r="19" spans="1:229" x14ac:dyDescent="0.2">
      <c r="A19" s="36">
        <v>16</v>
      </c>
      <c r="B19" s="70" t="s">
        <v>72</v>
      </c>
      <c r="C19" s="77">
        <v>5437</v>
      </c>
      <c r="D19" s="77">
        <v>5472</v>
      </c>
      <c r="E19" s="77">
        <v>5176</v>
      </c>
      <c r="F19" s="77">
        <v>5218</v>
      </c>
      <c r="G19" s="150">
        <v>5185</v>
      </c>
      <c r="H19" s="41">
        <v>4533</v>
      </c>
      <c r="I19" s="41">
        <v>31</v>
      </c>
      <c r="J19" s="41">
        <v>460</v>
      </c>
      <c r="K19" s="41">
        <v>35</v>
      </c>
      <c r="L19" s="41">
        <v>77</v>
      </c>
      <c r="M19" s="42">
        <v>2578</v>
      </c>
      <c r="N19" s="43">
        <v>2583</v>
      </c>
      <c r="O19" s="43">
        <v>2494</v>
      </c>
      <c r="P19" s="44">
        <v>2521</v>
      </c>
      <c r="Q19" s="44">
        <v>2514</v>
      </c>
      <c r="R19" s="87">
        <v>25.320855614973262</v>
      </c>
      <c r="S19" s="87">
        <v>29.476281875514122</v>
      </c>
      <c r="T19" s="87">
        <v>30.605707629586487</v>
      </c>
      <c r="U19" s="87">
        <v>33.018589554440837</v>
      </c>
      <c r="V19" s="87">
        <v>35.660320338470839</v>
      </c>
      <c r="W19" s="87">
        <v>20.053475935828878</v>
      </c>
      <c r="X19" s="87">
        <v>20.564847820126133</v>
      </c>
      <c r="Y19" s="87">
        <v>20.122306348281889</v>
      </c>
      <c r="Z19" s="87">
        <v>20.950132782531721</v>
      </c>
      <c r="AA19" s="42">
        <v>21.033544877606527</v>
      </c>
      <c r="AB19" s="87">
        <v>45.37433155080214</v>
      </c>
      <c r="AC19" s="87">
        <v>50.041129695640251</v>
      </c>
      <c r="AD19" s="87">
        <v>50.728013977868372</v>
      </c>
      <c r="AE19" s="87">
        <v>53.968722336972561</v>
      </c>
      <c r="AF19" s="87">
        <v>56.693865216077363</v>
      </c>
      <c r="AG19" s="44">
        <v>5.5218640280880944</v>
      </c>
      <c r="AH19" s="44">
        <v>7.2960000000000003</v>
      </c>
      <c r="AI19" s="44">
        <v>6.8230277185501063</v>
      </c>
      <c r="AJ19" s="43">
        <v>6.4670658682634734</v>
      </c>
      <c r="AK19" s="43">
        <v>5.9319388073680921</v>
      </c>
      <c r="AL19" s="47">
        <v>83.583333333333329</v>
      </c>
      <c r="AM19" s="47">
        <v>116.83333333333333</v>
      </c>
      <c r="AN19" s="47">
        <v>83.583333333333329</v>
      </c>
      <c r="AO19" s="47">
        <v>158.08333333333334</v>
      </c>
      <c r="AP19" s="47">
        <v>157.25</v>
      </c>
      <c r="AQ19" s="47">
        <v>40123.576226811507</v>
      </c>
      <c r="AR19" s="47">
        <v>41306.014845452213</v>
      </c>
      <c r="AS19" s="47">
        <v>41867.152697991805</v>
      </c>
      <c r="AT19" s="47">
        <v>44259.604006386442</v>
      </c>
      <c r="AU19" s="47">
        <v>45000.771456123432</v>
      </c>
      <c r="AV19" s="84">
        <v>49486.291237295911</v>
      </c>
      <c r="AW19" s="85">
        <v>48080.345466524093</v>
      </c>
      <c r="AX19" s="85">
        <v>46006.489008332479</v>
      </c>
      <c r="AY19" s="85">
        <v>45194.004342365857</v>
      </c>
      <c r="AZ19" s="85">
        <v>46621</v>
      </c>
      <c r="BA19" s="83">
        <v>9.0638377070537874</v>
      </c>
      <c r="BB19" s="83">
        <v>10.118386977432483</v>
      </c>
      <c r="BC19" s="83">
        <v>9.6484375</v>
      </c>
      <c r="BD19" s="83">
        <v>10.878823073945025</v>
      </c>
      <c r="BE19" s="83">
        <v>11.238800155823919</v>
      </c>
      <c r="BF19" s="83">
        <v>12.937433722163309</v>
      </c>
      <c r="BG19" s="46">
        <v>15.231788079470199</v>
      </c>
      <c r="BH19" s="46">
        <v>15.759637188208616</v>
      </c>
      <c r="BI19" s="46">
        <v>16.551724137931036</v>
      </c>
      <c r="BJ19" s="46">
        <v>17.330210772833723</v>
      </c>
      <c r="BK19" s="42">
        <v>632</v>
      </c>
      <c r="BL19" s="42">
        <v>611</v>
      </c>
      <c r="BM19" s="40">
        <v>593</v>
      </c>
      <c r="BN19" s="40">
        <v>606</v>
      </c>
      <c r="BO19" s="43">
        <v>35.601265822784811</v>
      </c>
      <c r="BP19" s="43">
        <v>39.279869067103107</v>
      </c>
      <c r="BQ19" s="44">
        <v>38.617200674536257</v>
      </c>
      <c r="BR19" s="44">
        <v>39.438943894389439</v>
      </c>
      <c r="BS19" s="87">
        <v>0</v>
      </c>
      <c r="BT19" s="87">
        <v>0</v>
      </c>
      <c r="BU19" s="87">
        <v>0</v>
      </c>
      <c r="BV19" s="87">
        <v>0</v>
      </c>
      <c r="BW19" s="43">
        <v>15.031645569620252</v>
      </c>
      <c r="BX19" s="43">
        <v>16.366612111292962</v>
      </c>
      <c r="BY19" s="43">
        <v>17.706576728499158</v>
      </c>
      <c r="BZ19" s="43">
        <v>17.821782178217823</v>
      </c>
      <c r="CA19" s="42">
        <v>90.769230769230774</v>
      </c>
      <c r="CB19" s="42">
        <v>77.192982456140356</v>
      </c>
      <c r="CC19" s="42"/>
      <c r="CD19" s="44">
        <v>90.63</v>
      </c>
      <c r="CE19" s="43">
        <v>1.5384615384615385</v>
      </c>
      <c r="CF19" s="43">
        <v>8.7719298245614041</v>
      </c>
      <c r="CG19" s="43"/>
      <c r="CH19" s="44">
        <v>4.6900000000000004</v>
      </c>
      <c r="CI19" s="49">
        <v>255</v>
      </c>
      <c r="CJ19" s="49">
        <v>211</v>
      </c>
      <c r="CK19" s="51">
        <v>227</v>
      </c>
      <c r="CL19" s="51">
        <v>235</v>
      </c>
      <c r="CM19" s="88">
        <v>11.3</v>
      </c>
      <c r="CN19" s="88">
        <v>8.4</v>
      </c>
      <c r="CO19" s="88">
        <v>8.5</v>
      </c>
      <c r="CP19" s="88">
        <v>8.9</v>
      </c>
      <c r="CQ19" s="53">
        <v>8</v>
      </c>
      <c r="CR19" s="53">
        <v>13</v>
      </c>
      <c r="CS19" s="53">
        <v>4</v>
      </c>
      <c r="CT19" s="53">
        <v>9</v>
      </c>
      <c r="CU19" s="88">
        <v>3.2</v>
      </c>
      <c r="CV19" s="88">
        <v>6.4</v>
      </c>
      <c r="CW19" s="88">
        <v>1.8</v>
      </c>
      <c r="CX19" s="88">
        <v>4.0999999999999996</v>
      </c>
      <c r="CY19" s="51">
        <v>16</v>
      </c>
      <c r="CZ19" s="53">
        <v>18</v>
      </c>
      <c r="DA19" s="53">
        <v>16</v>
      </c>
      <c r="DB19" s="53">
        <v>14</v>
      </c>
      <c r="DC19" s="88">
        <v>7.1</v>
      </c>
      <c r="DD19" s="88">
        <v>9</v>
      </c>
      <c r="DE19" s="88">
        <v>7.5</v>
      </c>
      <c r="DF19" s="88">
        <v>6.8</v>
      </c>
      <c r="DG19" s="88">
        <v>78.900000000000006</v>
      </c>
      <c r="DH19" s="88">
        <v>77.3</v>
      </c>
      <c r="DI19" s="88">
        <v>82.2</v>
      </c>
      <c r="DJ19" s="88">
        <v>79.2</v>
      </c>
      <c r="DK19" s="88">
        <v>19.3</v>
      </c>
      <c r="DL19" s="88">
        <v>20.9</v>
      </c>
      <c r="DM19" s="88">
        <v>18.5</v>
      </c>
      <c r="DN19" s="88">
        <v>19.111111111111111</v>
      </c>
      <c r="DO19" s="88">
        <v>34.1</v>
      </c>
      <c r="DP19" s="88">
        <v>32.200000000000003</v>
      </c>
      <c r="DQ19" s="88">
        <v>31.3</v>
      </c>
      <c r="DR19" s="88">
        <v>29.8</v>
      </c>
      <c r="DS19" s="88">
        <v>32.258064516129032</v>
      </c>
      <c r="DT19" s="88" t="s">
        <v>39</v>
      </c>
      <c r="DU19" s="88" t="s">
        <v>39</v>
      </c>
      <c r="DV19" s="88" t="s">
        <v>39</v>
      </c>
      <c r="DW19" s="54">
        <v>34</v>
      </c>
      <c r="DX19" s="54">
        <v>1</v>
      </c>
      <c r="DY19" s="51">
        <v>2</v>
      </c>
      <c r="DZ19" s="53">
        <v>3</v>
      </c>
      <c r="EA19" s="53">
        <v>1</v>
      </c>
      <c r="EB19" s="53">
        <v>1</v>
      </c>
      <c r="EC19" s="53">
        <v>4</v>
      </c>
      <c r="ED19" s="51">
        <v>0</v>
      </c>
      <c r="EE19" s="53">
        <v>2</v>
      </c>
      <c r="EF19" s="53">
        <v>177</v>
      </c>
      <c r="EG19" s="53">
        <v>236</v>
      </c>
      <c r="EH19" s="53">
        <v>227</v>
      </c>
      <c r="EI19" s="53">
        <v>221</v>
      </c>
      <c r="EJ19" s="92">
        <v>37</v>
      </c>
      <c r="EK19" s="92">
        <v>0</v>
      </c>
      <c r="EL19" s="92">
        <v>3</v>
      </c>
      <c r="EM19" s="92">
        <v>0</v>
      </c>
      <c r="EN19" s="92">
        <v>0</v>
      </c>
      <c r="EO19" s="88">
        <v>781.18103980933881</v>
      </c>
      <c r="EP19" s="88">
        <v>940.83878169350976</v>
      </c>
      <c r="EQ19" s="88">
        <v>850.410219907841</v>
      </c>
      <c r="ER19" s="88">
        <v>844.95141529362058</v>
      </c>
      <c r="ES19" s="88">
        <v>679.7</v>
      </c>
      <c r="ET19" s="88">
        <v>729.1</v>
      </c>
      <c r="EU19" s="88">
        <v>584.29999999999995</v>
      </c>
      <c r="EV19" s="88">
        <v>556.9</v>
      </c>
      <c r="EW19" s="88">
        <v>809.64336259069808</v>
      </c>
      <c r="EX19" s="88">
        <v>843.83921718849547</v>
      </c>
      <c r="EY19" s="88">
        <v>715.45101924346488</v>
      </c>
      <c r="EZ19" s="88">
        <v>719.26238366446148</v>
      </c>
      <c r="FA19" s="88">
        <v>592.91422963755883</v>
      </c>
      <c r="FB19" s="88">
        <v>595.72876466297907</v>
      </c>
      <c r="FC19" s="88">
        <v>466.98398971053643</v>
      </c>
      <c r="FD19" s="88">
        <v>422.98857261492083</v>
      </c>
      <c r="FE19" s="51">
        <v>34</v>
      </c>
      <c r="FF19" s="54">
        <v>55</v>
      </c>
      <c r="FG19" s="54">
        <v>63</v>
      </c>
      <c r="FH19" s="54">
        <v>54</v>
      </c>
      <c r="FI19" s="88">
        <v>127.4541</v>
      </c>
      <c r="FJ19" s="88">
        <v>163.86959999999999</v>
      </c>
      <c r="FK19" s="88">
        <v>164.24080000000001</v>
      </c>
      <c r="FL19" s="88">
        <v>127.5702</v>
      </c>
      <c r="FM19" s="54">
        <v>51</v>
      </c>
      <c r="FN19" s="54">
        <v>49</v>
      </c>
      <c r="FO19" s="51">
        <v>48</v>
      </c>
      <c r="FP19" s="54">
        <v>59</v>
      </c>
      <c r="FQ19" s="88">
        <v>191.40389999999999</v>
      </c>
      <c r="FR19" s="88">
        <v>147.16249999999999</v>
      </c>
      <c r="FS19" s="88">
        <v>124.11320000000001</v>
      </c>
      <c r="FT19" s="88">
        <v>145.571</v>
      </c>
      <c r="FU19" s="53">
        <v>14</v>
      </c>
      <c r="FV19" s="53">
        <v>13</v>
      </c>
      <c r="FW19" s="53">
        <v>13</v>
      </c>
      <c r="FX19" s="53">
        <v>14</v>
      </c>
      <c r="FY19" s="88">
        <v>54.075870000000002</v>
      </c>
      <c r="FZ19" s="88">
        <v>37.93085</v>
      </c>
      <c r="GA19" s="88">
        <v>33.484920000000002</v>
      </c>
      <c r="GB19" s="88">
        <v>36.427999999999997</v>
      </c>
      <c r="GC19" s="55">
        <v>9</v>
      </c>
      <c r="GD19" s="56">
        <v>18</v>
      </c>
      <c r="GE19" s="55">
        <v>9</v>
      </c>
      <c r="GF19" s="55">
        <v>15</v>
      </c>
      <c r="GG19" s="91">
        <v>40.80538</v>
      </c>
      <c r="GH19" s="91">
        <v>61.098709999999997</v>
      </c>
      <c r="GI19" s="91">
        <v>27.87341</v>
      </c>
      <c r="GJ19" s="91">
        <v>44.365609999999997</v>
      </c>
      <c r="GK19" s="55"/>
      <c r="GL19" s="55"/>
      <c r="GM19" s="55"/>
      <c r="GN19" s="56"/>
      <c r="GO19" s="55"/>
      <c r="GP19" s="55"/>
      <c r="GQ19" s="55"/>
      <c r="GR19" s="55"/>
      <c r="GS19" s="56"/>
      <c r="GT19" s="55"/>
      <c r="GU19" s="55"/>
      <c r="GV19" s="55"/>
      <c r="GW19" s="55"/>
      <c r="GX19" s="56"/>
      <c r="GY19" s="56"/>
      <c r="GZ19" s="56"/>
      <c r="HA19" s="56"/>
      <c r="HB19" s="56"/>
      <c r="HC19" s="56"/>
      <c r="HD19" s="57"/>
      <c r="HE19" s="57"/>
      <c r="HF19" s="57"/>
      <c r="HG19" s="57"/>
      <c r="HH19" s="57"/>
      <c r="HI19" s="58"/>
      <c r="HJ19" s="58"/>
      <c r="HK19" s="55"/>
      <c r="HL19" s="56"/>
      <c r="HM19" s="56"/>
      <c r="HN19" s="56"/>
      <c r="HO19" s="56"/>
      <c r="HP19" s="56"/>
      <c r="HQ19" s="56"/>
      <c r="HR19" s="56"/>
      <c r="HS19" s="56"/>
      <c r="HT19" s="56"/>
      <c r="HU19" s="38"/>
    </row>
    <row r="20" spans="1:229" ht="21" customHeight="1" x14ac:dyDescent="0.2">
      <c r="A20" s="36">
        <v>17</v>
      </c>
      <c r="B20" s="70" t="s">
        <v>73</v>
      </c>
      <c r="C20" s="77">
        <v>11283</v>
      </c>
      <c r="D20" s="77">
        <v>11116</v>
      </c>
      <c r="E20" s="77">
        <v>11687</v>
      </c>
      <c r="F20" s="77">
        <v>11686</v>
      </c>
      <c r="G20" s="150">
        <v>11597</v>
      </c>
      <c r="H20" s="41">
        <v>10936</v>
      </c>
      <c r="I20" s="41">
        <v>103</v>
      </c>
      <c r="J20" s="41">
        <v>34</v>
      </c>
      <c r="K20" s="41">
        <v>355</v>
      </c>
      <c r="L20" s="41">
        <v>765</v>
      </c>
      <c r="M20" s="42">
        <v>4784</v>
      </c>
      <c r="N20" s="43">
        <v>4757</v>
      </c>
      <c r="O20" s="43">
        <v>4857</v>
      </c>
      <c r="P20" s="44">
        <v>4860</v>
      </c>
      <c r="Q20" s="44">
        <v>4845</v>
      </c>
      <c r="R20" s="87">
        <v>33.216834134265326</v>
      </c>
      <c r="S20" s="87">
        <v>31.994645247657296</v>
      </c>
      <c r="T20" s="87">
        <v>35.810128408599049</v>
      </c>
      <c r="U20" s="87">
        <v>36.060124295418412</v>
      </c>
      <c r="V20" s="87">
        <v>37.771898883009996</v>
      </c>
      <c r="W20" s="87">
        <v>31.090723751274211</v>
      </c>
      <c r="X20" s="87">
        <v>33.3482076453964</v>
      </c>
      <c r="Y20" s="87">
        <v>32.809118453325638</v>
      </c>
      <c r="Z20" s="87">
        <v>32.837115190056366</v>
      </c>
      <c r="AA20" s="42">
        <v>32.671957671957671</v>
      </c>
      <c r="AB20" s="87">
        <v>64.307557885539538</v>
      </c>
      <c r="AC20" s="87">
        <v>65.342852893053703</v>
      </c>
      <c r="AD20" s="87">
        <v>68.61924686192468</v>
      </c>
      <c r="AE20" s="87">
        <v>68.897239485474785</v>
      </c>
      <c r="AF20" s="87">
        <v>70.443856554967667</v>
      </c>
      <c r="AG20" s="44">
        <v>5.2106430155210646</v>
      </c>
      <c r="AH20" s="44">
        <v>6.545510549822886</v>
      </c>
      <c r="AI20" s="44">
        <v>5.7250799186283059</v>
      </c>
      <c r="AJ20" s="43">
        <v>5.3121037057911797</v>
      </c>
      <c r="AK20" s="43">
        <v>5.7868630692920489</v>
      </c>
      <c r="AL20" s="47">
        <v>277.41666666666669</v>
      </c>
      <c r="AM20" s="47">
        <v>322.58333333333331</v>
      </c>
      <c r="AN20" s="47">
        <v>277.41666666666669</v>
      </c>
      <c r="AO20" s="47">
        <v>481.25</v>
      </c>
      <c r="AP20" s="47">
        <v>510.5</v>
      </c>
      <c r="AQ20" s="47">
        <v>40278.629698102115</v>
      </c>
      <c r="AR20" s="47">
        <v>39546.913501592935</v>
      </c>
      <c r="AS20" s="47">
        <v>41792.627299266554</v>
      </c>
      <c r="AT20" s="47">
        <v>45052.455870768601</v>
      </c>
      <c r="AU20" s="47">
        <v>48039.0618263344</v>
      </c>
      <c r="AV20" s="84">
        <v>43045.374134480175</v>
      </c>
      <c r="AW20" s="85">
        <v>43565.221431461323</v>
      </c>
      <c r="AX20" s="85">
        <v>46559.274441787296</v>
      </c>
      <c r="AY20" s="85">
        <v>45424.679733787663</v>
      </c>
      <c r="AZ20" s="85">
        <v>44449</v>
      </c>
      <c r="BA20" s="83">
        <v>11.94722474977252</v>
      </c>
      <c r="BB20" s="83">
        <v>10.170118343195266</v>
      </c>
      <c r="BC20" s="83">
        <v>11.044386422976501</v>
      </c>
      <c r="BD20" s="83">
        <v>11.72834131475838</v>
      </c>
      <c r="BE20" s="83">
        <v>11.956140350877194</v>
      </c>
      <c r="BF20" s="83">
        <v>15.763168012302961</v>
      </c>
      <c r="BG20" s="46">
        <v>14.987080103359173</v>
      </c>
      <c r="BH20" s="46">
        <v>15.533980582524272</v>
      </c>
      <c r="BI20" s="46">
        <v>16.648451730418945</v>
      </c>
      <c r="BJ20" s="46">
        <v>16.753536857781086</v>
      </c>
      <c r="BK20" s="42">
        <v>2385</v>
      </c>
      <c r="BL20" s="42">
        <v>2362</v>
      </c>
      <c r="BM20" s="40">
        <v>2334</v>
      </c>
      <c r="BN20" s="40">
        <v>2311</v>
      </c>
      <c r="BO20" s="43">
        <v>45.283018867924525</v>
      </c>
      <c r="BP20" s="43">
        <v>46.020321761219307</v>
      </c>
      <c r="BQ20" s="44">
        <v>47.47215081405313</v>
      </c>
      <c r="BR20" s="44">
        <v>47.079186499350932</v>
      </c>
      <c r="BS20" s="87">
        <v>10.272536687631026</v>
      </c>
      <c r="BT20" s="87">
        <v>9.864521591871295</v>
      </c>
      <c r="BU20" s="87">
        <v>9.7686375321336758</v>
      </c>
      <c r="BV20" s="87">
        <v>9.6495023799221116</v>
      </c>
      <c r="BW20" s="43">
        <v>17.442348008385743</v>
      </c>
      <c r="BX20" s="43">
        <v>18.120237087214225</v>
      </c>
      <c r="BY20" s="43">
        <v>17.694944301628105</v>
      </c>
      <c r="BZ20" s="43">
        <v>17.568152315015144</v>
      </c>
      <c r="CA20" s="42">
        <v>80.392156862745097</v>
      </c>
      <c r="CB20" s="42">
        <v>82.741116751269033</v>
      </c>
      <c r="CC20" s="42">
        <v>86.23</v>
      </c>
      <c r="CD20" s="44">
        <v>88.95</v>
      </c>
      <c r="CE20" s="43">
        <v>4.4117647058823533</v>
      </c>
      <c r="CF20" s="43">
        <v>5.0761421319796955</v>
      </c>
      <c r="CG20" s="43">
        <v>5.39</v>
      </c>
      <c r="CH20" s="44">
        <v>3.49</v>
      </c>
      <c r="CI20" s="49">
        <v>697</v>
      </c>
      <c r="CJ20" s="49">
        <v>689</v>
      </c>
      <c r="CK20" s="51">
        <v>699</v>
      </c>
      <c r="CL20" s="51">
        <v>724</v>
      </c>
      <c r="CM20" s="88">
        <v>11.2</v>
      </c>
      <c r="CN20" s="88">
        <v>11.4</v>
      </c>
      <c r="CO20" s="88">
        <v>11.9</v>
      </c>
      <c r="CP20" s="88">
        <v>12.6</v>
      </c>
      <c r="CQ20" s="53">
        <v>27</v>
      </c>
      <c r="CR20" s="53">
        <v>30</v>
      </c>
      <c r="CS20" s="53">
        <v>35</v>
      </c>
      <c r="CT20" s="53">
        <v>25</v>
      </c>
      <c r="CU20" s="88">
        <v>4</v>
      </c>
      <c r="CV20" s="88">
        <v>4.5</v>
      </c>
      <c r="CW20" s="88">
        <v>5.2</v>
      </c>
      <c r="CX20" s="88">
        <v>3.6</v>
      </c>
      <c r="CY20" s="51">
        <v>54</v>
      </c>
      <c r="CZ20" s="53">
        <v>47</v>
      </c>
      <c r="DA20" s="53">
        <v>63</v>
      </c>
      <c r="DB20" s="53">
        <v>65</v>
      </c>
      <c r="DC20" s="88">
        <v>8.5</v>
      </c>
      <c r="DD20" s="88">
        <v>7.2</v>
      </c>
      <c r="DE20" s="88">
        <v>9.6999999999999993</v>
      </c>
      <c r="DF20" s="88">
        <v>9.9</v>
      </c>
      <c r="DG20" s="88">
        <v>80.400000000000006</v>
      </c>
      <c r="DH20" s="88">
        <v>86.9</v>
      </c>
      <c r="DI20" s="88">
        <v>88.2</v>
      </c>
      <c r="DJ20" s="88">
        <v>84.5</v>
      </c>
      <c r="DK20" s="88">
        <v>13.3</v>
      </c>
      <c r="DL20" s="88">
        <v>13.2</v>
      </c>
      <c r="DM20" s="88">
        <v>13.2</v>
      </c>
      <c r="DN20" s="88">
        <v>15.352697095435685</v>
      </c>
      <c r="DO20" s="88">
        <v>22.7</v>
      </c>
      <c r="DP20" s="88">
        <v>25.8</v>
      </c>
      <c r="DQ20" s="88">
        <v>29</v>
      </c>
      <c r="DR20" s="88">
        <v>39.6</v>
      </c>
      <c r="DS20" s="88">
        <v>38.015762633286975</v>
      </c>
      <c r="DT20" s="88">
        <v>25.85034013605442</v>
      </c>
      <c r="DU20" s="88">
        <v>24.043179587831208</v>
      </c>
      <c r="DV20" s="88">
        <v>40.164778578784755</v>
      </c>
      <c r="DW20" s="54">
        <v>134</v>
      </c>
      <c r="DX20" s="54">
        <v>1</v>
      </c>
      <c r="DY20" s="51">
        <v>0</v>
      </c>
      <c r="DZ20" s="53">
        <v>10</v>
      </c>
      <c r="EA20" s="53">
        <v>23</v>
      </c>
      <c r="EB20" s="53">
        <v>5</v>
      </c>
      <c r="EC20" s="53">
        <v>5</v>
      </c>
      <c r="ED20" s="51">
        <v>3</v>
      </c>
      <c r="EE20" s="53">
        <v>3</v>
      </c>
      <c r="EF20" s="53">
        <v>824</v>
      </c>
      <c r="EG20" s="53">
        <v>789</v>
      </c>
      <c r="EH20" s="53">
        <v>764</v>
      </c>
      <c r="EI20" s="53">
        <v>739</v>
      </c>
      <c r="EJ20" s="92">
        <v>125</v>
      </c>
      <c r="EK20" s="92">
        <v>0</v>
      </c>
      <c r="EL20" s="92">
        <v>0</v>
      </c>
      <c r="EM20" s="92">
        <v>2</v>
      </c>
      <c r="EN20" s="92">
        <v>0</v>
      </c>
      <c r="EO20" s="88">
        <v>1329.6327373652616</v>
      </c>
      <c r="EP20" s="88">
        <v>1309.8261865630759</v>
      </c>
      <c r="EQ20" s="88">
        <v>1298.8337696780115</v>
      </c>
      <c r="ER20" s="88">
        <v>1337.0619592764135</v>
      </c>
      <c r="ES20" s="88">
        <v>738.2</v>
      </c>
      <c r="ET20" s="88">
        <v>702.4</v>
      </c>
      <c r="EU20" s="88">
        <v>671.6</v>
      </c>
      <c r="EV20" s="88">
        <v>683.9</v>
      </c>
      <c r="EW20" s="88">
        <v>932.63106889353003</v>
      </c>
      <c r="EX20" s="88">
        <v>854.25601803729251</v>
      </c>
      <c r="EY20" s="88">
        <v>791.84679319617157</v>
      </c>
      <c r="EZ20" s="88">
        <v>853.65499662605316</v>
      </c>
      <c r="FA20" s="88">
        <v>594.04976074254955</v>
      </c>
      <c r="FB20" s="88">
        <v>584.14058154559552</v>
      </c>
      <c r="FC20" s="88">
        <v>569.72137873255645</v>
      </c>
      <c r="FD20" s="88">
        <v>550.20806328666708</v>
      </c>
      <c r="FE20" s="51">
        <v>170</v>
      </c>
      <c r="FF20" s="54">
        <v>169</v>
      </c>
      <c r="FG20" s="54">
        <v>151</v>
      </c>
      <c r="FH20" s="54">
        <v>166</v>
      </c>
      <c r="FI20" s="88">
        <v>177.53110000000001</v>
      </c>
      <c r="FJ20" s="88">
        <v>169.72669999999999</v>
      </c>
      <c r="FK20" s="88">
        <v>159.89320000000001</v>
      </c>
      <c r="FL20" s="88">
        <v>168.4434</v>
      </c>
      <c r="FM20" s="54">
        <v>296</v>
      </c>
      <c r="FN20" s="54">
        <v>255</v>
      </c>
      <c r="FO20" s="51">
        <v>228</v>
      </c>
      <c r="FP20" s="54">
        <v>199</v>
      </c>
      <c r="FQ20" s="88">
        <v>239.95650000000001</v>
      </c>
      <c r="FR20" s="88">
        <v>205.16470000000001</v>
      </c>
      <c r="FS20" s="88">
        <v>179.4435</v>
      </c>
      <c r="FT20" s="88">
        <v>166.97470000000001</v>
      </c>
      <c r="FU20" s="53">
        <v>80</v>
      </c>
      <c r="FV20" s="53">
        <v>61</v>
      </c>
      <c r="FW20" s="53">
        <v>52</v>
      </c>
      <c r="FX20" s="53">
        <v>41</v>
      </c>
      <c r="FY20" s="88">
        <v>61.853520000000003</v>
      </c>
      <c r="FZ20" s="88">
        <v>45.754849999999998</v>
      </c>
      <c r="GA20" s="88">
        <v>41.892530000000001</v>
      </c>
      <c r="GB20" s="88">
        <v>31.57067</v>
      </c>
      <c r="GC20" s="55">
        <v>22</v>
      </c>
      <c r="GD20" s="56">
        <v>37</v>
      </c>
      <c r="GE20" s="55">
        <v>36</v>
      </c>
      <c r="GF20" s="55">
        <v>25</v>
      </c>
      <c r="GG20" s="91">
        <v>31.980640000000001</v>
      </c>
      <c r="GH20" s="91">
        <v>49.758299999999998</v>
      </c>
      <c r="GI20" s="91">
        <v>43.963650000000001</v>
      </c>
      <c r="GJ20" s="91">
        <v>30.877949999999998</v>
      </c>
      <c r="GK20" s="55"/>
      <c r="GL20" s="55"/>
      <c r="GM20" s="55"/>
      <c r="GN20" s="56"/>
      <c r="GO20" s="55"/>
      <c r="GP20" s="55"/>
      <c r="GQ20" s="55"/>
      <c r="GR20" s="55"/>
      <c r="GS20" s="56"/>
      <c r="GT20" s="55"/>
      <c r="GU20" s="55"/>
      <c r="GV20" s="55"/>
      <c r="GW20" s="55"/>
      <c r="GX20" s="56"/>
      <c r="GY20" s="56"/>
      <c r="GZ20" s="56"/>
      <c r="HA20" s="56"/>
      <c r="HB20" s="56"/>
      <c r="HC20" s="56"/>
      <c r="HD20" s="57"/>
      <c r="HE20" s="57"/>
      <c r="HF20" s="57"/>
      <c r="HG20" s="57"/>
      <c r="HH20" s="57"/>
      <c r="HI20" s="58"/>
      <c r="HJ20" s="58"/>
      <c r="HK20" s="55"/>
      <c r="HL20" s="56"/>
      <c r="HM20" s="56"/>
      <c r="HN20" s="56"/>
      <c r="HO20" s="56"/>
      <c r="HP20" s="56"/>
      <c r="HQ20" s="56"/>
      <c r="HR20" s="56"/>
      <c r="HS20" s="56"/>
      <c r="HT20" s="56"/>
      <c r="HU20" s="38"/>
    </row>
    <row r="21" spans="1:229" x14ac:dyDescent="0.2">
      <c r="A21" s="36">
        <v>18</v>
      </c>
      <c r="B21" s="70" t="s">
        <v>74</v>
      </c>
      <c r="C21" s="77">
        <v>62172</v>
      </c>
      <c r="D21" s="77">
        <v>62723</v>
      </c>
      <c r="E21" s="77">
        <v>62500</v>
      </c>
      <c r="F21" s="77">
        <v>62763</v>
      </c>
      <c r="G21" s="150">
        <v>62882</v>
      </c>
      <c r="H21" s="41">
        <v>60819</v>
      </c>
      <c r="I21" s="41">
        <v>360</v>
      </c>
      <c r="J21" s="41">
        <v>530</v>
      </c>
      <c r="K21" s="41">
        <v>277</v>
      </c>
      <c r="L21" s="41">
        <v>725</v>
      </c>
      <c r="M21" s="42">
        <v>26053</v>
      </c>
      <c r="N21" s="43">
        <v>26423</v>
      </c>
      <c r="O21" s="43">
        <v>26033</v>
      </c>
      <c r="P21" s="44">
        <v>26193</v>
      </c>
      <c r="Q21" s="44">
        <v>26271</v>
      </c>
      <c r="R21" s="87">
        <v>28.345079348983422</v>
      </c>
      <c r="S21" s="87">
        <v>29.874005305039788</v>
      </c>
      <c r="T21" s="87">
        <v>29.663451672481017</v>
      </c>
      <c r="U21" s="87">
        <v>30.490115743111748</v>
      </c>
      <c r="V21" s="87">
        <v>31.715936645514109</v>
      </c>
      <c r="W21" s="87">
        <v>29.267859859047814</v>
      </c>
      <c r="X21" s="87">
        <v>30.100999795960007</v>
      </c>
      <c r="Y21" s="87">
        <v>30.658731787399958</v>
      </c>
      <c r="Z21" s="87">
        <v>30.22636484687084</v>
      </c>
      <c r="AA21" s="42">
        <v>30.493215704483312</v>
      </c>
      <c r="AB21" s="87">
        <v>57.612939208031236</v>
      </c>
      <c r="AC21" s="87">
        <v>59.975005100999795</v>
      </c>
      <c r="AD21" s="87">
        <v>60.322183459880975</v>
      </c>
      <c r="AE21" s="87">
        <v>60.716480589982588</v>
      </c>
      <c r="AF21" s="87">
        <v>62.209152349997417</v>
      </c>
      <c r="AG21" s="44">
        <v>6.8776628119293974</v>
      </c>
      <c r="AH21" s="44">
        <v>10.024748784924114</v>
      </c>
      <c r="AI21" s="44">
        <v>8.9836985728787244</v>
      </c>
      <c r="AJ21" s="43">
        <v>8.4109072405639207</v>
      </c>
      <c r="AK21" s="43">
        <v>7.3516413179310556</v>
      </c>
      <c r="AL21" s="47">
        <v>1634</v>
      </c>
      <c r="AM21" s="47">
        <v>2144.4166666666665</v>
      </c>
      <c r="AN21" s="47">
        <v>1634</v>
      </c>
      <c r="AO21" s="47">
        <v>3029.1666666666665</v>
      </c>
      <c r="AP21" s="47">
        <v>3100.75</v>
      </c>
      <c r="AQ21" s="47">
        <v>33650.490377668182</v>
      </c>
      <c r="AR21" s="47">
        <v>33746.027703871696</v>
      </c>
      <c r="AS21" s="47">
        <v>34464.317117260674</v>
      </c>
      <c r="AT21" s="47">
        <v>34694.266807982858</v>
      </c>
      <c r="AU21" s="47">
        <v>34872.952514233009</v>
      </c>
      <c r="AV21" s="84">
        <v>49295.409753619751</v>
      </c>
      <c r="AW21" s="85">
        <v>44597.953048867246</v>
      </c>
      <c r="AX21" s="85">
        <v>47453.207457031363</v>
      </c>
      <c r="AY21" s="85">
        <v>46455.574182177144</v>
      </c>
      <c r="AZ21" s="85">
        <v>47061</v>
      </c>
      <c r="BA21" s="83">
        <v>11.409395973154362</v>
      </c>
      <c r="BB21" s="83">
        <v>14.295198769330419</v>
      </c>
      <c r="BC21" s="83">
        <v>12.327991850330676</v>
      </c>
      <c r="BD21" s="83">
        <v>13.380508720461652</v>
      </c>
      <c r="BE21" s="83">
        <v>13.001109556659753</v>
      </c>
      <c r="BF21" s="83">
        <v>14.773964153544735</v>
      </c>
      <c r="BG21" s="46">
        <v>18.400286944045909</v>
      </c>
      <c r="BH21" s="46">
        <v>17.718291905672402</v>
      </c>
      <c r="BI21" s="46">
        <v>19.26829268292683</v>
      </c>
      <c r="BJ21" s="46">
        <v>19.162964024652428</v>
      </c>
      <c r="BK21" s="42">
        <v>9730</v>
      </c>
      <c r="BL21" s="42">
        <v>9652</v>
      </c>
      <c r="BM21" s="40">
        <v>9696</v>
      </c>
      <c r="BN21" s="40">
        <v>9610</v>
      </c>
      <c r="BO21" s="43">
        <v>42.415210688591984</v>
      </c>
      <c r="BP21" s="43">
        <v>43.193120596767507</v>
      </c>
      <c r="BQ21" s="44">
        <v>42.388613861386141</v>
      </c>
      <c r="BR21" s="44">
        <v>42.726326742976063</v>
      </c>
      <c r="BS21" s="87">
        <v>2.0554984583761562E-2</v>
      </c>
      <c r="BT21" s="87">
        <v>3.1081641110650642E-2</v>
      </c>
      <c r="BU21" s="87">
        <v>1.0313531353135313E-2</v>
      </c>
      <c r="BV21" s="87">
        <v>7.2840790842872011E-2</v>
      </c>
      <c r="BW21" s="43">
        <v>17.153134635149023</v>
      </c>
      <c r="BX21" s="43">
        <v>17.146705346042271</v>
      </c>
      <c r="BY21" s="43">
        <v>16.996699669966997</v>
      </c>
      <c r="BZ21" s="43">
        <v>16.857440166493237</v>
      </c>
      <c r="CA21" s="42">
        <v>70.838548185231545</v>
      </c>
      <c r="CB21" s="42">
        <v>82.938978829389782</v>
      </c>
      <c r="CC21" s="42">
        <v>79.97</v>
      </c>
      <c r="CD21" s="44">
        <v>82.99</v>
      </c>
      <c r="CE21" s="43">
        <v>4.3804755944931166</v>
      </c>
      <c r="CF21" s="43">
        <v>2.8642590286425902</v>
      </c>
      <c r="CG21" s="43">
        <v>4.34</v>
      </c>
      <c r="CH21" s="44">
        <v>5.76</v>
      </c>
      <c r="CI21" s="49">
        <v>2987</v>
      </c>
      <c r="CJ21" s="49">
        <v>3405</v>
      </c>
      <c r="CK21" s="54">
        <v>3872</v>
      </c>
      <c r="CL21" s="54">
        <v>3786</v>
      </c>
      <c r="CM21" s="88">
        <v>12</v>
      </c>
      <c r="CN21" s="88">
        <v>12.5</v>
      </c>
      <c r="CO21" s="88">
        <v>12.9</v>
      </c>
      <c r="CP21" s="88">
        <v>12.1</v>
      </c>
      <c r="CQ21" s="53">
        <v>130</v>
      </c>
      <c r="CR21" s="53">
        <v>153</v>
      </c>
      <c r="CS21" s="53">
        <v>195</v>
      </c>
      <c r="CT21" s="53">
        <v>160</v>
      </c>
      <c r="CU21" s="88">
        <v>4.4000000000000004</v>
      </c>
      <c r="CV21" s="88">
        <v>4.5999999999999996</v>
      </c>
      <c r="CW21" s="88">
        <v>5.2</v>
      </c>
      <c r="CX21" s="88">
        <v>4.3</v>
      </c>
      <c r="CY21" s="51">
        <v>196</v>
      </c>
      <c r="CZ21" s="53">
        <v>261</v>
      </c>
      <c r="DA21" s="53">
        <v>321</v>
      </c>
      <c r="DB21" s="53">
        <v>262</v>
      </c>
      <c r="DC21" s="88">
        <v>6.9</v>
      </c>
      <c r="DD21" s="88">
        <v>8</v>
      </c>
      <c r="DE21" s="88">
        <v>8.6999999999999993</v>
      </c>
      <c r="DF21" s="88">
        <v>7.4</v>
      </c>
      <c r="DG21" s="88">
        <v>84</v>
      </c>
      <c r="DH21" s="88">
        <v>87.2</v>
      </c>
      <c r="DI21" s="88">
        <v>85.7</v>
      </c>
      <c r="DJ21" s="88">
        <v>85.2</v>
      </c>
      <c r="DK21" s="88">
        <v>28.5</v>
      </c>
      <c r="DL21" s="88">
        <v>23.4</v>
      </c>
      <c r="DM21" s="88">
        <v>22</v>
      </c>
      <c r="DN21" s="88">
        <v>21.39633660737988</v>
      </c>
      <c r="DO21" s="88">
        <v>29.9</v>
      </c>
      <c r="DP21" s="88">
        <v>29.5</v>
      </c>
      <c r="DQ21" s="88">
        <v>34.9</v>
      </c>
      <c r="DR21" s="88">
        <v>39.1</v>
      </c>
      <c r="DS21" s="88">
        <v>43.230016313213703</v>
      </c>
      <c r="DT21" s="88">
        <v>35.945072697899839</v>
      </c>
      <c r="DU21" s="88">
        <v>36.416605972323381</v>
      </c>
      <c r="DV21" s="88">
        <v>32.251082251082252</v>
      </c>
      <c r="DW21" s="54">
        <v>691</v>
      </c>
      <c r="DX21" s="54">
        <v>7</v>
      </c>
      <c r="DY21" s="51">
        <v>10</v>
      </c>
      <c r="DZ21" s="53">
        <v>7</v>
      </c>
      <c r="EA21" s="53">
        <v>13</v>
      </c>
      <c r="EB21" s="53">
        <v>28</v>
      </c>
      <c r="EC21" s="53">
        <v>17</v>
      </c>
      <c r="ED21" s="51">
        <v>22</v>
      </c>
      <c r="EE21" s="53">
        <v>14</v>
      </c>
      <c r="EF21" s="53">
        <v>2358</v>
      </c>
      <c r="EG21" s="53">
        <v>2560</v>
      </c>
      <c r="EH21" s="53">
        <v>2690</v>
      </c>
      <c r="EI21" s="53">
        <v>2987</v>
      </c>
      <c r="EJ21" s="92">
        <v>627</v>
      </c>
      <c r="EK21" s="92">
        <v>2</v>
      </c>
      <c r="EL21" s="92">
        <v>1</v>
      </c>
      <c r="EM21" s="92">
        <v>0</v>
      </c>
      <c r="EN21" s="92">
        <v>0</v>
      </c>
      <c r="EO21" s="88">
        <v>950.96366738049437</v>
      </c>
      <c r="EP21" s="88">
        <v>940.11193207691292</v>
      </c>
      <c r="EQ21" s="88">
        <v>895.36838251202425</v>
      </c>
      <c r="ER21" s="88">
        <v>941.80477937943215</v>
      </c>
      <c r="ES21" s="88">
        <v>759.6</v>
      </c>
      <c r="ET21" s="88">
        <v>739.4</v>
      </c>
      <c r="EU21" s="88">
        <v>664.5</v>
      </c>
      <c r="EV21" s="88">
        <v>669.3</v>
      </c>
      <c r="EW21" s="88">
        <v>934.26054921838829</v>
      </c>
      <c r="EX21" s="88">
        <v>883.45826685273619</v>
      </c>
      <c r="EY21" s="88">
        <v>794.27105594627426</v>
      </c>
      <c r="EZ21" s="88">
        <v>779.69340459006537</v>
      </c>
      <c r="FA21" s="88">
        <v>622.00634509924316</v>
      </c>
      <c r="FB21" s="88">
        <v>624.2886027572257</v>
      </c>
      <c r="FC21" s="88">
        <v>557.27615083379078</v>
      </c>
      <c r="FD21" s="88">
        <v>570.95104771903937</v>
      </c>
      <c r="FE21" s="51">
        <v>593</v>
      </c>
      <c r="FF21" s="54">
        <v>628</v>
      </c>
      <c r="FG21" s="54">
        <v>701</v>
      </c>
      <c r="FH21" s="54">
        <v>783</v>
      </c>
      <c r="FI21" s="88">
        <v>191.2773</v>
      </c>
      <c r="FJ21" s="88">
        <v>180.3023</v>
      </c>
      <c r="FK21" s="88">
        <v>177.59059999999999</v>
      </c>
      <c r="FL21" s="88">
        <v>176.0711</v>
      </c>
      <c r="FM21" s="54">
        <v>716</v>
      </c>
      <c r="FN21" s="54">
        <v>705</v>
      </c>
      <c r="FO21" s="51">
        <v>573</v>
      </c>
      <c r="FP21" s="54">
        <v>598</v>
      </c>
      <c r="FQ21" s="88">
        <v>226.54249999999999</v>
      </c>
      <c r="FR21" s="88">
        <v>199.07259999999999</v>
      </c>
      <c r="FS21" s="88">
        <v>136.3389</v>
      </c>
      <c r="FT21" s="88">
        <v>130.08459999999999</v>
      </c>
      <c r="FU21" s="53">
        <v>202</v>
      </c>
      <c r="FV21" s="53">
        <v>173</v>
      </c>
      <c r="FW21" s="53">
        <v>189</v>
      </c>
      <c r="FX21" s="53">
        <v>149</v>
      </c>
      <c r="FY21" s="88">
        <v>62.762929999999997</v>
      </c>
      <c r="FZ21" s="88">
        <v>47.702730000000003</v>
      </c>
      <c r="GA21" s="88">
        <v>43.460529999999999</v>
      </c>
      <c r="GB21" s="88">
        <v>32.330260000000003</v>
      </c>
      <c r="GC21" s="55">
        <v>93</v>
      </c>
      <c r="GD21" s="56">
        <v>147</v>
      </c>
      <c r="GE21" s="55">
        <v>160</v>
      </c>
      <c r="GF21" s="55">
        <v>145</v>
      </c>
      <c r="GG21" s="91">
        <v>35.038290000000003</v>
      </c>
      <c r="GH21" s="91">
        <v>49.104489999999998</v>
      </c>
      <c r="GI21" s="91">
        <v>43.774050000000003</v>
      </c>
      <c r="GJ21" s="91">
        <v>36.894370000000002</v>
      </c>
      <c r="GK21" s="55"/>
      <c r="GL21" s="55"/>
      <c r="GM21" s="55"/>
      <c r="GN21" s="56"/>
      <c r="GO21" s="55"/>
      <c r="GP21" s="55"/>
      <c r="GQ21" s="55"/>
      <c r="GR21" s="55"/>
      <c r="GS21" s="56"/>
      <c r="GT21" s="55"/>
      <c r="GU21" s="55"/>
      <c r="GV21" s="55"/>
      <c r="GW21" s="55"/>
      <c r="GX21" s="56"/>
      <c r="GY21" s="56"/>
      <c r="GZ21" s="56"/>
      <c r="HA21" s="56"/>
      <c r="HB21" s="56"/>
      <c r="HC21" s="56"/>
      <c r="HD21" s="57"/>
      <c r="HE21" s="57"/>
      <c r="HF21" s="57"/>
      <c r="HG21" s="57"/>
      <c r="HH21" s="57"/>
      <c r="HI21" s="58"/>
      <c r="HJ21" s="58"/>
      <c r="HK21" s="55"/>
      <c r="HL21" s="56"/>
      <c r="HM21" s="56"/>
      <c r="HN21" s="56"/>
      <c r="HO21" s="56"/>
      <c r="HP21" s="56"/>
      <c r="HQ21" s="56"/>
      <c r="HR21" s="56"/>
      <c r="HS21" s="56"/>
      <c r="HT21" s="56"/>
      <c r="HU21" s="38"/>
    </row>
    <row r="22" spans="1:229" x14ac:dyDescent="0.2">
      <c r="A22" s="36">
        <v>19</v>
      </c>
      <c r="B22" s="70" t="s">
        <v>75</v>
      </c>
      <c r="C22" s="77">
        <v>392755</v>
      </c>
      <c r="D22" s="77">
        <v>396500</v>
      </c>
      <c r="E22" s="77">
        <v>398552</v>
      </c>
      <c r="F22" s="77">
        <v>402006</v>
      </c>
      <c r="G22" s="150">
        <v>405088</v>
      </c>
      <c r="H22" s="41">
        <v>352493</v>
      </c>
      <c r="I22" s="41">
        <v>20903</v>
      </c>
      <c r="J22" s="41">
        <v>2101</v>
      </c>
      <c r="K22" s="41">
        <v>19218</v>
      </c>
      <c r="L22" s="41">
        <v>25438</v>
      </c>
      <c r="M22" s="42">
        <v>151450</v>
      </c>
      <c r="N22" s="43">
        <v>152997</v>
      </c>
      <c r="O22" s="43">
        <v>152060</v>
      </c>
      <c r="P22" s="44">
        <v>153098</v>
      </c>
      <c r="Q22" s="44">
        <v>154274</v>
      </c>
      <c r="R22" s="87">
        <v>12.334924103456089</v>
      </c>
      <c r="S22" s="87">
        <v>12.859236740676401</v>
      </c>
      <c r="T22" s="87">
        <v>14.631511254019292</v>
      </c>
      <c r="U22" s="87">
        <v>15.295550160042581</v>
      </c>
      <c r="V22" s="87">
        <v>16.354112519492983</v>
      </c>
      <c r="W22" s="87">
        <v>31.18335757247992</v>
      </c>
      <c r="X22" s="87">
        <v>30.636411342127644</v>
      </c>
      <c r="Y22" s="87">
        <v>31.82765273311897</v>
      </c>
      <c r="Z22" s="87">
        <v>31.260435578304204</v>
      </c>
      <c r="AA22" s="42">
        <v>30.897604135238588</v>
      </c>
      <c r="AB22" s="87">
        <v>43.518281675936009</v>
      </c>
      <c r="AC22" s="87">
        <v>43.495648082804045</v>
      </c>
      <c r="AD22" s="87">
        <v>46.459163987138261</v>
      </c>
      <c r="AE22" s="87">
        <v>46.555985738346784</v>
      </c>
      <c r="AF22" s="87">
        <v>47.251716654731567</v>
      </c>
      <c r="AG22" s="44">
        <v>4.8557399562102423</v>
      </c>
      <c r="AH22" s="44">
        <v>7.4878166476109325</v>
      </c>
      <c r="AI22" s="44">
        <v>7.0375793915552514</v>
      </c>
      <c r="AJ22" s="43">
        <v>6.1483047732707217</v>
      </c>
      <c r="AK22" s="43">
        <v>5.2507911324187528</v>
      </c>
      <c r="AL22" s="47">
        <v>5285.416666666667</v>
      </c>
      <c r="AM22" s="47">
        <v>6792.5</v>
      </c>
      <c r="AN22" s="47">
        <v>5285.416666666667</v>
      </c>
      <c r="AO22" s="47">
        <v>10084.75</v>
      </c>
      <c r="AP22" s="47">
        <v>10980.416666666666</v>
      </c>
      <c r="AQ22" s="47">
        <v>49669.986384956523</v>
      </c>
      <c r="AR22" s="47">
        <v>47362.594483629895</v>
      </c>
      <c r="AS22" s="47">
        <v>47441.289460427302</v>
      </c>
      <c r="AT22" s="47">
        <v>49542.614836282679</v>
      </c>
      <c r="AU22" s="47">
        <v>49846.899932854096</v>
      </c>
      <c r="AV22" s="84">
        <v>76766.347747930398</v>
      </c>
      <c r="AW22" s="85">
        <v>74706.627996119205</v>
      </c>
      <c r="AX22" s="85">
        <v>73376.211974474165</v>
      </c>
      <c r="AY22" s="85">
        <v>71513.454091050211</v>
      </c>
      <c r="AZ22" s="85">
        <v>71574</v>
      </c>
      <c r="BA22" s="83">
        <v>4.6157545495009238</v>
      </c>
      <c r="BB22" s="83">
        <v>6.1099378078864568</v>
      </c>
      <c r="BC22" s="83">
        <v>6.974855205537505</v>
      </c>
      <c r="BD22" s="83">
        <v>7.005925933347025</v>
      </c>
      <c r="BE22" s="83">
        <v>7.5480745341614908</v>
      </c>
      <c r="BF22" s="83">
        <v>5.4724577919551853</v>
      </c>
      <c r="BG22" s="46">
        <v>7.7474920672461023</v>
      </c>
      <c r="BH22" s="46">
        <v>9.0353339228728515</v>
      </c>
      <c r="BI22" s="46">
        <v>9.1641509983401441</v>
      </c>
      <c r="BJ22" s="46">
        <v>9.9016585938646706</v>
      </c>
      <c r="BK22" s="42">
        <v>74125</v>
      </c>
      <c r="BL22" s="42">
        <v>73792</v>
      </c>
      <c r="BM22" s="40">
        <v>73193</v>
      </c>
      <c r="BN22" s="40">
        <v>73222</v>
      </c>
      <c r="BO22" s="43">
        <v>22.727824620573355</v>
      </c>
      <c r="BP22" s="43">
        <v>24.738454032957502</v>
      </c>
      <c r="BQ22" s="44">
        <v>24.505075621985711</v>
      </c>
      <c r="BR22" s="44">
        <v>26.711917183360192</v>
      </c>
      <c r="BS22" s="87">
        <v>6.5416526138279929</v>
      </c>
      <c r="BT22" s="87">
        <v>6.534583694709454</v>
      </c>
      <c r="BU22" s="87">
        <v>6.2191739647234021</v>
      </c>
      <c r="BV22" s="87">
        <v>6.5321897790281609</v>
      </c>
      <c r="BW22" s="43">
        <v>14.68195615514334</v>
      </c>
      <c r="BX22" s="43">
        <v>14.80241760624458</v>
      </c>
      <c r="BY22" s="43">
        <v>14.847048214993237</v>
      </c>
      <c r="BZ22" s="43">
        <v>14.938133347900903</v>
      </c>
      <c r="CA22" s="42">
        <v>81.846456048453106</v>
      </c>
      <c r="CB22" s="42">
        <v>82.911178655859501</v>
      </c>
      <c r="CC22" s="42">
        <v>83.45</v>
      </c>
      <c r="CD22" s="44">
        <v>83.34</v>
      </c>
      <c r="CE22" s="43">
        <v>3.5193976100834834</v>
      </c>
      <c r="CF22" s="43">
        <v>3.3096926713947989</v>
      </c>
      <c r="CG22" s="43">
        <v>3.44</v>
      </c>
      <c r="CH22" s="44">
        <v>3.57</v>
      </c>
      <c r="CI22" s="49">
        <v>25857</v>
      </c>
      <c r="CJ22" s="49">
        <v>26471</v>
      </c>
      <c r="CK22" s="54">
        <v>27621</v>
      </c>
      <c r="CL22" s="54">
        <v>26563</v>
      </c>
      <c r="CM22" s="88">
        <v>16.2</v>
      </c>
      <c r="CN22" s="88">
        <v>14.9</v>
      </c>
      <c r="CO22" s="88">
        <v>14.4</v>
      </c>
      <c r="CP22" s="88">
        <v>13.3</v>
      </c>
      <c r="CQ22" s="53">
        <v>1012</v>
      </c>
      <c r="CR22" s="53">
        <v>1002</v>
      </c>
      <c r="CS22" s="53">
        <v>1151</v>
      </c>
      <c r="CT22" s="53">
        <v>1123</v>
      </c>
      <c r="CU22" s="88">
        <v>4</v>
      </c>
      <c r="CV22" s="88">
        <v>3.9</v>
      </c>
      <c r="CW22" s="88">
        <v>4.3</v>
      </c>
      <c r="CX22" s="88">
        <v>4.4000000000000004</v>
      </c>
      <c r="CY22" s="54">
        <v>1512</v>
      </c>
      <c r="CZ22" s="53">
        <v>1592</v>
      </c>
      <c r="DA22" s="53">
        <v>1798</v>
      </c>
      <c r="DB22" s="53">
        <v>1761</v>
      </c>
      <c r="DC22" s="88">
        <v>6.6</v>
      </c>
      <c r="DD22" s="88">
        <v>7</v>
      </c>
      <c r="DE22" s="88">
        <v>7.6</v>
      </c>
      <c r="DF22" s="88">
        <v>7.4</v>
      </c>
      <c r="DG22" s="88">
        <v>87</v>
      </c>
      <c r="DH22" s="88">
        <v>87.8</v>
      </c>
      <c r="DI22" s="88">
        <v>89</v>
      </c>
      <c r="DJ22" s="88">
        <v>86</v>
      </c>
      <c r="DK22" s="88">
        <v>8.4</v>
      </c>
      <c r="DL22" s="88">
        <v>6.8</v>
      </c>
      <c r="DM22" s="88">
        <v>5.4</v>
      </c>
      <c r="DN22" s="88">
        <v>6.7574847995074272</v>
      </c>
      <c r="DO22" s="88">
        <v>16.5</v>
      </c>
      <c r="DP22" s="88">
        <v>18.8</v>
      </c>
      <c r="DQ22" s="88">
        <v>23.6</v>
      </c>
      <c r="DR22" s="88">
        <v>27.7</v>
      </c>
      <c r="DS22" s="88">
        <v>24.447788366865446</v>
      </c>
      <c r="DT22" s="88">
        <v>20.246866931166949</v>
      </c>
      <c r="DU22" s="88">
        <v>19.47541080944676</v>
      </c>
      <c r="DV22" s="88">
        <v>15.604054644314912</v>
      </c>
      <c r="DW22" s="54">
        <v>4050</v>
      </c>
      <c r="DX22" s="54">
        <v>518</v>
      </c>
      <c r="DY22" s="51">
        <v>22</v>
      </c>
      <c r="DZ22" s="53">
        <v>379</v>
      </c>
      <c r="EA22" s="53">
        <v>483</v>
      </c>
      <c r="EB22" s="53">
        <v>122</v>
      </c>
      <c r="EC22" s="53">
        <v>116</v>
      </c>
      <c r="ED22" s="51">
        <v>138</v>
      </c>
      <c r="EE22" s="53">
        <v>88</v>
      </c>
      <c r="EF22" s="53">
        <v>7071</v>
      </c>
      <c r="EG22" s="53">
        <v>8081</v>
      </c>
      <c r="EH22" s="53">
        <v>9284</v>
      </c>
      <c r="EI22" s="53">
        <v>10484</v>
      </c>
      <c r="EJ22" s="92">
        <v>2111</v>
      </c>
      <c r="EK22" s="92">
        <v>50</v>
      </c>
      <c r="EL22" s="92">
        <v>4</v>
      </c>
      <c r="EM22" s="92">
        <v>33</v>
      </c>
      <c r="EN22" s="92">
        <v>38</v>
      </c>
      <c r="EO22" s="88">
        <v>444.29141143420486</v>
      </c>
      <c r="EP22" s="88">
        <v>453.89849434438321</v>
      </c>
      <c r="EQ22" s="88">
        <v>484.94598942771779</v>
      </c>
      <c r="ER22" s="88">
        <v>520.12406490574676</v>
      </c>
      <c r="ES22" s="88">
        <v>827.4</v>
      </c>
      <c r="ET22" s="88">
        <v>727.9</v>
      </c>
      <c r="EU22" s="88">
        <v>699.9</v>
      </c>
      <c r="EV22" s="88">
        <v>631.9</v>
      </c>
      <c r="EW22" s="88">
        <v>1032.2924082467866</v>
      </c>
      <c r="EX22" s="88">
        <v>858.34610546137583</v>
      </c>
      <c r="EY22" s="88">
        <v>793.01865469090899</v>
      </c>
      <c r="EZ22" s="88">
        <v>728.46279981191697</v>
      </c>
      <c r="FA22" s="88">
        <v>697.73507803473024</v>
      </c>
      <c r="FB22" s="88">
        <v>635.54847157927702</v>
      </c>
      <c r="FC22" s="88">
        <v>628.69670498954667</v>
      </c>
      <c r="FD22" s="88">
        <v>555.7126845875232</v>
      </c>
      <c r="FE22" s="51">
        <v>1876</v>
      </c>
      <c r="FF22" s="54">
        <v>2167</v>
      </c>
      <c r="FG22" s="54">
        <v>2546</v>
      </c>
      <c r="FH22" s="54">
        <v>2761</v>
      </c>
      <c r="FI22" s="88">
        <v>206.13249999999999</v>
      </c>
      <c r="FJ22" s="88">
        <v>184.5341</v>
      </c>
      <c r="FK22" s="88">
        <v>181.08090000000001</v>
      </c>
      <c r="FL22" s="88">
        <v>159.0917</v>
      </c>
      <c r="FM22" s="54">
        <v>1752</v>
      </c>
      <c r="FN22" s="54">
        <v>1665</v>
      </c>
      <c r="FO22" s="51">
        <v>1686</v>
      </c>
      <c r="FP22" s="54">
        <v>1728</v>
      </c>
      <c r="FQ22" s="88">
        <v>219.69309999999999</v>
      </c>
      <c r="FR22" s="88">
        <v>157.8614</v>
      </c>
      <c r="FS22" s="88">
        <v>132.87090000000001</v>
      </c>
      <c r="FT22" s="88">
        <v>106.8785</v>
      </c>
      <c r="FU22" s="53">
        <v>533</v>
      </c>
      <c r="FV22" s="53">
        <v>584</v>
      </c>
      <c r="FW22" s="53">
        <v>581</v>
      </c>
      <c r="FX22" s="53">
        <v>510</v>
      </c>
      <c r="FY22" s="88">
        <v>71.347499999999997</v>
      </c>
      <c r="FZ22" s="88">
        <v>57.990690000000001</v>
      </c>
      <c r="GA22" s="88">
        <v>47.269640000000003</v>
      </c>
      <c r="GB22" s="88">
        <v>32.31082</v>
      </c>
      <c r="GC22" s="55">
        <v>311</v>
      </c>
      <c r="GD22" s="56">
        <v>396</v>
      </c>
      <c r="GE22" s="55">
        <v>458</v>
      </c>
      <c r="GF22" s="55">
        <v>661</v>
      </c>
      <c r="GG22" s="91">
        <v>26.295839999999998</v>
      </c>
      <c r="GH22" s="91">
        <v>29.654610000000002</v>
      </c>
      <c r="GI22" s="91">
        <v>30.349920000000001</v>
      </c>
      <c r="GJ22" s="91">
        <v>37.550409999999999</v>
      </c>
      <c r="GK22" s="55"/>
      <c r="GL22" s="55"/>
      <c r="GM22" s="55"/>
      <c r="GN22" s="56"/>
      <c r="GO22" s="55"/>
      <c r="GP22" s="55"/>
      <c r="GQ22" s="55"/>
      <c r="GR22" s="55"/>
      <c r="GS22" s="56"/>
      <c r="GT22" s="55"/>
      <c r="GU22" s="55"/>
      <c r="GV22" s="55"/>
      <c r="GW22" s="55"/>
      <c r="GX22" s="56"/>
      <c r="GY22" s="56"/>
      <c r="GZ22" s="56"/>
      <c r="HA22" s="56"/>
      <c r="HB22" s="56"/>
      <c r="HC22" s="56"/>
      <c r="HD22" s="57"/>
      <c r="HE22" s="57"/>
      <c r="HF22" s="57"/>
      <c r="HG22" s="57"/>
      <c r="HH22" s="57"/>
      <c r="HI22" s="58"/>
      <c r="HJ22" s="58"/>
      <c r="HK22" s="55"/>
      <c r="HL22" s="56"/>
      <c r="HM22" s="56"/>
      <c r="HN22" s="56"/>
      <c r="HO22" s="56"/>
      <c r="HP22" s="56"/>
      <c r="HQ22" s="56"/>
      <c r="HR22" s="56"/>
      <c r="HS22" s="56"/>
      <c r="HT22" s="56"/>
      <c r="HU22" s="38"/>
    </row>
    <row r="23" spans="1:229" x14ac:dyDescent="0.2">
      <c r="A23" s="36">
        <v>20</v>
      </c>
      <c r="B23" s="70" t="s">
        <v>76</v>
      </c>
      <c r="C23" s="77">
        <v>19751</v>
      </c>
      <c r="D23" s="77">
        <v>19772</v>
      </c>
      <c r="E23" s="77">
        <v>20087</v>
      </c>
      <c r="F23" s="77">
        <v>20243</v>
      </c>
      <c r="G23" s="150">
        <v>20231</v>
      </c>
      <c r="H23" s="41">
        <v>19729</v>
      </c>
      <c r="I23" s="41">
        <v>101</v>
      </c>
      <c r="J23" s="41">
        <v>68</v>
      </c>
      <c r="K23" s="41">
        <v>109</v>
      </c>
      <c r="L23" s="41">
        <v>923</v>
      </c>
      <c r="M23" s="42">
        <v>7415</v>
      </c>
      <c r="N23" s="43">
        <v>7424</v>
      </c>
      <c r="O23" s="43">
        <v>7460</v>
      </c>
      <c r="P23" s="44">
        <v>7528</v>
      </c>
      <c r="Q23" s="44">
        <v>7536</v>
      </c>
      <c r="R23" s="87">
        <v>18.340242591739599</v>
      </c>
      <c r="S23" s="87">
        <v>18.95250078641082</v>
      </c>
      <c r="T23" s="87">
        <v>19.202248068066506</v>
      </c>
      <c r="U23" s="87">
        <v>19.950433705080545</v>
      </c>
      <c r="V23" s="87">
        <v>19.814743342338865</v>
      </c>
      <c r="W23" s="87">
        <v>33.287271610624906</v>
      </c>
      <c r="X23" s="87">
        <v>36.536646744259201</v>
      </c>
      <c r="Y23" s="87">
        <v>37.592693778783861</v>
      </c>
      <c r="Z23" s="87">
        <v>36.826208178438662</v>
      </c>
      <c r="AA23" s="42">
        <v>36.34890003859514</v>
      </c>
      <c r="AB23" s="87">
        <v>51.627514202364502</v>
      </c>
      <c r="AC23" s="87">
        <v>55.489147530670024</v>
      </c>
      <c r="AD23" s="87">
        <v>56.794941846850364</v>
      </c>
      <c r="AE23" s="87">
        <v>56.776641883519204</v>
      </c>
      <c r="AF23" s="87">
        <v>56.163643380934005</v>
      </c>
      <c r="AG23" s="44">
        <v>5.1515698303861424</v>
      </c>
      <c r="AH23" s="44">
        <v>7.6778355133488621</v>
      </c>
      <c r="AI23" s="44">
        <v>6.9357436907105781</v>
      </c>
      <c r="AJ23" s="43">
        <v>6.0659651604916442</v>
      </c>
      <c r="AK23" s="43">
        <v>5.2837225823639109</v>
      </c>
      <c r="AL23" s="47">
        <v>295.41666666666669</v>
      </c>
      <c r="AM23" s="47">
        <v>391.75</v>
      </c>
      <c r="AN23" s="47">
        <v>295.41666666666669</v>
      </c>
      <c r="AO23" s="47">
        <v>602.58333333333337</v>
      </c>
      <c r="AP23" s="47">
        <v>620.83333333333337</v>
      </c>
      <c r="AQ23" s="47">
        <v>39998.741258260794</v>
      </c>
      <c r="AR23" s="47">
        <v>38927.753465810543</v>
      </c>
      <c r="AS23" s="47">
        <v>38342.37654698659</v>
      </c>
      <c r="AT23" s="47">
        <v>40085.621513568723</v>
      </c>
      <c r="AU23" s="47">
        <v>41383.520340072166</v>
      </c>
      <c r="AV23" s="84">
        <v>64385.710734074317</v>
      </c>
      <c r="AW23" s="85">
        <v>70052.37949446289</v>
      </c>
      <c r="AX23" s="85">
        <v>63594.54211391187</v>
      </c>
      <c r="AY23" s="85">
        <v>66776.44306632191</v>
      </c>
      <c r="AZ23" s="85">
        <v>65548</v>
      </c>
      <c r="BA23" s="83">
        <v>6.6844098679496362</v>
      </c>
      <c r="BB23" s="83">
        <v>7.0719476000409376</v>
      </c>
      <c r="BC23" s="83">
        <v>6.8609775641025639</v>
      </c>
      <c r="BD23" s="83">
        <v>7.3880336770786625</v>
      </c>
      <c r="BE23" s="83">
        <v>8.0069755854509221</v>
      </c>
      <c r="BF23" s="83">
        <v>7.7899596076168498</v>
      </c>
      <c r="BG23" s="46">
        <v>8.9916272297051325</v>
      </c>
      <c r="BH23" s="46">
        <v>9.0199479618386817</v>
      </c>
      <c r="BI23" s="46">
        <v>10.116320056397603</v>
      </c>
      <c r="BJ23" s="46">
        <v>10.557132718239886</v>
      </c>
      <c r="BK23" s="42">
        <v>4011</v>
      </c>
      <c r="BL23" s="42">
        <v>4091</v>
      </c>
      <c r="BM23" s="40">
        <v>4116</v>
      </c>
      <c r="BN23" s="40">
        <v>4055</v>
      </c>
      <c r="BO23" s="43">
        <v>25.031164298180006</v>
      </c>
      <c r="BP23" s="43">
        <v>26.032754827670495</v>
      </c>
      <c r="BQ23" s="44">
        <v>27.06511175898931</v>
      </c>
      <c r="BR23" s="44">
        <v>26.880394574599261</v>
      </c>
      <c r="BS23" s="87">
        <v>3.1662926950885066</v>
      </c>
      <c r="BT23" s="87">
        <v>4.0576876069420678</v>
      </c>
      <c r="BU23" s="87">
        <v>3.6686103012633624</v>
      </c>
      <c r="BV23" s="87">
        <v>3.5265104808877927</v>
      </c>
      <c r="BW23" s="43">
        <v>9.723261032161556</v>
      </c>
      <c r="BX23" s="43">
        <v>10.144219017355169</v>
      </c>
      <c r="BY23" s="43">
        <v>11.175898931000972</v>
      </c>
      <c r="BZ23" s="43">
        <v>11.713933415536374</v>
      </c>
      <c r="CA23" s="42">
        <v>90.109890109890117</v>
      </c>
      <c r="CB23" s="42">
        <v>91.503267973856211</v>
      </c>
      <c r="CC23" s="42">
        <v>91.73</v>
      </c>
      <c r="CD23" s="44">
        <v>92.08</v>
      </c>
      <c r="CE23" s="43">
        <v>1.8315018315018314</v>
      </c>
      <c r="CF23" s="43">
        <v>1.3071895424836601</v>
      </c>
      <c r="CG23" s="43">
        <v>0.72</v>
      </c>
      <c r="CH23" s="44">
        <v>1.51</v>
      </c>
      <c r="CI23" s="49">
        <v>1155</v>
      </c>
      <c r="CJ23" s="49">
        <v>1285</v>
      </c>
      <c r="CK23" s="54">
        <v>1431</v>
      </c>
      <c r="CL23" s="54">
        <v>1338</v>
      </c>
      <c r="CM23" s="88">
        <v>13.8</v>
      </c>
      <c r="CN23" s="88">
        <v>14.4</v>
      </c>
      <c r="CO23" s="88">
        <v>14.7</v>
      </c>
      <c r="CP23" s="88">
        <v>13.4</v>
      </c>
      <c r="CQ23" s="53">
        <v>41</v>
      </c>
      <c r="CR23" s="53">
        <v>59</v>
      </c>
      <c r="CS23" s="53">
        <v>56</v>
      </c>
      <c r="CT23" s="53">
        <v>58</v>
      </c>
      <c r="CU23" s="88">
        <v>3.7</v>
      </c>
      <c r="CV23" s="88">
        <v>4.8</v>
      </c>
      <c r="CW23" s="88">
        <v>4.0999999999999996</v>
      </c>
      <c r="CX23" s="88">
        <v>4.5</v>
      </c>
      <c r="CY23" s="51">
        <v>68</v>
      </c>
      <c r="CZ23" s="53">
        <v>102</v>
      </c>
      <c r="DA23" s="53">
        <v>103</v>
      </c>
      <c r="DB23" s="53">
        <v>105</v>
      </c>
      <c r="DC23" s="88">
        <v>6.7</v>
      </c>
      <c r="DD23" s="88">
        <v>9.3000000000000007</v>
      </c>
      <c r="DE23" s="88">
        <v>7.8</v>
      </c>
      <c r="DF23" s="88">
        <v>8.4</v>
      </c>
      <c r="DG23" s="88">
        <v>86.3</v>
      </c>
      <c r="DH23" s="88">
        <v>88.6</v>
      </c>
      <c r="DI23" s="88">
        <v>92.5</v>
      </c>
      <c r="DJ23" s="88">
        <v>90.8</v>
      </c>
      <c r="DK23" s="88">
        <v>15.6</v>
      </c>
      <c r="DL23" s="88">
        <v>11.5</v>
      </c>
      <c r="DM23" s="88">
        <v>9.5</v>
      </c>
      <c r="DN23" s="88">
        <v>10.471204188481675</v>
      </c>
      <c r="DO23" s="88">
        <v>20.2</v>
      </c>
      <c r="DP23" s="88">
        <v>21.4</v>
      </c>
      <c r="DQ23" s="88">
        <v>23.7</v>
      </c>
      <c r="DR23" s="88">
        <v>29.8</v>
      </c>
      <c r="DS23" s="88">
        <v>27.629513343799058</v>
      </c>
      <c r="DT23" s="88">
        <v>28.749660970979114</v>
      </c>
      <c r="DU23" s="88">
        <v>24.356869184455391</v>
      </c>
      <c r="DV23" s="88">
        <v>21.138669673055244</v>
      </c>
      <c r="DW23" s="54">
        <v>227</v>
      </c>
      <c r="DX23" s="54">
        <v>2</v>
      </c>
      <c r="DY23" s="51">
        <v>1</v>
      </c>
      <c r="DZ23" s="53">
        <v>1</v>
      </c>
      <c r="EA23" s="53">
        <v>13</v>
      </c>
      <c r="EB23" s="53">
        <v>3</v>
      </c>
      <c r="EC23" s="53">
        <v>10</v>
      </c>
      <c r="ED23" s="51">
        <v>9</v>
      </c>
      <c r="EE23" s="53">
        <v>6</v>
      </c>
      <c r="EF23" s="53">
        <v>645</v>
      </c>
      <c r="EG23" s="53">
        <v>636</v>
      </c>
      <c r="EH23" s="53">
        <v>610</v>
      </c>
      <c r="EI23" s="53">
        <v>671</v>
      </c>
      <c r="EJ23" s="92">
        <v>146</v>
      </c>
      <c r="EK23" s="92">
        <v>0</v>
      </c>
      <c r="EL23" s="92">
        <v>0</v>
      </c>
      <c r="EM23" s="92">
        <v>0</v>
      </c>
      <c r="EN23" s="92">
        <v>1</v>
      </c>
      <c r="EO23" s="88">
        <v>771.27277945185824</v>
      </c>
      <c r="EP23" s="88">
        <v>714.02108383011682</v>
      </c>
      <c r="EQ23" s="88">
        <v>627.55264755203029</v>
      </c>
      <c r="ER23" s="88">
        <v>657.45807922056781</v>
      </c>
      <c r="ES23" s="88">
        <v>717.3</v>
      </c>
      <c r="ET23" s="88">
        <v>694</v>
      </c>
      <c r="EU23" s="88">
        <v>611.4</v>
      </c>
      <c r="EV23" s="88">
        <v>622.4</v>
      </c>
      <c r="EW23" s="88">
        <v>907.97080727976731</v>
      </c>
      <c r="EX23" s="88">
        <v>833.93759013773138</v>
      </c>
      <c r="EY23" s="88">
        <v>739.03425574562209</v>
      </c>
      <c r="EZ23" s="88">
        <v>733.00453120697216</v>
      </c>
      <c r="FA23" s="88">
        <v>574.47296236853242</v>
      </c>
      <c r="FB23" s="88">
        <v>588.15255113483954</v>
      </c>
      <c r="FC23" s="88">
        <v>493.58451290088834</v>
      </c>
      <c r="FD23" s="88">
        <v>529.54218605872006</v>
      </c>
      <c r="FE23" s="51">
        <v>132</v>
      </c>
      <c r="FF23" s="54">
        <v>129</v>
      </c>
      <c r="FG23" s="54">
        <v>147</v>
      </c>
      <c r="FH23" s="54">
        <v>164</v>
      </c>
      <c r="FI23" s="88">
        <v>157.7312</v>
      </c>
      <c r="FJ23" s="88">
        <v>148.35740000000001</v>
      </c>
      <c r="FK23" s="88">
        <v>153.11429999999999</v>
      </c>
      <c r="FL23" s="88">
        <v>158.715</v>
      </c>
      <c r="FM23" s="54">
        <v>196</v>
      </c>
      <c r="FN23" s="54">
        <v>192</v>
      </c>
      <c r="FO23" s="51">
        <v>154</v>
      </c>
      <c r="FP23" s="54">
        <v>161</v>
      </c>
      <c r="FQ23" s="88">
        <v>214.47409999999999</v>
      </c>
      <c r="FR23" s="88">
        <v>206.4264</v>
      </c>
      <c r="FS23" s="88">
        <v>149.75800000000001</v>
      </c>
      <c r="FT23" s="88">
        <v>147.31530000000001</v>
      </c>
      <c r="FU23" s="53">
        <v>50</v>
      </c>
      <c r="FV23" s="53">
        <v>44</v>
      </c>
      <c r="FW23" s="53">
        <v>32</v>
      </c>
      <c r="FX23" s="53">
        <v>31</v>
      </c>
      <c r="FY23" s="88">
        <v>50.964399999999998</v>
      </c>
      <c r="FZ23" s="88">
        <v>46.989429999999999</v>
      </c>
      <c r="GA23" s="88">
        <v>29.97138</v>
      </c>
      <c r="GB23" s="88">
        <v>27.817710000000002</v>
      </c>
      <c r="GC23" s="55">
        <v>39</v>
      </c>
      <c r="GD23" s="56">
        <v>51</v>
      </c>
      <c r="GE23" s="55">
        <v>40</v>
      </c>
      <c r="GF23" s="55">
        <v>32</v>
      </c>
      <c r="GG23" s="91">
        <v>45.997839999999997</v>
      </c>
      <c r="GH23" s="91">
        <v>56.246070000000003</v>
      </c>
      <c r="GI23" s="91">
        <v>41.15269</v>
      </c>
      <c r="GJ23" s="91">
        <v>29.513200000000001</v>
      </c>
      <c r="GK23" s="55"/>
      <c r="GL23" s="55"/>
      <c r="GM23" s="55"/>
      <c r="GN23" s="56"/>
      <c r="GO23" s="55"/>
      <c r="GP23" s="55"/>
      <c r="GQ23" s="55"/>
      <c r="GR23" s="55"/>
      <c r="GS23" s="56"/>
      <c r="GT23" s="55"/>
      <c r="GU23" s="55"/>
      <c r="GV23" s="55"/>
      <c r="GW23" s="55"/>
      <c r="GX23" s="56"/>
      <c r="GY23" s="56"/>
      <c r="GZ23" s="56"/>
      <c r="HA23" s="56"/>
      <c r="HB23" s="56"/>
      <c r="HC23" s="56"/>
      <c r="HD23" s="57"/>
      <c r="HE23" s="57"/>
      <c r="HF23" s="57"/>
      <c r="HG23" s="57"/>
      <c r="HH23" s="57"/>
      <c r="HI23" s="58"/>
      <c r="HJ23" s="58"/>
      <c r="HK23" s="55"/>
      <c r="HL23" s="56"/>
      <c r="HM23" s="56"/>
      <c r="HN23" s="56"/>
      <c r="HO23" s="56"/>
      <c r="HP23" s="56"/>
      <c r="HQ23" s="56"/>
      <c r="HR23" s="56"/>
      <c r="HS23" s="56"/>
      <c r="HT23" s="56"/>
      <c r="HU23" s="38"/>
    </row>
    <row r="24" spans="1:229" x14ac:dyDescent="0.2">
      <c r="A24" s="36">
        <v>21</v>
      </c>
      <c r="B24" s="70" t="s">
        <v>77</v>
      </c>
      <c r="C24" s="77">
        <v>36258</v>
      </c>
      <c r="D24" s="77">
        <v>36390</v>
      </c>
      <c r="E24" s="77">
        <v>36009</v>
      </c>
      <c r="F24" s="77">
        <v>36172</v>
      </c>
      <c r="G24" s="150">
        <v>36415</v>
      </c>
      <c r="H24" s="41">
        <v>35580</v>
      </c>
      <c r="I24" s="41">
        <v>191</v>
      </c>
      <c r="J24" s="41">
        <v>126</v>
      </c>
      <c r="K24" s="41">
        <v>186</v>
      </c>
      <c r="L24" s="41">
        <v>450</v>
      </c>
      <c r="M24" s="42">
        <v>15540</v>
      </c>
      <c r="N24" s="43">
        <v>15702</v>
      </c>
      <c r="O24" s="43">
        <v>15289</v>
      </c>
      <c r="P24" s="44">
        <v>15498</v>
      </c>
      <c r="Q24" s="44">
        <v>15586</v>
      </c>
      <c r="R24" s="87">
        <v>30.041898838063151</v>
      </c>
      <c r="S24" s="87">
        <v>31.237171928905191</v>
      </c>
      <c r="T24" s="87">
        <v>31.503186416506974</v>
      </c>
      <c r="U24" s="87">
        <v>32.167148255167817</v>
      </c>
      <c r="V24" s="87">
        <v>33.655904388155548</v>
      </c>
      <c r="W24" s="87">
        <v>26.573366161288931</v>
      </c>
      <c r="X24" s="87">
        <v>27.678064544303243</v>
      </c>
      <c r="Y24" s="87">
        <v>28.971879317260129</v>
      </c>
      <c r="Z24" s="87">
        <v>28.633029562124918</v>
      </c>
      <c r="AA24" s="42">
        <v>28.737067427755974</v>
      </c>
      <c r="AB24" s="87">
        <v>56.615264999352078</v>
      </c>
      <c r="AC24" s="87">
        <v>58.915236473208438</v>
      </c>
      <c r="AD24" s="87">
        <v>60.475065733767103</v>
      </c>
      <c r="AE24" s="87">
        <v>60.800177817292735</v>
      </c>
      <c r="AF24" s="87">
        <v>62.392971815911523</v>
      </c>
      <c r="AG24" s="44">
        <v>4.9207591469379768</v>
      </c>
      <c r="AH24" s="44">
        <v>6.9122874435584594</v>
      </c>
      <c r="AI24" s="44">
        <v>6.5559482883842541</v>
      </c>
      <c r="AJ24" s="43">
        <v>6.0107141101882338</v>
      </c>
      <c r="AK24" s="43">
        <v>4.8157294832826745</v>
      </c>
      <c r="AL24" s="47">
        <v>739.83333333333337</v>
      </c>
      <c r="AM24" s="47">
        <v>937.58333333333337</v>
      </c>
      <c r="AN24" s="47">
        <v>739.83333333333337</v>
      </c>
      <c r="AO24" s="47">
        <v>1424.9166666666667</v>
      </c>
      <c r="AP24" s="47">
        <v>1465.9166666666667</v>
      </c>
      <c r="AQ24" s="47">
        <v>39359.376280499986</v>
      </c>
      <c r="AR24" s="47">
        <v>38076.107352286897</v>
      </c>
      <c r="AS24" s="47">
        <v>38901.093512389416</v>
      </c>
      <c r="AT24" s="47">
        <v>39390.094905998209</v>
      </c>
      <c r="AU24" s="47">
        <v>41026.582452286144</v>
      </c>
      <c r="AV24" s="84">
        <v>51412.16810611797</v>
      </c>
      <c r="AW24" s="85">
        <v>46909.559570729194</v>
      </c>
      <c r="AX24" s="85">
        <v>50997.351778953067</v>
      </c>
      <c r="AY24" s="85">
        <v>50178.021759678573</v>
      </c>
      <c r="AZ24" s="85">
        <v>53096</v>
      </c>
      <c r="BA24" s="83">
        <v>8.7092977638289533</v>
      </c>
      <c r="BB24" s="83">
        <v>11.167909718148552</v>
      </c>
      <c r="BC24" s="83">
        <v>9.6341120180129476</v>
      </c>
      <c r="BD24" s="83">
        <v>10.834803550925537</v>
      </c>
      <c r="BE24" s="83">
        <v>9.6738314378666956</v>
      </c>
      <c r="BF24" s="83">
        <v>10.696348581512149</v>
      </c>
      <c r="BG24" s="46">
        <v>12.682215743440233</v>
      </c>
      <c r="BH24" s="46">
        <v>12.778564987762463</v>
      </c>
      <c r="BI24" s="46">
        <v>13.738269030239833</v>
      </c>
      <c r="BJ24" s="46">
        <v>13.186525101586053</v>
      </c>
      <c r="BK24" s="42">
        <v>5290</v>
      </c>
      <c r="BL24" s="42">
        <v>5282</v>
      </c>
      <c r="BM24" s="40">
        <v>5333</v>
      </c>
      <c r="BN24" s="40">
        <v>5391</v>
      </c>
      <c r="BO24" s="43">
        <v>33.232514177693758</v>
      </c>
      <c r="BP24" s="43">
        <v>34.948882998864065</v>
      </c>
      <c r="BQ24" s="44">
        <v>35.083442715169696</v>
      </c>
      <c r="BR24" s="44">
        <v>34.279354479688372</v>
      </c>
      <c r="BS24" s="87">
        <v>0.1323251417769376</v>
      </c>
      <c r="BT24" s="87">
        <v>0.2082544490723211</v>
      </c>
      <c r="BU24" s="87">
        <v>0.15000937558597413</v>
      </c>
      <c r="BV24" s="87">
        <v>0.11129660545353366</v>
      </c>
      <c r="BW24" s="43">
        <v>16.956521739130434</v>
      </c>
      <c r="BX24" s="43">
        <v>16.84967815221507</v>
      </c>
      <c r="BY24" s="43">
        <v>16.969810613163322</v>
      </c>
      <c r="BZ24" s="43">
        <v>16.805787423483583</v>
      </c>
      <c r="CA24" s="42">
        <v>79.175257731958766</v>
      </c>
      <c r="CB24" s="42">
        <v>80.430107526881727</v>
      </c>
      <c r="CC24" s="42">
        <v>80.989999999999995</v>
      </c>
      <c r="CD24" s="44">
        <v>79.92</v>
      </c>
      <c r="CE24" s="43">
        <v>4.9484536082474229</v>
      </c>
      <c r="CF24" s="43">
        <v>6.021505376344086</v>
      </c>
      <c r="CG24" s="43">
        <v>5.62</v>
      </c>
      <c r="CH24" s="44">
        <v>5.5</v>
      </c>
      <c r="CI24" s="49">
        <v>1693</v>
      </c>
      <c r="CJ24" s="49">
        <v>1814</v>
      </c>
      <c r="CK24" s="54">
        <v>2055</v>
      </c>
      <c r="CL24" s="54">
        <v>2043</v>
      </c>
      <c r="CM24" s="88">
        <v>11.2</v>
      </c>
      <c r="CN24" s="88">
        <v>11.2</v>
      </c>
      <c r="CO24" s="88">
        <v>11.7</v>
      </c>
      <c r="CP24" s="88">
        <v>11.3</v>
      </c>
      <c r="CQ24" s="53">
        <v>56</v>
      </c>
      <c r="CR24" s="53">
        <v>67</v>
      </c>
      <c r="CS24" s="53">
        <v>78</v>
      </c>
      <c r="CT24" s="53">
        <v>88</v>
      </c>
      <c r="CU24" s="88">
        <v>3.4</v>
      </c>
      <c r="CV24" s="88">
        <v>3.8</v>
      </c>
      <c r="CW24" s="88">
        <v>3.9</v>
      </c>
      <c r="CX24" s="88">
        <v>4.5</v>
      </c>
      <c r="CY24" s="51">
        <v>96</v>
      </c>
      <c r="CZ24" s="53">
        <v>108</v>
      </c>
      <c r="DA24" s="53">
        <v>171</v>
      </c>
      <c r="DB24" s="53">
        <v>149</v>
      </c>
      <c r="DC24" s="88">
        <v>5.9</v>
      </c>
      <c r="DD24" s="88">
        <v>6.2</v>
      </c>
      <c r="DE24" s="88">
        <v>8.6999999999999993</v>
      </c>
      <c r="DF24" s="88">
        <v>7.7</v>
      </c>
      <c r="DG24" s="88">
        <v>86</v>
      </c>
      <c r="DH24" s="88">
        <v>89.5</v>
      </c>
      <c r="DI24" s="88">
        <v>89.6</v>
      </c>
      <c r="DJ24" s="88">
        <v>92.4</v>
      </c>
      <c r="DK24" s="88">
        <v>17.3</v>
      </c>
      <c r="DL24" s="88">
        <v>16.7</v>
      </c>
      <c r="DM24" s="88">
        <v>14.6</v>
      </c>
      <c r="DN24" s="88">
        <v>14.894659480646741</v>
      </c>
      <c r="DO24" s="88">
        <v>21</v>
      </c>
      <c r="DP24" s="88">
        <v>22.7</v>
      </c>
      <c r="DQ24" s="88">
        <v>27.5</v>
      </c>
      <c r="DR24" s="88">
        <v>28.6</v>
      </c>
      <c r="DS24" s="88">
        <v>30.951471150171951</v>
      </c>
      <c r="DT24" s="88">
        <v>28.295493053202303</v>
      </c>
      <c r="DU24" s="88">
        <v>21.872740419378164</v>
      </c>
      <c r="DV24" s="88">
        <v>17.312610662994295</v>
      </c>
      <c r="DW24" s="54">
        <v>395</v>
      </c>
      <c r="DX24" s="54">
        <v>2</v>
      </c>
      <c r="DY24" s="51">
        <v>0</v>
      </c>
      <c r="DZ24" s="53">
        <v>3</v>
      </c>
      <c r="EA24" s="53">
        <v>6</v>
      </c>
      <c r="EB24" s="53">
        <v>8</v>
      </c>
      <c r="EC24" s="53">
        <v>4</v>
      </c>
      <c r="ED24" s="51">
        <v>13</v>
      </c>
      <c r="EE24" s="53">
        <v>10</v>
      </c>
      <c r="EF24" s="53">
        <v>1624</v>
      </c>
      <c r="EG24" s="53">
        <v>1686</v>
      </c>
      <c r="EH24" s="53">
        <v>1622</v>
      </c>
      <c r="EI24" s="53">
        <v>1856</v>
      </c>
      <c r="EJ24" s="92">
        <v>407</v>
      </c>
      <c r="EK24" s="92">
        <v>0</v>
      </c>
      <c r="EL24" s="92">
        <v>0</v>
      </c>
      <c r="EM24" s="92">
        <v>1</v>
      </c>
      <c r="EN24" s="92">
        <v>0</v>
      </c>
      <c r="EO24" s="88">
        <v>1075.6961555785178</v>
      </c>
      <c r="EP24" s="88">
        <v>1041.5508358352793</v>
      </c>
      <c r="EQ24" s="88">
        <v>924.61165740344882</v>
      </c>
      <c r="ER24" s="88">
        <v>999.79976385944803</v>
      </c>
      <c r="ES24" s="88">
        <v>758.8</v>
      </c>
      <c r="ET24" s="88">
        <v>710.6</v>
      </c>
      <c r="EU24" s="88">
        <v>603.6</v>
      </c>
      <c r="EV24" s="88">
        <v>637.6</v>
      </c>
      <c r="EW24" s="88">
        <v>956.20686414142529</v>
      </c>
      <c r="EX24" s="88">
        <v>833.02625968180064</v>
      </c>
      <c r="EY24" s="88">
        <v>726.7671726364365</v>
      </c>
      <c r="EZ24" s="88">
        <v>731.70026319928968</v>
      </c>
      <c r="FA24" s="88">
        <v>596.40980000905824</v>
      </c>
      <c r="FB24" s="88">
        <v>609.36238142772117</v>
      </c>
      <c r="FC24" s="88">
        <v>505.28445436515699</v>
      </c>
      <c r="FD24" s="88">
        <v>559.10532790872139</v>
      </c>
      <c r="FE24" s="51">
        <v>379</v>
      </c>
      <c r="FF24" s="54">
        <v>377</v>
      </c>
      <c r="FG24" s="54">
        <v>391</v>
      </c>
      <c r="FH24" s="54">
        <v>451</v>
      </c>
      <c r="FI24" s="88">
        <v>189.03980000000001</v>
      </c>
      <c r="FJ24" s="88">
        <v>169.56639999999999</v>
      </c>
      <c r="FK24" s="88">
        <v>161.71170000000001</v>
      </c>
      <c r="FL24" s="88">
        <v>163.87880000000001</v>
      </c>
      <c r="FM24" s="54">
        <v>511</v>
      </c>
      <c r="FN24" s="54">
        <v>529</v>
      </c>
      <c r="FO24" s="51">
        <v>437</v>
      </c>
      <c r="FP24" s="54">
        <v>427</v>
      </c>
      <c r="FQ24" s="88">
        <v>229.2723</v>
      </c>
      <c r="FR24" s="88">
        <v>215.09729999999999</v>
      </c>
      <c r="FS24" s="88">
        <v>150.27809999999999</v>
      </c>
      <c r="FT24" s="88">
        <v>140.72069999999999</v>
      </c>
      <c r="FU24" s="53">
        <v>161</v>
      </c>
      <c r="FV24" s="53">
        <v>136</v>
      </c>
      <c r="FW24" s="53">
        <v>121</v>
      </c>
      <c r="FX24" s="53">
        <v>126</v>
      </c>
      <c r="FY24" s="88">
        <v>67.871870000000001</v>
      </c>
      <c r="FZ24" s="88">
        <v>54.10239</v>
      </c>
      <c r="GA24" s="88">
        <v>41.842840000000002</v>
      </c>
      <c r="GB24" s="88">
        <v>38.176769999999998</v>
      </c>
      <c r="GC24" s="55">
        <v>64</v>
      </c>
      <c r="GD24" s="56">
        <v>60</v>
      </c>
      <c r="GE24" s="55">
        <v>64</v>
      </c>
      <c r="GF24" s="55">
        <v>75</v>
      </c>
      <c r="GG24" s="91">
        <v>36.903930000000003</v>
      </c>
      <c r="GH24" s="91">
        <v>30.647819999999999</v>
      </c>
      <c r="GI24" s="91">
        <v>28.58989</v>
      </c>
      <c r="GJ24" s="91">
        <v>31.886579999999999</v>
      </c>
      <c r="GK24" s="55"/>
      <c r="GL24" s="55"/>
      <c r="GM24" s="55"/>
      <c r="GN24" s="56"/>
      <c r="GO24" s="55"/>
      <c r="GP24" s="55"/>
      <c r="GQ24" s="55"/>
      <c r="GR24" s="55"/>
      <c r="GS24" s="56"/>
      <c r="GT24" s="55"/>
      <c r="GU24" s="55"/>
      <c r="GV24" s="55"/>
      <c r="GW24" s="55"/>
      <c r="GX24" s="56"/>
      <c r="GY24" s="56"/>
      <c r="GZ24" s="56"/>
      <c r="HA24" s="56"/>
      <c r="HB24" s="56"/>
      <c r="HC24" s="56"/>
      <c r="HD24" s="57"/>
      <c r="HE24" s="57"/>
      <c r="HF24" s="57"/>
      <c r="HG24" s="57"/>
      <c r="HH24" s="57"/>
      <c r="HI24" s="58"/>
      <c r="HJ24" s="58"/>
      <c r="HK24" s="55"/>
      <c r="HL24" s="56"/>
      <c r="HM24" s="56"/>
      <c r="HN24" s="56"/>
      <c r="HO24" s="56"/>
      <c r="HP24" s="56"/>
      <c r="HQ24" s="56"/>
      <c r="HR24" s="56"/>
      <c r="HS24" s="56"/>
      <c r="HT24" s="56"/>
      <c r="HU24" s="38"/>
    </row>
    <row r="25" spans="1:229" ht="21" customHeight="1" x14ac:dyDescent="0.2">
      <c r="A25" s="36">
        <v>22</v>
      </c>
      <c r="B25" s="70" t="s">
        <v>78</v>
      </c>
      <c r="C25" s="77">
        <v>14624</v>
      </c>
      <c r="D25" s="77">
        <v>14506</v>
      </c>
      <c r="E25" s="77">
        <v>14553</v>
      </c>
      <c r="F25" s="77">
        <v>14508</v>
      </c>
      <c r="G25" s="150">
        <v>14263</v>
      </c>
      <c r="H25" s="41">
        <v>13959</v>
      </c>
      <c r="I25" s="41">
        <v>64</v>
      </c>
      <c r="J25" s="41">
        <v>75</v>
      </c>
      <c r="K25" s="41">
        <v>48</v>
      </c>
      <c r="L25" s="41">
        <v>845</v>
      </c>
      <c r="M25" s="42">
        <v>6344</v>
      </c>
      <c r="N25" s="43">
        <v>6287</v>
      </c>
      <c r="O25" s="43">
        <v>6236</v>
      </c>
      <c r="P25" s="44">
        <v>6246</v>
      </c>
      <c r="Q25" s="44">
        <v>6184</v>
      </c>
      <c r="R25" s="87">
        <v>34.507817661308081</v>
      </c>
      <c r="S25" s="87">
        <v>35.995886184436067</v>
      </c>
      <c r="T25" s="87">
        <v>36.116791638264033</v>
      </c>
      <c r="U25" s="87">
        <v>36.002284408909198</v>
      </c>
      <c r="V25" s="87">
        <v>37.14753714753715</v>
      </c>
      <c r="W25" s="87">
        <v>26.51398370402995</v>
      </c>
      <c r="X25" s="87">
        <v>29.768026511255858</v>
      </c>
      <c r="Y25" s="87">
        <v>29.220631674619405</v>
      </c>
      <c r="Z25" s="87">
        <v>29.708737864077669</v>
      </c>
      <c r="AA25" s="42">
        <v>29.72972972972973</v>
      </c>
      <c r="AB25" s="87">
        <v>61.021801365338028</v>
      </c>
      <c r="AC25" s="87">
        <v>65.763912695691914</v>
      </c>
      <c r="AD25" s="87">
        <v>65.337423312883431</v>
      </c>
      <c r="AE25" s="87">
        <v>65.711022272986867</v>
      </c>
      <c r="AF25" s="87">
        <v>66.877266877266877</v>
      </c>
      <c r="AG25" s="44">
        <v>6.1825192802056552</v>
      </c>
      <c r="AH25" s="44">
        <v>9.5348837209302317</v>
      </c>
      <c r="AI25" s="44">
        <v>7.9332996462860033</v>
      </c>
      <c r="AJ25" s="43">
        <v>7.0453981642272385</v>
      </c>
      <c r="AK25" s="43">
        <v>6.0119979134063639</v>
      </c>
      <c r="AL25" s="47">
        <v>310.16666666666669</v>
      </c>
      <c r="AM25" s="47">
        <v>415.83333333333331</v>
      </c>
      <c r="AN25" s="47">
        <v>310.16666666666669</v>
      </c>
      <c r="AO25" s="47">
        <v>630.16666666666663</v>
      </c>
      <c r="AP25" s="47">
        <v>630.83333333333337</v>
      </c>
      <c r="AQ25" s="47">
        <v>48417.842044533441</v>
      </c>
      <c r="AR25" s="47">
        <v>48218.001209192364</v>
      </c>
      <c r="AS25" s="47">
        <v>43863.86988975959</v>
      </c>
      <c r="AT25" s="47">
        <v>49167.930327649781</v>
      </c>
      <c r="AU25" s="47">
        <v>55768.281567692633</v>
      </c>
      <c r="AV25" s="84">
        <v>45988.574664905907</v>
      </c>
      <c r="AW25" s="85">
        <v>46790.768680022404</v>
      </c>
      <c r="AX25" s="85">
        <v>47007.820336362056</v>
      </c>
      <c r="AY25" s="85">
        <v>44468.29547820257</v>
      </c>
      <c r="AZ25" s="85">
        <v>42833</v>
      </c>
      <c r="BA25" s="83">
        <v>10.699675553674707</v>
      </c>
      <c r="BB25" s="83">
        <v>13.222317107884999</v>
      </c>
      <c r="BC25" s="83">
        <v>10.756183745583039</v>
      </c>
      <c r="BD25" s="83">
        <v>13.586533701110405</v>
      </c>
      <c r="BE25" s="83">
        <v>13.776978417266188</v>
      </c>
      <c r="BF25" s="83">
        <v>14.802411252511721</v>
      </c>
      <c r="BG25" s="46">
        <v>18.500797448165869</v>
      </c>
      <c r="BH25" s="46">
        <v>18.397915988277433</v>
      </c>
      <c r="BI25" s="46">
        <v>20.860495436766623</v>
      </c>
      <c r="BJ25" s="46">
        <v>21.32890365448505</v>
      </c>
      <c r="BK25" s="42">
        <v>1930</v>
      </c>
      <c r="BL25" s="42">
        <v>1896</v>
      </c>
      <c r="BM25" s="40">
        <v>1849</v>
      </c>
      <c r="BN25" s="40">
        <v>1862</v>
      </c>
      <c r="BO25" s="43">
        <v>45.233160621761655</v>
      </c>
      <c r="BP25" s="43">
        <v>47.573839662447256</v>
      </c>
      <c r="BQ25" s="44">
        <v>45.916711736073552</v>
      </c>
      <c r="BR25" s="44">
        <v>46.562835660580021</v>
      </c>
      <c r="BS25" s="87">
        <v>4.5077720207253886</v>
      </c>
      <c r="BT25" s="87">
        <v>3.428270042194093</v>
      </c>
      <c r="BU25" s="87">
        <v>3.5154137371552192</v>
      </c>
      <c r="BV25" s="87">
        <v>2.9001074113856067</v>
      </c>
      <c r="BW25" s="43">
        <v>16.269430051813472</v>
      </c>
      <c r="BX25" s="43">
        <v>16.40295358649789</v>
      </c>
      <c r="BY25" s="43">
        <v>15.575987020010817</v>
      </c>
      <c r="BZ25" s="43">
        <v>15.735767991407089</v>
      </c>
      <c r="CA25" s="42">
        <v>78.804347826086953</v>
      </c>
      <c r="CB25" s="42">
        <v>80.213903743315512</v>
      </c>
      <c r="CC25" s="42">
        <v>72.459999999999994</v>
      </c>
      <c r="CD25" s="44">
        <v>76.569999999999993</v>
      </c>
      <c r="CE25" s="43">
        <v>5.4347826086956523</v>
      </c>
      <c r="CF25" s="43">
        <v>3.2085561497326203</v>
      </c>
      <c r="CG25" s="43">
        <v>5.99</v>
      </c>
      <c r="CH25" s="44">
        <v>5.14</v>
      </c>
      <c r="CI25" s="49">
        <v>812</v>
      </c>
      <c r="CJ25" s="49">
        <v>772</v>
      </c>
      <c r="CK25" s="51">
        <v>828</v>
      </c>
      <c r="CL25" s="51">
        <v>753</v>
      </c>
      <c r="CM25" s="88">
        <v>9.8000000000000007</v>
      </c>
      <c r="CN25" s="88">
        <v>9.6</v>
      </c>
      <c r="CO25" s="88">
        <v>10.7</v>
      </c>
      <c r="CP25" s="88">
        <v>10.4</v>
      </c>
      <c r="CQ25" s="53">
        <v>33</v>
      </c>
      <c r="CR25" s="53">
        <v>32</v>
      </c>
      <c r="CS25" s="53">
        <v>34</v>
      </c>
      <c r="CT25" s="53">
        <v>34</v>
      </c>
      <c r="CU25" s="88">
        <v>4.2</v>
      </c>
      <c r="CV25" s="88">
        <v>4.3</v>
      </c>
      <c r="CW25" s="88">
        <v>4.3</v>
      </c>
      <c r="CX25" s="88">
        <v>4.7</v>
      </c>
      <c r="CY25" s="51">
        <v>58</v>
      </c>
      <c r="CZ25" s="53">
        <v>51</v>
      </c>
      <c r="DA25" s="53">
        <v>55</v>
      </c>
      <c r="DB25" s="53">
        <v>59</v>
      </c>
      <c r="DC25" s="88">
        <v>7.9</v>
      </c>
      <c r="DD25" s="88">
        <v>7.4</v>
      </c>
      <c r="DE25" s="88">
        <v>7.8</v>
      </c>
      <c r="DF25" s="88">
        <v>8.5</v>
      </c>
      <c r="DG25" s="88">
        <v>85.1</v>
      </c>
      <c r="DH25" s="88">
        <v>86.4</v>
      </c>
      <c r="DI25" s="88">
        <v>90.8</v>
      </c>
      <c r="DJ25" s="88">
        <v>90.2</v>
      </c>
      <c r="DK25" s="88">
        <v>14.4</v>
      </c>
      <c r="DL25" s="88">
        <v>14.7</v>
      </c>
      <c r="DM25" s="88">
        <v>13.6</v>
      </c>
      <c r="DN25" s="88">
        <v>16.888297872340427</v>
      </c>
      <c r="DO25" s="88">
        <v>23.3</v>
      </c>
      <c r="DP25" s="88">
        <v>30.3</v>
      </c>
      <c r="DQ25" s="88">
        <v>34.4</v>
      </c>
      <c r="DR25" s="88">
        <v>39.5</v>
      </c>
      <c r="DS25" s="88">
        <v>37.218813905930467</v>
      </c>
      <c r="DT25" s="88">
        <v>29.835029835029836</v>
      </c>
      <c r="DU25" s="88">
        <v>30.663089306247606</v>
      </c>
      <c r="DV25" s="88">
        <v>26.769509981851179</v>
      </c>
      <c r="DW25" s="54">
        <v>132</v>
      </c>
      <c r="DX25" s="54">
        <v>1</v>
      </c>
      <c r="DY25" s="51">
        <v>2</v>
      </c>
      <c r="DZ25" s="53">
        <v>1</v>
      </c>
      <c r="EA25" s="53">
        <v>13</v>
      </c>
      <c r="EB25" s="53">
        <v>9</v>
      </c>
      <c r="EC25" s="53">
        <v>5</v>
      </c>
      <c r="ED25" s="51">
        <v>3</v>
      </c>
      <c r="EE25" s="53">
        <v>3</v>
      </c>
      <c r="EF25" s="53">
        <v>1080</v>
      </c>
      <c r="EG25" s="53">
        <v>1082</v>
      </c>
      <c r="EH25" s="53">
        <v>995</v>
      </c>
      <c r="EI25" s="53">
        <v>951</v>
      </c>
      <c r="EJ25" s="92">
        <v>196</v>
      </c>
      <c r="EK25" s="92">
        <v>1</v>
      </c>
      <c r="EL25" s="92">
        <v>0</v>
      </c>
      <c r="EM25" s="92">
        <v>0</v>
      </c>
      <c r="EN25" s="92">
        <v>3</v>
      </c>
      <c r="EO25" s="88">
        <v>1309.5988747150409</v>
      </c>
      <c r="EP25" s="88">
        <v>1342.9149445830385</v>
      </c>
      <c r="EQ25" s="88">
        <v>1291.5871594169037</v>
      </c>
      <c r="ER25" s="88">
        <v>1292.2960595281056</v>
      </c>
      <c r="ES25" s="88">
        <v>787.5</v>
      </c>
      <c r="ET25" s="88">
        <v>724.4</v>
      </c>
      <c r="EU25" s="88">
        <v>683.6</v>
      </c>
      <c r="EV25" s="88">
        <v>694</v>
      </c>
      <c r="EW25" s="88">
        <v>1013.1976221966947</v>
      </c>
      <c r="EX25" s="88">
        <v>893.80547017070171</v>
      </c>
      <c r="EY25" s="88">
        <v>859.21729370098046</v>
      </c>
      <c r="EZ25" s="88">
        <v>880.97204501796341</v>
      </c>
      <c r="FA25" s="88">
        <v>625.73909206009284</v>
      </c>
      <c r="FB25" s="88">
        <v>596.87702311209375</v>
      </c>
      <c r="FC25" s="88">
        <v>546.14878271590317</v>
      </c>
      <c r="FD25" s="88">
        <v>538.87865519492743</v>
      </c>
      <c r="FE25" s="51">
        <v>234</v>
      </c>
      <c r="FF25" s="54">
        <v>210</v>
      </c>
      <c r="FG25" s="54">
        <v>219</v>
      </c>
      <c r="FH25" s="54">
        <v>194</v>
      </c>
      <c r="FI25" s="88">
        <v>178.834</v>
      </c>
      <c r="FJ25" s="88">
        <v>155.75280000000001</v>
      </c>
      <c r="FK25" s="88">
        <v>167.8434</v>
      </c>
      <c r="FL25" s="88">
        <v>157.3509</v>
      </c>
      <c r="FM25" s="54">
        <v>326</v>
      </c>
      <c r="FN25" s="54">
        <v>361</v>
      </c>
      <c r="FO25" s="51">
        <v>296</v>
      </c>
      <c r="FP25" s="54">
        <v>224</v>
      </c>
      <c r="FQ25" s="88">
        <v>227.084</v>
      </c>
      <c r="FR25" s="88">
        <v>236.49299999999999</v>
      </c>
      <c r="FS25" s="88">
        <v>190.09710000000001</v>
      </c>
      <c r="FT25" s="88">
        <v>150.70400000000001</v>
      </c>
      <c r="FU25" s="53">
        <v>84</v>
      </c>
      <c r="FV25" s="53">
        <v>84</v>
      </c>
      <c r="FW25" s="53">
        <v>74</v>
      </c>
      <c r="FX25" s="53">
        <v>55</v>
      </c>
      <c r="FY25" s="88">
        <v>56.757510000000003</v>
      </c>
      <c r="FZ25" s="88">
        <v>49.20299</v>
      </c>
      <c r="GA25" s="88">
        <v>45.844259999999998</v>
      </c>
      <c r="GB25" s="88">
        <v>34.019190000000002</v>
      </c>
      <c r="GC25" s="55">
        <v>38</v>
      </c>
      <c r="GD25" s="56">
        <v>43</v>
      </c>
      <c r="GE25" s="55">
        <v>36</v>
      </c>
      <c r="GF25" s="55">
        <v>42</v>
      </c>
      <c r="GG25" s="91">
        <v>36.685029999999998</v>
      </c>
      <c r="GH25" s="91">
        <v>36.702390000000001</v>
      </c>
      <c r="GI25" s="91">
        <v>33.67118</v>
      </c>
      <c r="GJ25" s="91">
        <v>39.341459999999998</v>
      </c>
      <c r="GK25" s="55"/>
      <c r="GL25" s="55"/>
      <c r="GM25" s="55"/>
      <c r="GN25" s="56"/>
      <c r="GO25" s="55"/>
      <c r="GP25" s="55"/>
      <c r="GQ25" s="55"/>
      <c r="GR25" s="55"/>
      <c r="GS25" s="56"/>
      <c r="GT25" s="55"/>
      <c r="GU25" s="55"/>
      <c r="GV25" s="55"/>
      <c r="GW25" s="55"/>
      <c r="GX25" s="56"/>
      <c r="GY25" s="56"/>
      <c r="GZ25" s="56"/>
      <c r="HA25" s="56"/>
      <c r="HB25" s="56"/>
      <c r="HC25" s="56"/>
      <c r="HD25" s="57"/>
      <c r="HE25" s="57"/>
      <c r="HF25" s="57"/>
      <c r="HG25" s="57"/>
      <c r="HH25" s="57"/>
      <c r="HI25" s="58"/>
      <c r="HJ25" s="58"/>
      <c r="HK25" s="55"/>
      <c r="HL25" s="56"/>
      <c r="HM25" s="56"/>
      <c r="HN25" s="56"/>
      <c r="HO25" s="56"/>
      <c r="HP25" s="56"/>
      <c r="HQ25" s="56"/>
      <c r="HR25" s="56"/>
      <c r="HS25" s="56"/>
      <c r="HT25" s="56"/>
      <c r="HU25" s="38"/>
    </row>
    <row r="26" spans="1:229" x14ac:dyDescent="0.2">
      <c r="A26" s="36">
        <v>23</v>
      </c>
      <c r="B26" s="70" t="s">
        <v>79</v>
      </c>
      <c r="C26" s="77">
        <v>20850</v>
      </c>
      <c r="D26" s="77">
        <v>20838</v>
      </c>
      <c r="E26" s="77">
        <v>20866</v>
      </c>
      <c r="F26" s="77">
        <v>20876</v>
      </c>
      <c r="G26" s="150">
        <v>20834</v>
      </c>
      <c r="H26" s="41">
        <v>20504</v>
      </c>
      <c r="I26" s="41">
        <v>65</v>
      </c>
      <c r="J26" s="41">
        <v>31</v>
      </c>
      <c r="K26" s="41">
        <v>82</v>
      </c>
      <c r="L26" s="41">
        <v>214</v>
      </c>
      <c r="M26" s="42">
        <v>8518</v>
      </c>
      <c r="N26" s="43">
        <v>8528</v>
      </c>
      <c r="O26" s="43">
        <v>8545</v>
      </c>
      <c r="P26" s="44">
        <v>8580</v>
      </c>
      <c r="Q26" s="44">
        <v>8584</v>
      </c>
      <c r="R26" s="87">
        <v>29.242124486379545</v>
      </c>
      <c r="S26" s="87">
        <v>30.1010101010101</v>
      </c>
      <c r="T26" s="87">
        <v>31.513432600646027</v>
      </c>
      <c r="U26" s="87">
        <v>32.103233928711937</v>
      </c>
      <c r="V26" s="87">
        <v>32.569169960474305</v>
      </c>
      <c r="W26" s="87">
        <v>29.409526708263581</v>
      </c>
      <c r="X26" s="87">
        <v>31.810411810411811</v>
      </c>
      <c r="Y26" s="87">
        <v>32.876388560623965</v>
      </c>
      <c r="Z26" s="87">
        <v>32.158313006530804</v>
      </c>
      <c r="AA26" s="42">
        <v>32.126482213438734</v>
      </c>
      <c r="AB26" s="87">
        <v>58.651651194643129</v>
      </c>
      <c r="AC26" s="87">
        <v>61.911421911421911</v>
      </c>
      <c r="AD26" s="87">
        <v>64.389821161269992</v>
      </c>
      <c r="AE26" s="87">
        <v>64.261546935242748</v>
      </c>
      <c r="AF26" s="87">
        <v>64.695652173913047</v>
      </c>
      <c r="AG26" s="44">
        <v>6.0303333030605755</v>
      </c>
      <c r="AH26" s="44">
        <v>8.4041047416843604</v>
      </c>
      <c r="AI26" s="44">
        <v>7.3719606828763578</v>
      </c>
      <c r="AJ26" s="43">
        <v>6.5791731000171554</v>
      </c>
      <c r="AK26" s="43">
        <v>5.4810038340885328</v>
      </c>
      <c r="AL26" s="47">
        <v>369.41666666666669</v>
      </c>
      <c r="AM26" s="47">
        <v>518.5</v>
      </c>
      <c r="AN26" s="47">
        <v>369.41666666666669</v>
      </c>
      <c r="AO26" s="47">
        <v>727.41666666666663</v>
      </c>
      <c r="AP26" s="47">
        <v>737.33333333333337</v>
      </c>
      <c r="AQ26" s="47">
        <v>35602.137529715445</v>
      </c>
      <c r="AR26" s="47">
        <v>35107.145257047028</v>
      </c>
      <c r="AS26" s="47">
        <v>37600.768261499717</v>
      </c>
      <c r="AT26" s="47">
        <v>39026.13098040146</v>
      </c>
      <c r="AU26" s="47">
        <v>40537.390803494287</v>
      </c>
      <c r="AV26" s="84">
        <v>48304.74551711051</v>
      </c>
      <c r="AW26" s="85">
        <v>50680.902803618796</v>
      </c>
      <c r="AX26" s="85">
        <v>47882.800708173389</v>
      </c>
      <c r="AY26" s="85">
        <v>48218.30162016589</v>
      </c>
      <c r="AZ26" s="85">
        <v>49370</v>
      </c>
      <c r="BA26" s="83">
        <v>10.760147601476016</v>
      </c>
      <c r="BB26" s="83">
        <v>12.709985713581951</v>
      </c>
      <c r="BC26" s="83">
        <v>12.423665054472616</v>
      </c>
      <c r="BD26" s="83">
        <v>12.231058203639558</v>
      </c>
      <c r="BE26" s="83">
        <v>12.441968430826369</v>
      </c>
      <c r="BF26" s="83">
        <v>13.839379324806039</v>
      </c>
      <c r="BG26" s="46">
        <v>17.160120845921451</v>
      </c>
      <c r="BH26" s="46">
        <v>18.630191693290733</v>
      </c>
      <c r="BI26" s="46">
        <v>17.872427144895049</v>
      </c>
      <c r="BJ26" s="46">
        <v>17.851989280560709</v>
      </c>
      <c r="BK26" s="42">
        <v>2561</v>
      </c>
      <c r="BL26" s="42">
        <v>2463</v>
      </c>
      <c r="BM26" s="40">
        <v>2432</v>
      </c>
      <c r="BN26" s="40">
        <v>2435</v>
      </c>
      <c r="BO26" s="43">
        <v>37.797735259664194</v>
      </c>
      <c r="BP26" s="43">
        <v>39.017458384084449</v>
      </c>
      <c r="BQ26" s="44">
        <v>37.45888157894737</v>
      </c>
      <c r="BR26" s="44">
        <v>36.386036960985628</v>
      </c>
      <c r="BS26" s="87">
        <v>0</v>
      </c>
      <c r="BT26" s="87">
        <v>0</v>
      </c>
      <c r="BU26" s="87">
        <v>0</v>
      </c>
      <c r="BV26" s="87">
        <v>0</v>
      </c>
      <c r="BW26" s="43">
        <v>12.377977352596641</v>
      </c>
      <c r="BX26" s="43">
        <v>12.829882257409663</v>
      </c>
      <c r="BY26" s="43">
        <v>11.883223684210526</v>
      </c>
      <c r="BZ26" s="43">
        <v>11.704312114989733</v>
      </c>
      <c r="CA26" s="42">
        <v>90.551181102362207</v>
      </c>
      <c r="CB26" s="42">
        <v>88.340807174887885</v>
      </c>
      <c r="CC26" s="42">
        <v>91</v>
      </c>
      <c r="CD26" s="44">
        <v>92.55</v>
      </c>
      <c r="CE26" s="43">
        <v>2.3622047244094486</v>
      </c>
      <c r="CF26" s="43">
        <v>1.3452914798206279</v>
      </c>
      <c r="CG26" s="43">
        <v>2.5</v>
      </c>
      <c r="CH26" s="44">
        <v>1.6</v>
      </c>
      <c r="CI26" s="49">
        <v>1190</v>
      </c>
      <c r="CJ26" s="49">
        <v>1255</v>
      </c>
      <c r="CK26" s="54">
        <v>1426</v>
      </c>
      <c r="CL26" s="54">
        <v>1279</v>
      </c>
      <c r="CM26" s="88">
        <v>11.5</v>
      </c>
      <c r="CN26" s="88">
        <v>11.9</v>
      </c>
      <c r="CO26" s="88">
        <v>13.4</v>
      </c>
      <c r="CP26" s="88">
        <v>12.3</v>
      </c>
      <c r="CQ26" s="53">
        <v>46</v>
      </c>
      <c r="CR26" s="53">
        <v>61</v>
      </c>
      <c r="CS26" s="53">
        <v>56</v>
      </c>
      <c r="CT26" s="53">
        <v>54</v>
      </c>
      <c r="CU26" s="88">
        <v>4</v>
      </c>
      <c r="CV26" s="88">
        <v>5.0999999999999996</v>
      </c>
      <c r="CW26" s="88">
        <v>4.0999999999999996</v>
      </c>
      <c r="CX26" s="88">
        <v>4.4000000000000004</v>
      </c>
      <c r="CY26" s="51">
        <v>68</v>
      </c>
      <c r="CZ26" s="53">
        <v>77</v>
      </c>
      <c r="DA26" s="53">
        <v>88</v>
      </c>
      <c r="DB26" s="53">
        <v>84</v>
      </c>
      <c r="DC26" s="88">
        <v>7</v>
      </c>
      <c r="DD26" s="88">
        <v>7.8</v>
      </c>
      <c r="DE26" s="88">
        <v>6.8</v>
      </c>
      <c r="DF26" s="88">
        <v>7.2</v>
      </c>
      <c r="DG26" s="88">
        <v>83.1</v>
      </c>
      <c r="DH26" s="88">
        <v>82.4</v>
      </c>
      <c r="DI26" s="88">
        <v>82.6</v>
      </c>
      <c r="DJ26" s="88">
        <v>80</v>
      </c>
      <c r="DK26" s="88">
        <v>13.3</v>
      </c>
      <c r="DL26" s="88">
        <v>12.3</v>
      </c>
      <c r="DM26" s="88">
        <v>9.6</v>
      </c>
      <c r="DN26" s="88">
        <v>11.467522052927025</v>
      </c>
      <c r="DO26" s="88">
        <v>19</v>
      </c>
      <c r="DP26" s="88">
        <v>20.7</v>
      </c>
      <c r="DQ26" s="88">
        <v>22.6</v>
      </c>
      <c r="DR26" s="88">
        <v>24.1</v>
      </c>
      <c r="DS26" s="88">
        <v>27.913669064748202</v>
      </c>
      <c r="DT26" s="88">
        <v>19.812039624079247</v>
      </c>
      <c r="DU26" s="88">
        <v>19.699326075686884</v>
      </c>
      <c r="DV26" s="88">
        <v>16.607354685646502</v>
      </c>
      <c r="DW26" s="54">
        <v>231</v>
      </c>
      <c r="DX26" s="54">
        <v>0</v>
      </c>
      <c r="DY26" s="51">
        <v>1</v>
      </c>
      <c r="DZ26" s="53">
        <v>2</v>
      </c>
      <c r="EA26" s="53">
        <v>1</v>
      </c>
      <c r="EB26" s="53">
        <v>5</v>
      </c>
      <c r="EC26" s="53">
        <v>11</v>
      </c>
      <c r="ED26" s="51">
        <v>8</v>
      </c>
      <c r="EE26" s="53">
        <v>3</v>
      </c>
      <c r="EF26" s="53">
        <v>1294</v>
      </c>
      <c r="EG26" s="53">
        <v>1285</v>
      </c>
      <c r="EH26" s="53">
        <v>1188</v>
      </c>
      <c r="EI26" s="53">
        <v>1128</v>
      </c>
      <c r="EJ26" s="92">
        <v>219</v>
      </c>
      <c r="EK26" s="92">
        <v>0</v>
      </c>
      <c r="EL26" s="92">
        <v>0</v>
      </c>
      <c r="EM26" s="92">
        <v>0</v>
      </c>
      <c r="EN26" s="92">
        <v>2</v>
      </c>
      <c r="EO26" s="88">
        <v>1247.9867292910394</v>
      </c>
      <c r="EP26" s="88">
        <v>1219.9637333738406</v>
      </c>
      <c r="EQ26" s="88">
        <v>1118.7388761759471</v>
      </c>
      <c r="ER26" s="88">
        <v>1084.741699628431</v>
      </c>
      <c r="ES26" s="88">
        <v>757</v>
      </c>
      <c r="ET26" s="88">
        <v>748.8</v>
      </c>
      <c r="EU26" s="88">
        <v>667.8</v>
      </c>
      <c r="EV26" s="88">
        <v>643</v>
      </c>
      <c r="EW26" s="88">
        <v>907.54593344579303</v>
      </c>
      <c r="EX26" s="88">
        <v>948.62394531686198</v>
      </c>
      <c r="EY26" s="88">
        <v>835.37561889574567</v>
      </c>
      <c r="EZ26" s="88">
        <v>813.88038776472672</v>
      </c>
      <c r="FA26" s="88">
        <v>635.35816583762448</v>
      </c>
      <c r="FB26" s="88">
        <v>591.89239701410418</v>
      </c>
      <c r="FC26" s="88">
        <v>528.76773638083114</v>
      </c>
      <c r="FD26" s="88">
        <v>514.05633109552662</v>
      </c>
      <c r="FE26" s="51">
        <v>263</v>
      </c>
      <c r="FF26" s="54">
        <v>261</v>
      </c>
      <c r="FG26" s="54">
        <v>270</v>
      </c>
      <c r="FH26" s="54">
        <v>250</v>
      </c>
      <c r="FI26" s="88">
        <v>168.33920000000001</v>
      </c>
      <c r="FJ26" s="88">
        <v>167.55500000000001</v>
      </c>
      <c r="FK26" s="88">
        <v>171.3184</v>
      </c>
      <c r="FL26" s="88">
        <v>158.3871</v>
      </c>
      <c r="FM26" s="54">
        <v>406</v>
      </c>
      <c r="FN26" s="54">
        <v>358</v>
      </c>
      <c r="FO26" s="51">
        <v>263</v>
      </c>
      <c r="FP26" s="54">
        <v>256</v>
      </c>
      <c r="FQ26" s="88">
        <v>222.46350000000001</v>
      </c>
      <c r="FR26" s="88">
        <v>194.55869999999999</v>
      </c>
      <c r="FS26" s="88">
        <v>140.07990000000001</v>
      </c>
      <c r="FT26" s="88">
        <v>135.78800000000001</v>
      </c>
      <c r="FU26" s="53">
        <v>100</v>
      </c>
      <c r="FV26" s="53">
        <v>83</v>
      </c>
      <c r="FW26" s="53">
        <v>77</v>
      </c>
      <c r="FX26" s="53">
        <v>66</v>
      </c>
      <c r="FY26" s="88">
        <v>55.281269999999999</v>
      </c>
      <c r="FZ26" s="88">
        <v>42.870130000000003</v>
      </c>
      <c r="GA26" s="88">
        <v>38.859400000000001</v>
      </c>
      <c r="GB26" s="88">
        <v>31.966049999999999</v>
      </c>
      <c r="GC26" s="55">
        <v>43</v>
      </c>
      <c r="GD26" s="56">
        <v>70</v>
      </c>
      <c r="GE26" s="55">
        <v>58</v>
      </c>
      <c r="GF26" s="55">
        <v>72</v>
      </c>
      <c r="GG26" s="91">
        <v>37.896929999999998</v>
      </c>
      <c r="GH26" s="91">
        <v>54.198189999999997</v>
      </c>
      <c r="GI26" s="91">
        <v>37.351840000000003</v>
      </c>
      <c r="GJ26" s="91">
        <v>48.67221</v>
      </c>
      <c r="GK26" s="55"/>
      <c r="GL26" s="55"/>
      <c r="GM26" s="55"/>
      <c r="GN26" s="56"/>
      <c r="GO26" s="55"/>
      <c r="GP26" s="55"/>
      <c r="GQ26" s="55"/>
      <c r="GR26" s="55"/>
      <c r="GS26" s="56"/>
      <c r="GT26" s="55"/>
      <c r="GU26" s="55"/>
      <c r="GV26" s="55"/>
      <c r="GW26" s="55"/>
      <c r="GX26" s="56"/>
      <c r="GY26" s="56"/>
      <c r="GZ26" s="56"/>
      <c r="HA26" s="56"/>
      <c r="HB26" s="56"/>
      <c r="HC26" s="56"/>
      <c r="HD26" s="57"/>
      <c r="HE26" s="57"/>
      <c r="HF26" s="57"/>
      <c r="HG26" s="57"/>
      <c r="HH26" s="57"/>
      <c r="HI26" s="58"/>
      <c r="HJ26" s="58"/>
      <c r="HK26" s="55"/>
      <c r="HL26" s="56"/>
      <c r="HM26" s="56"/>
      <c r="HN26" s="56"/>
      <c r="HO26" s="56"/>
      <c r="HP26" s="56"/>
      <c r="HQ26" s="56"/>
      <c r="HR26" s="56"/>
      <c r="HS26" s="56"/>
      <c r="HT26" s="56"/>
      <c r="HU26" s="38"/>
    </row>
    <row r="27" spans="1:229" x14ac:dyDescent="0.2">
      <c r="A27" s="36">
        <v>24</v>
      </c>
      <c r="B27" s="70" t="s">
        <v>80</v>
      </c>
      <c r="C27" s="77">
        <v>30927</v>
      </c>
      <c r="D27" s="77">
        <v>31002</v>
      </c>
      <c r="E27" s="77">
        <v>31255</v>
      </c>
      <c r="F27" s="77">
        <v>31172</v>
      </c>
      <c r="G27" s="150">
        <v>31054</v>
      </c>
      <c r="H27" s="41">
        <v>29943</v>
      </c>
      <c r="I27" s="41">
        <v>321</v>
      </c>
      <c r="J27" s="41">
        <v>114</v>
      </c>
      <c r="K27" s="41">
        <v>333</v>
      </c>
      <c r="L27" s="41">
        <v>2834</v>
      </c>
      <c r="M27" s="42">
        <v>13393</v>
      </c>
      <c r="N27" s="43">
        <v>13374</v>
      </c>
      <c r="O27" s="43">
        <v>13177</v>
      </c>
      <c r="P27" s="44">
        <v>13195</v>
      </c>
      <c r="Q27" s="44">
        <v>13179</v>
      </c>
      <c r="R27" s="87">
        <v>30.726371210959464</v>
      </c>
      <c r="S27" s="87">
        <v>31.419441294711884</v>
      </c>
      <c r="T27" s="87">
        <v>32.746807848022421</v>
      </c>
      <c r="U27" s="87">
        <v>32.918316315899148</v>
      </c>
      <c r="V27" s="87">
        <v>33.911713517219553</v>
      </c>
      <c r="W27" s="87">
        <v>27.36287890405357</v>
      </c>
      <c r="X27" s="87">
        <v>28.368209462941966</v>
      </c>
      <c r="Y27" s="87">
        <v>29.481988996159036</v>
      </c>
      <c r="Z27" s="87">
        <v>29.469681183579912</v>
      </c>
      <c r="AA27" s="42">
        <v>29.866568218975793</v>
      </c>
      <c r="AB27" s="87">
        <v>58.089250115013037</v>
      </c>
      <c r="AC27" s="87">
        <v>59.78765075765385</v>
      </c>
      <c r="AD27" s="87">
        <v>62.22879684418146</v>
      </c>
      <c r="AE27" s="87">
        <v>62.387997499479056</v>
      </c>
      <c r="AF27" s="87">
        <v>63.778281736195346</v>
      </c>
      <c r="AG27" s="44">
        <v>5.6371503443232376</v>
      </c>
      <c r="AH27" s="44">
        <v>8.7515078407720139</v>
      </c>
      <c r="AI27" s="44">
        <v>7.806046093983837</v>
      </c>
      <c r="AJ27" s="43">
        <v>6.872790460782551</v>
      </c>
      <c r="AK27" s="43">
        <v>5.9148264984227126</v>
      </c>
      <c r="AL27" s="47">
        <v>766.41666666666663</v>
      </c>
      <c r="AM27" s="47">
        <v>978.33333333333337</v>
      </c>
      <c r="AN27" s="47">
        <v>766.41666666666663</v>
      </c>
      <c r="AO27" s="47">
        <v>1370.6666666666667</v>
      </c>
      <c r="AP27" s="47">
        <v>1467.5833333333333</v>
      </c>
      <c r="AQ27" s="47">
        <v>37582.474452956187</v>
      </c>
      <c r="AR27" s="47">
        <v>37554.572967052452</v>
      </c>
      <c r="AS27" s="47">
        <v>38648.480162123982</v>
      </c>
      <c r="AT27" s="47">
        <v>40234.361627154256</v>
      </c>
      <c r="AU27" s="47">
        <v>41515.231532169768</v>
      </c>
      <c r="AV27" s="84">
        <v>49687.836491009853</v>
      </c>
      <c r="AW27" s="85">
        <v>47325.862782305259</v>
      </c>
      <c r="AX27" s="85">
        <v>44486.065835172958</v>
      </c>
      <c r="AY27" s="85">
        <v>45269.53522274291</v>
      </c>
      <c r="AZ27" s="85">
        <v>44988</v>
      </c>
      <c r="BA27" s="83">
        <v>10.868349182323714</v>
      </c>
      <c r="BB27" s="83">
        <v>10.949096880131362</v>
      </c>
      <c r="BC27" s="83">
        <v>12.322414187269343</v>
      </c>
      <c r="BD27" s="83">
        <v>12.404723739736335</v>
      </c>
      <c r="BE27" s="83">
        <v>11.339089327336595</v>
      </c>
      <c r="BF27" s="83">
        <v>13.672176734126371</v>
      </c>
      <c r="BG27" s="46">
        <v>15.571776155717762</v>
      </c>
      <c r="BH27" s="46">
        <v>17.168405365126677</v>
      </c>
      <c r="BI27" s="46">
        <v>17.330917874396135</v>
      </c>
      <c r="BJ27" s="46">
        <v>17.080181543116492</v>
      </c>
      <c r="BK27" s="42">
        <v>4117</v>
      </c>
      <c r="BL27" s="42">
        <v>4049</v>
      </c>
      <c r="BM27" s="40">
        <v>4069</v>
      </c>
      <c r="BN27" s="40">
        <v>4111</v>
      </c>
      <c r="BO27" s="43">
        <v>43.259655088656785</v>
      </c>
      <c r="BP27" s="43">
        <v>45.764386268214373</v>
      </c>
      <c r="BQ27" s="44">
        <v>44.753010567707051</v>
      </c>
      <c r="BR27" s="44">
        <v>48.431038676720995</v>
      </c>
      <c r="BS27" s="87">
        <v>5.392275929074569</v>
      </c>
      <c r="BT27" s="87">
        <v>5.6063225487774755</v>
      </c>
      <c r="BU27" s="87">
        <v>6.463504546571639</v>
      </c>
      <c r="BV27" s="87">
        <v>7.2731695451228413</v>
      </c>
      <c r="BW27" s="43">
        <v>19.431624969638086</v>
      </c>
      <c r="BX27" s="43">
        <v>19.06643615707582</v>
      </c>
      <c r="BY27" s="43">
        <v>19.095600884738264</v>
      </c>
      <c r="BZ27" s="43">
        <v>20.457309657017756</v>
      </c>
      <c r="CA27" s="42">
        <v>77.317073170731703</v>
      </c>
      <c r="CB27" s="42">
        <v>69.747899159663859</v>
      </c>
      <c r="CC27" s="42">
        <v>67.41</v>
      </c>
      <c r="CD27" s="44">
        <v>71.599999999999994</v>
      </c>
      <c r="CE27" s="43">
        <v>9.2682926829268286</v>
      </c>
      <c r="CF27" s="43">
        <v>10.364145658263306</v>
      </c>
      <c r="CG27" s="43">
        <v>6.65</v>
      </c>
      <c r="CH27" s="44">
        <v>9.06</v>
      </c>
      <c r="CI27" s="49">
        <v>1726</v>
      </c>
      <c r="CJ27" s="49">
        <v>1822</v>
      </c>
      <c r="CK27" s="54">
        <v>1876</v>
      </c>
      <c r="CL27" s="54">
        <v>1833</v>
      </c>
      <c r="CM27" s="88">
        <v>10.7</v>
      </c>
      <c r="CN27" s="88">
        <v>11.4</v>
      </c>
      <c r="CO27" s="88">
        <v>11.8</v>
      </c>
      <c r="CP27" s="88">
        <v>11.8</v>
      </c>
      <c r="CQ27" s="53">
        <v>74</v>
      </c>
      <c r="CR27" s="53">
        <v>96</v>
      </c>
      <c r="CS27" s="53">
        <v>81</v>
      </c>
      <c r="CT27" s="53">
        <v>86</v>
      </c>
      <c r="CU27" s="88">
        <v>4.4000000000000004</v>
      </c>
      <c r="CV27" s="88">
        <v>5.4</v>
      </c>
      <c r="CW27" s="88">
        <v>4.5</v>
      </c>
      <c r="CX27" s="88">
        <v>4.8</v>
      </c>
      <c r="CY27" s="51">
        <v>147</v>
      </c>
      <c r="CZ27" s="53">
        <v>124</v>
      </c>
      <c r="DA27" s="53">
        <v>110</v>
      </c>
      <c r="DB27" s="53">
        <v>141</v>
      </c>
      <c r="DC27" s="88">
        <v>9.5</v>
      </c>
      <c r="DD27" s="88">
        <v>8.1</v>
      </c>
      <c r="DE27" s="88">
        <v>7.2</v>
      </c>
      <c r="DF27" s="88">
        <v>8.5</v>
      </c>
      <c r="DG27" s="88">
        <v>82.2</v>
      </c>
      <c r="DH27" s="88">
        <v>84.4</v>
      </c>
      <c r="DI27" s="88">
        <v>88.8</v>
      </c>
      <c r="DJ27" s="88">
        <v>86.6</v>
      </c>
      <c r="DK27" s="88">
        <v>16.2</v>
      </c>
      <c r="DL27" s="88">
        <v>12.9</v>
      </c>
      <c r="DM27" s="88">
        <v>12.2</v>
      </c>
      <c r="DN27" s="88">
        <v>16.539301310043669</v>
      </c>
      <c r="DO27" s="88">
        <v>31.3</v>
      </c>
      <c r="DP27" s="88">
        <v>35.9</v>
      </c>
      <c r="DQ27" s="88">
        <v>41</v>
      </c>
      <c r="DR27" s="88">
        <v>44.9</v>
      </c>
      <c r="DS27" s="88">
        <v>41.424854912947765</v>
      </c>
      <c r="DT27" s="88">
        <v>42.436079545454547</v>
      </c>
      <c r="DU27" s="88">
        <v>43.444680440239431</v>
      </c>
      <c r="DV27" s="88">
        <v>38.444735692442116</v>
      </c>
      <c r="DW27" s="54">
        <v>303</v>
      </c>
      <c r="DX27" s="54">
        <v>11</v>
      </c>
      <c r="DY27" s="51">
        <v>2</v>
      </c>
      <c r="DZ27" s="53">
        <v>5</v>
      </c>
      <c r="EA27" s="53">
        <v>58</v>
      </c>
      <c r="EB27" s="53">
        <v>14</v>
      </c>
      <c r="EC27" s="53">
        <v>12</v>
      </c>
      <c r="ED27" s="51">
        <v>10</v>
      </c>
      <c r="EE27" s="53">
        <v>10</v>
      </c>
      <c r="EF27" s="53">
        <v>1810</v>
      </c>
      <c r="EG27" s="53">
        <v>1873</v>
      </c>
      <c r="EH27" s="53">
        <v>1753</v>
      </c>
      <c r="EI27" s="53">
        <v>1775</v>
      </c>
      <c r="EJ27" s="92">
        <v>336</v>
      </c>
      <c r="EK27" s="92">
        <v>0</v>
      </c>
      <c r="EL27" s="92">
        <v>0</v>
      </c>
      <c r="EM27" s="92">
        <v>0</v>
      </c>
      <c r="EN27" s="92">
        <v>9</v>
      </c>
      <c r="EO27" s="88">
        <v>1126.8482490272374</v>
      </c>
      <c r="EP27" s="88">
        <v>1168.7622851081089</v>
      </c>
      <c r="EQ27" s="88">
        <v>1104.1059135484441</v>
      </c>
      <c r="ER27" s="88">
        <v>1154.7492682299205</v>
      </c>
      <c r="ES27" s="88">
        <v>794.7</v>
      </c>
      <c r="ET27" s="88">
        <v>766.3</v>
      </c>
      <c r="EU27" s="88">
        <v>688.3</v>
      </c>
      <c r="EV27" s="88">
        <v>677.4</v>
      </c>
      <c r="EW27" s="88">
        <v>1044.3590535054823</v>
      </c>
      <c r="EX27" s="88">
        <v>950.06529444206217</v>
      </c>
      <c r="EY27" s="88">
        <v>851.69021793126649</v>
      </c>
      <c r="EZ27" s="88">
        <v>793.20370564332768</v>
      </c>
      <c r="FA27" s="88">
        <v>632.03695641442573</v>
      </c>
      <c r="FB27" s="88">
        <v>630.19097837785682</v>
      </c>
      <c r="FC27" s="88">
        <v>559.00187969856552</v>
      </c>
      <c r="FD27" s="88">
        <v>581.84658368551845</v>
      </c>
      <c r="FE27" s="51">
        <v>397</v>
      </c>
      <c r="FF27" s="54">
        <v>398</v>
      </c>
      <c r="FG27" s="54">
        <v>399</v>
      </c>
      <c r="FH27" s="54">
        <v>419</v>
      </c>
      <c r="FI27" s="88">
        <v>179.2276</v>
      </c>
      <c r="FJ27" s="88">
        <v>173.11449999999999</v>
      </c>
      <c r="FK27" s="88">
        <v>170.22139999999999</v>
      </c>
      <c r="FL27" s="88">
        <v>169.2961</v>
      </c>
      <c r="FM27" s="54">
        <v>474</v>
      </c>
      <c r="FN27" s="54">
        <v>525</v>
      </c>
      <c r="FO27" s="51">
        <v>440</v>
      </c>
      <c r="FP27" s="54">
        <v>408</v>
      </c>
      <c r="FQ27" s="88">
        <v>203.0926</v>
      </c>
      <c r="FR27" s="88">
        <v>207.64850000000001</v>
      </c>
      <c r="FS27" s="88">
        <v>163.60730000000001</v>
      </c>
      <c r="FT27" s="88">
        <v>146.60900000000001</v>
      </c>
      <c r="FU27" s="53">
        <v>169</v>
      </c>
      <c r="FV27" s="53">
        <v>149</v>
      </c>
      <c r="FW27" s="53">
        <v>134</v>
      </c>
      <c r="FX27" s="53">
        <v>97</v>
      </c>
      <c r="FY27" s="88">
        <v>70.319140000000004</v>
      </c>
      <c r="FZ27" s="88">
        <v>57.32788</v>
      </c>
      <c r="GA27" s="88">
        <v>45.108499999999999</v>
      </c>
      <c r="GB27" s="88">
        <v>33.962829999999997</v>
      </c>
      <c r="GC27" s="55">
        <v>56</v>
      </c>
      <c r="GD27" s="56">
        <v>59</v>
      </c>
      <c r="GE27" s="55">
        <v>58</v>
      </c>
      <c r="GF27" s="55">
        <v>96</v>
      </c>
      <c r="GG27" s="91">
        <v>31.57216</v>
      </c>
      <c r="GH27" s="91">
        <v>29.15185</v>
      </c>
      <c r="GI27" s="91">
        <v>32.064970000000002</v>
      </c>
      <c r="GJ27" s="91">
        <v>43.972169999999998</v>
      </c>
      <c r="GK27" s="55"/>
      <c r="GL27" s="55"/>
      <c r="GM27" s="55"/>
      <c r="GN27" s="56"/>
      <c r="GO27" s="55"/>
      <c r="GP27" s="55"/>
      <c r="GQ27" s="55"/>
      <c r="GR27" s="55"/>
      <c r="GS27" s="56"/>
      <c r="GT27" s="55"/>
      <c r="GU27" s="55"/>
      <c r="GV27" s="55"/>
      <c r="GW27" s="55"/>
      <c r="GX27" s="56"/>
      <c r="GY27" s="56"/>
      <c r="GZ27" s="56"/>
      <c r="HA27" s="56"/>
      <c r="HB27" s="56"/>
      <c r="HC27" s="56"/>
      <c r="HD27" s="57"/>
      <c r="HE27" s="57"/>
      <c r="HF27" s="57"/>
      <c r="HG27" s="57"/>
      <c r="HH27" s="57"/>
      <c r="HI27" s="58"/>
      <c r="HJ27" s="58"/>
      <c r="HK27" s="55"/>
      <c r="HL27" s="56"/>
      <c r="HM27" s="56"/>
      <c r="HN27" s="56"/>
      <c r="HO27" s="56"/>
      <c r="HP27" s="56"/>
      <c r="HQ27" s="56"/>
      <c r="HR27" s="56"/>
      <c r="HS27" s="56"/>
      <c r="HT27" s="56"/>
      <c r="HU27" s="38"/>
    </row>
    <row r="28" spans="1:229" x14ac:dyDescent="0.2">
      <c r="A28" s="36">
        <v>25</v>
      </c>
      <c r="B28" s="70" t="s">
        <v>81</v>
      </c>
      <c r="C28" s="77">
        <v>45897</v>
      </c>
      <c r="D28" s="77">
        <v>45836</v>
      </c>
      <c r="E28" s="77">
        <v>46183</v>
      </c>
      <c r="F28" s="77">
        <v>46217</v>
      </c>
      <c r="G28" s="150">
        <v>46336</v>
      </c>
      <c r="H28" s="41">
        <v>44233</v>
      </c>
      <c r="I28" s="41">
        <v>523</v>
      </c>
      <c r="J28" s="41">
        <v>583</v>
      </c>
      <c r="K28" s="41">
        <v>339</v>
      </c>
      <c r="L28" s="41">
        <v>1431</v>
      </c>
      <c r="M28" s="42">
        <v>18419</v>
      </c>
      <c r="N28" s="43">
        <v>18442</v>
      </c>
      <c r="O28" s="43">
        <v>18730</v>
      </c>
      <c r="P28" s="44">
        <v>18803</v>
      </c>
      <c r="Q28" s="44">
        <v>18881</v>
      </c>
      <c r="R28" s="87">
        <v>23.557153222082977</v>
      </c>
      <c r="S28" s="87">
        <v>24.156849545607539</v>
      </c>
      <c r="T28" s="87">
        <v>25.67101615847475</v>
      </c>
      <c r="U28" s="87">
        <v>26.477261183163456</v>
      </c>
      <c r="V28" s="87">
        <v>27.886680530460573</v>
      </c>
      <c r="W28" s="87">
        <v>27.808192071763077</v>
      </c>
      <c r="X28" s="87">
        <v>30.121171322786939</v>
      </c>
      <c r="Y28" s="87">
        <v>30.447569467919681</v>
      </c>
      <c r="Z28" s="87">
        <v>30.026074294808843</v>
      </c>
      <c r="AA28" s="42">
        <v>30.078750894896533</v>
      </c>
      <c r="AB28" s="87">
        <v>51.365345293846055</v>
      </c>
      <c r="AC28" s="87">
        <v>54.278020868394478</v>
      </c>
      <c r="AD28" s="87">
        <v>56.118585626394427</v>
      </c>
      <c r="AE28" s="87">
        <v>56.5033354779723</v>
      </c>
      <c r="AF28" s="87">
        <v>57.965431425357103</v>
      </c>
      <c r="AG28" s="44">
        <v>5.6233653007846556</v>
      </c>
      <c r="AH28" s="44">
        <v>7.9269710830296924</v>
      </c>
      <c r="AI28" s="44">
        <v>7.1953741288197905</v>
      </c>
      <c r="AJ28" s="43">
        <v>6.3185975609756095</v>
      </c>
      <c r="AK28" s="43">
        <v>5.4039448797622267</v>
      </c>
      <c r="AL28" s="47">
        <v>686.16666666666663</v>
      </c>
      <c r="AM28" s="47">
        <v>854.66666666666663</v>
      </c>
      <c r="AN28" s="47">
        <v>686.16666666666663</v>
      </c>
      <c r="AO28" s="47">
        <v>1248.4166666666667</v>
      </c>
      <c r="AP28" s="47">
        <v>1319.5</v>
      </c>
      <c r="AQ28" s="47">
        <v>41042.683937128</v>
      </c>
      <c r="AR28" s="47">
        <v>40632.955035169645</v>
      </c>
      <c r="AS28" s="47">
        <v>42069.250573414945</v>
      </c>
      <c r="AT28" s="47">
        <v>43272.667997438002</v>
      </c>
      <c r="AU28" s="47">
        <v>44480.576657458565</v>
      </c>
      <c r="AV28" s="84">
        <v>58327.622975614671</v>
      </c>
      <c r="AW28" s="85">
        <v>60944.007685404045</v>
      </c>
      <c r="AX28" s="85">
        <v>58634.214157710689</v>
      </c>
      <c r="AY28" s="85">
        <v>55856.106726402031</v>
      </c>
      <c r="AZ28" s="85">
        <v>56875</v>
      </c>
      <c r="BA28" s="83">
        <v>6.8791684325578286</v>
      </c>
      <c r="BB28" s="83">
        <v>7.5227963525835868</v>
      </c>
      <c r="BC28" s="83">
        <v>8.3007963293847755</v>
      </c>
      <c r="BD28" s="83">
        <v>9.1713560631137589</v>
      </c>
      <c r="BE28" s="83">
        <v>9.1706995160580735</v>
      </c>
      <c r="BF28" s="83">
        <v>8.4182673461387694</v>
      </c>
      <c r="BG28" s="46">
        <v>10.312177744445487</v>
      </c>
      <c r="BH28" s="46">
        <v>11.462413728781943</v>
      </c>
      <c r="BI28" s="46">
        <v>12.831228036850604</v>
      </c>
      <c r="BJ28" s="46">
        <v>12.329157175398633</v>
      </c>
      <c r="BK28" s="42">
        <v>6920</v>
      </c>
      <c r="BL28" s="42">
        <v>6848</v>
      </c>
      <c r="BM28" s="40">
        <v>6816</v>
      </c>
      <c r="BN28" s="40">
        <v>6758</v>
      </c>
      <c r="BO28" s="43">
        <v>24.580924855491329</v>
      </c>
      <c r="BP28" s="43">
        <v>25.992990654205606</v>
      </c>
      <c r="BQ28" s="44">
        <v>27.009976525821596</v>
      </c>
      <c r="BR28" s="44">
        <v>28.706717963894643</v>
      </c>
      <c r="BS28" s="87">
        <v>1.9653179190751444</v>
      </c>
      <c r="BT28" s="87">
        <v>2.0735981308411215</v>
      </c>
      <c r="BU28" s="87">
        <v>1.9072769953051643</v>
      </c>
      <c r="BV28" s="87">
        <v>1.8792542172240307</v>
      </c>
      <c r="BW28" s="43">
        <v>12.008670520231213</v>
      </c>
      <c r="BX28" s="43">
        <v>12.733644859813085</v>
      </c>
      <c r="BY28" s="43">
        <v>13.23356807511737</v>
      </c>
      <c r="BZ28" s="43">
        <v>13.317549570878958</v>
      </c>
      <c r="CA28" s="42">
        <v>82</v>
      </c>
      <c r="CB28" s="42">
        <v>86.81481481481481</v>
      </c>
      <c r="CC28" s="42">
        <v>86.28</v>
      </c>
      <c r="CD28" s="44">
        <v>83.33</v>
      </c>
      <c r="CE28" s="43">
        <v>5.0769230769230766</v>
      </c>
      <c r="CF28" s="43">
        <v>4</v>
      </c>
      <c r="CG28" s="43">
        <v>4.42</v>
      </c>
      <c r="CH28" s="44">
        <v>3.4</v>
      </c>
      <c r="CI28" s="49">
        <v>2528</v>
      </c>
      <c r="CJ28" s="49">
        <v>2556</v>
      </c>
      <c r="CK28" s="54">
        <v>2882</v>
      </c>
      <c r="CL28" s="54">
        <v>2770</v>
      </c>
      <c r="CM28" s="88">
        <v>12</v>
      </c>
      <c r="CN28" s="88">
        <v>11.6</v>
      </c>
      <c r="CO28" s="88">
        <v>12.6</v>
      </c>
      <c r="CP28" s="88">
        <v>12</v>
      </c>
      <c r="CQ28" s="53">
        <v>107</v>
      </c>
      <c r="CR28" s="53">
        <v>109</v>
      </c>
      <c r="CS28" s="53">
        <v>134</v>
      </c>
      <c r="CT28" s="53">
        <v>108</v>
      </c>
      <c r="CU28" s="88">
        <v>4.3</v>
      </c>
      <c r="CV28" s="88">
        <v>4.4000000000000004</v>
      </c>
      <c r="CW28" s="88">
        <v>4.8</v>
      </c>
      <c r="CX28" s="88">
        <v>4</v>
      </c>
      <c r="CY28" s="51">
        <v>139</v>
      </c>
      <c r="CZ28" s="53">
        <v>139</v>
      </c>
      <c r="DA28" s="53">
        <v>248</v>
      </c>
      <c r="DB28" s="53">
        <v>181</v>
      </c>
      <c r="DC28" s="88">
        <v>6.5</v>
      </c>
      <c r="DD28" s="88">
        <v>6.4</v>
      </c>
      <c r="DE28" s="88">
        <v>9.3000000000000007</v>
      </c>
      <c r="DF28" s="88">
        <v>7</v>
      </c>
      <c r="DG28" s="88">
        <v>81.8</v>
      </c>
      <c r="DH28" s="88">
        <v>86.2</v>
      </c>
      <c r="DI28" s="88">
        <v>89.5</v>
      </c>
      <c r="DJ28" s="88">
        <v>88.3</v>
      </c>
      <c r="DK28" s="88">
        <v>16</v>
      </c>
      <c r="DL28" s="88">
        <v>13.8</v>
      </c>
      <c r="DM28" s="88">
        <v>12.4</v>
      </c>
      <c r="DN28" s="88">
        <v>13.664371148967017</v>
      </c>
      <c r="DO28" s="88">
        <v>22.8</v>
      </c>
      <c r="DP28" s="88">
        <v>24.7</v>
      </c>
      <c r="DQ28" s="88">
        <v>31</v>
      </c>
      <c r="DR28" s="88">
        <v>32.9</v>
      </c>
      <c r="DS28" s="88">
        <v>30.01765744555621</v>
      </c>
      <c r="DT28" s="88">
        <v>24.978780162483329</v>
      </c>
      <c r="DU28" s="88">
        <v>27.402449804268215</v>
      </c>
      <c r="DV28" s="88">
        <v>21.948456527895779</v>
      </c>
      <c r="DW28" s="54">
        <v>463</v>
      </c>
      <c r="DX28" s="54">
        <v>14</v>
      </c>
      <c r="DY28" s="51">
        <v>7</v>
      </c>
      <c r="DZ28" s="53">
        <v>8</v>
      </c>
      <c r="EA28" s="53">
        <v>25</v>
      </c>
      <c r="EB28" s="53">
        <v>24</v>
      </c>
      <c r="EC28" s="53">
        <v>15</v>
      </c>
      <c r="ED28" s="51">
        <v>13</v>
      </c>
      <c r="EE28" s="53">
        <v>13</v>
      </c>
      <c r="EF28" s="53">
        <v>2220</v>
      </c>
      <c r="EG28" s="53">
        <v>2291</v>
      </c>
      <c r="EH28" s="53">
        <v>2092</v>
      </c>
      <c r="EI28" s="53">
        <v>2332</v>
      </c>
      <c r="EJ28" s="92">
        <v>466</v>
      </c>
      <c r="EK28" s="92">
        <v>4</v>
      </c>
      <c r="EL28" s="92">
        <v>3</v>
      </c>
      <c r="EM28" s="92">
        <v>1</v>
      </c>
      <c r="EN28" s="92">
        <v>1</v>
      </c>
      <c r="EO28" s="88">
        <v>1051.5545955777866</v>
      </c>
      <c r="EP28" s="88">
        <v>1041.4961904242359</v>
      </c>
      <c r="EQ28" s="88">
        <v>917.9706354708768</v>
      </c>
      <c r="ER28" s="88">
        <v>1009.0532386915979</v>
      </c>
      <c r="ES28" s="88">
        <v>787.9</v>
      </c>
      <c r="ET28" s="88">
        <v>804.7</v>
      </c>
      <c r="EU28" s="88">
        <v>692.2</v>
      </c>
      <c r="EV28" s="88">
        <v>698.5</v>
      </c>
      <c r="EW28" s="88">
        <v>977.71166821403801</v>
      </c>
      <c r="EX28" s="88">
        <v>964.25788286654813</v>
      </c>
      <c r="EY28" s="88">
        <v>847.15901292588637</v>
      </c>
      <c r="EZ28" s="88">
        <v>814.36643182682451</v>
      </c>
      <c r="FA28" s="88">
        <v>658.62820326873202</v>
      </c>
      <c r="FB28" s="88">
        <v>681.35744969964321</v>
      </c>
      <c r="FC28" s="88">
        <v>577.27549821655953</v>
      </c>
      <c r="FD28" s="88">
        <v>604.2934586174639</v>
      </c>
      <c r="FE28" s="51">
        <v>437</v>
      </c>
      <c r="FF28" s="54">
        <v>456</v>
      </c>
      <c r="FG28" s="54">
        <v>490</v>
      </c>
      <c r="FH28" s="54">
        <v>533</v>
      </c>
      <c r="FI28" s="88">
        <v>170.25659999999999</v>
      </c>
      <c r="FJ28" s="88">
        <v>172.2064</v>
      </c>
      <c r="FK28" s="88">
        <v>173.089</v>
      </c>
      <c r="FL28" s="88">
        <v>167.8989</v>
      </c>
      <c r="FM28" s="54">
        <v>675</v>
      </c>
      <c r="FN28" s="54">
        <v>552</v>
      </c>
      <c r="FO28" s="51">
        <v>443</v>
      </c>
      <c r="FP28" s="54">
        <v>453</v>
      </c>
      <c r="FQ28" s="88">
        <v>231.6018</v>
      </c>
      <c r="FR28" s="88">
        <v>185.7269</v>
      </c>
      <c r="FS28" s="88">
        <v>138.87809999999999</v>
      </c>
      <c r="FT28" s="88">
        <v>129.2501</v>
      </c>
      <c r="FU28" s="53">
        <v>202</v>
      </c>
      <c r="FV28" s="53">
        <v>172</v>
      </c>
      <c r="FW28" s="53">
        <v>129</v>
      </c>
      <c r="FX28" s="53">
        <v>126</v>
      </c>
      <c r="FY28" s="88">
        <v>65.128649999999993</v>
      </c>
      <c r="FZ28" s="88">
        <v>56.686639999999997</v>
      </c>
      <c r="GA28" s="88">
        <v>40.806759999999997</v>
      </c>
      <c r="GB28" s="88">
        <v>35.402839999999998</v>
      </c>
      <c r="GC28" s="55">
        <v>69</v>
      </c>
      <c r="GD28" s="56">
        <v>155</v>
      </c>
      <c r="GE28" s="55">
        <v>147</v>
      </c>
      <c r="GF28" s="55">
        <v>172</v>
      </c>
      <c r="GG28" s="91">
        <v>30.030149999999999</v>
      </c>
      <c r="GH28" s="91">
        <v>59.68638</v>
      </c>
      <c r="GI28" s="91">
        <v>52.479340000000001</v>
      </c>
      <c r="GJ28" s="91">
        <v>56.524940000000001</v>
      </c>
      <c r="GK28" s="55"/>
      <c r="GL28" s="55"/>
      <c r="GM28" s="55"/>
      <c r="GN28" s="56"/>
      <c r="GO28" s="55"/>
      <c r="GP28" s="55"/>
      <c r="GQ28" s="55"/>
      <c r="GR28" s="55"/>
      <c r="GS28" s="56"/>
      <c r="GT28" s="55"/>
      <c r="GU28" s="55"/>
      <c r="GV28" s="55"/>
      <c r="GW28" s="55"/>
      <c r="GX28" s="56"/>
      <c r="GY28" s="56"/>
      <c r="GZ28" s="56"/>
      <c r="HA28" s="56"/>
      <c r="HB28" s="56"/>
      <c r="HC28" s="56"/>
      <c r="HD28" s="57"/>
      <c r="HE28" s="57"/>
      <c r="HF28" s="57"/>
      <c r="HG28" s="57"/>
      <c r="HH28" s="57"/>
      <c r="HI28" s="58"/>
      <c r="HJ28" s="58"/>
      <c r="HK28" s="55"/>
      <c r="HL28" s="56"/>
      <c r="HM28" s="56"/>
      <c r="HN28" s="56"/>
      <c r="HO28" s="56"/>
      <c r="HP28" s="56"/>
      <c r="HQ28" s="56"/>
      <c r="HR28" s="56"/>
      <c r="HS28" s="56"/>
      <c r="HT28" s="56"/>
      <c r="HU28" s="38"/>
    </row>
    <row r="29" spans="1:229" x14ac:dyDescent="0.2">
      <c r="A29" s="36">
        <v>26</v>
      </c>
      <c r="B29" s="70" t="s">
        <v>82</v>
      </c>
      <c r="C29" s="77">
        <v>6005</v>
      </c>
      <c r="D29" s="77">
        <v>5835</v>
      </c>
      <c r="E29" s="77">
        <v>6018</v>
      </c>
      <c r="F29" s="77">
        <v>5989</v>
      </c>
      <c r="G29" s="150">
        <v>5944</v>
      </c>
      <c r="H29" s="41">
        <v>5821</v>
      </c>
      <c r="I29" s="41">
        <v>24</v>
      </c>
      <c r="J29" s="41">
        <v>15</v>
      </c>
      <c r="K29" s="41">
        <v>23</v>
      </c>
      <c r="L29" s="41">
        <v>103</v>
      </c>
      <c r="M29" s="42">
        <v>2521</v>
      </c>
      <c r="N29" s="43">
        <v>2473</v>
      </c>
      <c r="O29" s="43">
        <v>2601</v>
      </c>
      <c r="P29" s="44">
        <v>2608</v>
      </c>
      <c r="Q29" s="44">
        <v>2598</v>
      </c>
      <c r="R29" s="87">
        <v>39.467849223946786</v>
      </c>
      <c r="S29" s="87">
        <v>38.42180774748924</v>
      </c>
      <c r="T29" s="87">
        <v>36.698762035763409</v>
      </c>
      <c r="U29" s="87">
        <v>36.115702479338843</v>
      </c>
      <c r="V29" s="87">
        <v>38.725212464589234</v>
      </c>
      <c r="W29" s="87">
        <v>26.967849223946786</v>
      </c>
      <c r="X29" s="87">
        <v>29.010043041606888</v>
      </c>
      <c r="Y29" s="87">
        <v>28.858321870701513</v>
      </c>
      <c r="Z29" s="87">
        <v>28.87052341597796</v>
      </c>
      <c r="AA29" s="42">
        <v>29.660056657223794</v>
      </c>
      <c r="AB29" s="87">
        <v>66.435698447893571</v>
      </c>
      <c r="AC29" s="87">
        <v>67.431850789096131</v>
      </c>
      <c r="AD29" s="87">
        <v>65.557083906464925</v>
      </c>
      <c r="AE29" s="87">
        <v>64.986225895316807</v>
      </c>
      <c r="AF29" s="87">
        <v>68.385269121813025</v>
      </c>
      <c r="AG29" s="44">
        <v>6.9843342036553526</v>
      </c>
      <c r="AH29" s="44">
        <v>8.6710650329877481</v>
      </c>
      <c r="AI29" s="44">
        <v>8.2107843137254903</v>
      </c>
      <c r="AJ29" s="43">
        <v>7.3844244492708659</v>
      </c>
      <c r="AK29" s="43">
        <v>6.2651331719128329</v>
      </c>
      <c r="AL29" s="47">
        <v>136</v>
      </c>
      <c r="AM29" s="47">
        <v>163.66666666666666</v>
      </c>
      <c r="AN29" s="47">
        <v>136</v>
      </c>
      <c r="AO29" s="47">
        <v>247.33333333333334</v>
      </c>
      <c r="AP29" s="47">
        <v>251.75</v>
      </c>
      <c r="AQ29" s="47">
        <v>40933.665416388685</v>
      </c>
      <c r="AR29" s="47">
        <v>40137.566776883963</v>
      </c>
      <c r="AS29" s="47">
        <v>42935.244224063696</v>
      </c>
      <c r="AT29" s="47">
        <v>43601.14741003485</v>
      </c>
      <c r="AU29" s="47">
        <v>52659.825033647372</v>
      </c>
      <c r="AV29" s="84">
        <v>41089.638709552346</v>
      </c>
      <c r="AW29" s="85">
        <v>47024.069708617732</v>
      </c>
      <c r="AX29" s="85">
        <v>46369.74800745993</v>
      </c>
      <c r="AY29" s="85">
        <v>44619.357238956669</v>
      </c>
      <c r="AZ29" s="85">
        <v>47616</v>
      </c>
      <c r="BA29" s="83">
        <v>10.829335161069226</v>
      </c>
      <c r="BB29" s="83">
        <v>10.614623807841753</v>
      </c>
      <c r="BC29" s="83">
        <v>10.840520886182986</v>
      </c>
      <c r="BD29" s="83">
        <v>10.405703615684944</v>
      </c>
      <c r="BE29" s="83">
        <v>11.132010943912448</v>
      </c>
      <c r="BF29" s="83">
        <v>14.479254868755293</v>
      </c>
      <c r="BG29" s="46">
        <v>15.806451612903226</v>
      </c>
      <c r="BH29" s="46">
        <v>16.209866875489428</v>
      </c>
      <c r="BI29" s="46">
        <v>16.334661354581673</v>
      </c>
      <c r="BJ29" s="46">
        <v>17.230273752012881</v>
      </c>
      <c r="BK29" s="42">
        <v>1092</v>
      </c>
      <c r="BL29" s="42">
        <v>1085</v>
      </c>
      <c r="BM29" s="40">
        <v>1065</v>
      </c>
      <c r="BN29" s="40">
        <v>1060</v>
      </c>
      <c r="BO29" s="43">
        <v>37.912087912087912</v>
      </c>
      <c r="BP29" s="43">
        <v>40.829493087557601</v>
      </c>
      <c r="BQ29" s="44">
        <v>40.46948356807512</v>
      </c>
      <c r="BR29" s="44">
        <v>41.981132075471699</v>
      </c>
      <c r="BS29" s="87">
        <v>9.1575091575091569E-2</v>
      </c>
      <c r="BT29" s="87">
        <v>0</v>
      </c>
      <c r="BU29" s="87">
        <v>0</v>
      </c>
      <c r="BV29" s="87">
        <v>0</v>
      </c>
      <c r="BW29" s="43">
        <v>14.468864468864469</v>
      </c>
      <c r="BX29" s="43">
        <v>14.47004608294931</v>
      </c>
      <c r="BY29" s="43">
        <v>13.52112676056338</v>
      </c>
      <c r="BZ29" s="43">
        <v>13.867924528301886</v>
      </c>
      <c r="CA29" s="42">
        <v>95.91836734693878</v>
      </c>
      <c r="CB29" s="42">
        <v>89.247311827956992</v>
      </c>
      <c r="CC29" s="42">
        <v>86.9</v>
      </c>
      <c r="CD29" s="44">
        <v>97.37</v>
      </c>
      <c r="CE29" s="43">
        <v>2.0408163265306123</v>
      </c>
      <c r="CF29" s="43">
        <v>1.075268817204301</v>
      </c>
      <c r="CG29" s="43">
        <v>1.19</v>
      </c>
      <c r="CH29" s="44">
        <v>0</v>
      </c>
      <c r="CI29" s="49">
        <v>328</v>
      </c>
      <c r="CJ29" s="49">
        <v>289</v>
      </c>
      <c r="CK29" s="51">
        <v>352</v>
      </c>
      <c r="CL29" s="51">
        <v>319</v>
      </c>
      <c r="CM29" s="88">
        <v>10.7</v>
      </c>
      <c r="CN29" s="88">
        <v>9.3000000000000007</v>
      </c>
      <c r="CO29" s="88">
        <v>11.5</v>
      </c>
      <c r="CP29" s="88">
        <v>10.7</v>
      </c>
      <c r="CQ29" s="53">
        <v>8</v>
      </c>
      <c r="CR29" s="53">
        <v>16</v>
      </c>
      <c r="CS29" s="53">
        <v>14</v>
      </c>
      <c r="CT29" s="53">
        <v>13</v>
      </c>
      <c r="CU29" s="88">
        <v>2.5</v>
      </c>
      <c r="CV29" s="88">
        <v>5.8</v>
      </c>
      <c r="CW29" s="88">
        <v>4.2</v>
      </c>
      <c r="CX29" s="88">
        <v>4.2</v>
      </c>
      <c r="CY29" s="51">
        <v>15</v>
      </c>
      <c r="CZ29" s="53">
        <v>25</v>
      </c>
      <c r="DA29" s="53">
        <v>17</v>
      </c>
      <c r="DB29" s="53">
        <v>17</v>
      </c>
      <c r="DC29" s="88">
        <v>5</v>
      </c>
      <c r="DD29" s="88">
        <v>9.1</v>
      </c>
      <c r="DE29" s="88">
        <v>5.0999999999999996</v>
      </c>
      <c r="DF29" s="88">
        <v>5.6</v>
      </c>
      <c r="DG29" s="88">
        <v>82.3</v>
      </c>
      <c r="DH29" s="88">
        <v>88.9</v>
      </c>
      <c r="DI29" s="88">
        <v>92.3</v>
      </c>
      <c r="DJ29" s="88">
        <v>90.1</v>
      </c>
      <c r="DK29" s="88">
        <v>17</v>
      </c>
      <c r="DL29" s="88">
        <v>14.7</v>
      </c>
      <c r="DM29" s="88">
        <v>12.8</v>
      </c>
      <c r="DN29" s="88">
        <v>9.0909090909090917</v>
      </c>
      <c r="DO29" s="88">
        <v>19</v>
      </c>
      <c r="DP29" s="88">
        <v>21.8</v>
      </c>
      <c r="DQ29" s="88">
        <v>25.6</v>
      </c>
      <c r="DR29" s="88">
        <v>24.8</v>
      </c>
      <c r="DS29" s="88">
        <v>32.608695652173914</v>
      </c>
      <c r="DT29" s="88" t="s">
        <v>39</v>
      </c>
      <c r="DU29" s="88">
        <v>21.428571428571427</v>
      </c>
      <c r="DV29" s="88" t="s">
        <v>39</v>
      </c>
      <c r="DW29" s="54">
        <v>57</v>
      </c>
      <c r="DX29" s="54">
        <v>0</v>
      </c>
      <c r="DY29" s="51">
        <v>0</v>
      </c>
      <c r="DZ29" s="53">
        <v>0</v>
      </c>
      <c r="EA29" s="53">
        <v>1</v>
      </c>
      <c r="EB29" s="53">
        <v>1</v>
      </c>
      <c r="EC29" s="53">
        <v>0</v>
      </c>
      <c r="ED29" s="51">
        <v>0</v>
      </c>
      <c r="EE29" s="53">
        <v>1</v>
      </c>
      <c r="EF29" s="53">
        <v>463</v>
      </c>
      <c r="EG29" s="53">
        <v>424</v>
      </c>
      <c r="EH29" s="53">
        <v>429</v>
      </c>
      <c r="EI29" s="53">
        <v>385</v>
      </c>
      <c r="EJ29" s="92">
        <v>70</v>
      </c>
      <c r="EK29" s="92">
        <v>0</v>
      </c>
      <c r="EL29" s="92">
        <v>0</v>
      </c>
      <c r="EM29" s="92">
        <v>1</v>
      </c>
      <c r="EN29" s="92">
        <v>1</v>
      </c>
      <c r="EO29" s="88">
        <v>1503.9303579549146</v>
      </c>
      <c r="EP29" s="88">
        <v>1364.4408688656476</v>
      </c>
      <c r="EQ29" s="88">
        <v>1403.1530058219403</v>
      </c>
      <c r="ER29" s="88">
        <v>1312.534071371661</v>
      </c>
      <c r="ES29" s="88">
        <v>799.7</v>
      </c>
      <c r="ET29" s="88">
        <v>728.8</v>
      </c>
      <c r="EU29" s="88">
        <v>717.2</v>
      </c>
      <c r="EV29" s="88">
        <v>696.4</v>
      </c>
      <c r="EW29" s="88">
        <v>1086.6314190269766</v>
      </c>
      <c r="EX29" s="88">
        <v>890.61462787746166</v>
      </c>
      <c r="EY29" s="88">
        <v>905.4021524829086</v>
      </c>
      <c r="EZ29" s="88">
        <v>816.10466394900004</v>
      </c>
      <c r="FA29" s="88">
        <v>581.89291306371808</v>
      </c>
      <c r="FB29" s="88">
        <v>597.39352500006237</v>
      </c>
      <c r="FC29" s="88">
        <v>558.41337137304788</v>
      </c>
      <c r="FD29" s="88">
        <v>591.37770619870162</v>
      </c>
      <c r="FE29" s="51">
        <v>97</v>
      </c>
      <c r="FF29" s="54">
        <v>79</v>
      </c>
      <c r="FG29" s="54">
        <v>98</v>
      </c>
      <c r="FH29" s="54">
        <v>91</v>
      </c>
      <c r="FI29" s="88">
        <v>186.1163</v>
      </c>
      <c r="FJ29" s="88">
        <v>149.88409999999999</v>
      </c>
      <c r="FK29" s="88">
        <v>188.28210000000001</v>
      </c>
      <c r="FL29" s="88">
        <v>173.4906</v>
      </c>
      <c r="FM29" s="54">
        <v>136</v>
      </c>
      <c r="FN29" s="54">
        <v>127</v>
      </c>
      <c r="FO29" s="51">
        <v>123</v>
      </c>
      <c r="FP29" s="54">
        <v>87</v>
      </c>
      <c r="FQ29" s="88">
        <v>226.40100000000001</v>
      </c>
      <c r="FR29" s="88">
        <v>208.1063</v>
      </c>
      <c r="FS29" s="88">
        <v>190.37950000000001</v>
      </c>
      <c r="FT29" s="88">
        <v>143.40649999999999</v>
      </c>
      <c r="FU29" s="53">
        <v>37</v>
      </c>
      <c r="FV29" s="53">
        <v>29</v>
      </c>
      <c r="FW29" s="53">
        <v>23</v>
      </c>
      <c r="FX29" s="53">
        <v>22</v>
      </c>
      <c r="FY29" s="88">
        <v>58.433549999999997</v>
      </c>
      <c r="FZ29" s="88">
        <v>44.792310000000001</v>
      </c>
      <c r="GA29" s="88">
        <v>31.2241</v>
      </c>
      <c r="GB29" s="88">
        <v>37.670380000000002</v>
      </c>
      <c r="GC29" s="55">
        <v>11</v>
      </c>
      <c r="GD29" s="56">
        <v>26</v>
      </c>
      <c r="GE29" s="55">
        <v>14</v>
      </c>
      <c r="GF29" s="55">
        <v>17</v>
      </c>
      <c r="GG29" s="91">
        <v>27.48526</v>
      </c>
      <c r="GH29" s="91">
        <v>69.170860000000005</v>
      </c>
      <c r="GI29" s="91">
        <v>41.03539</v>
      </c>
      <c r="GJ29" s="91">
        <v>40.881140000000002</v>
      </c>
      <c r="GK29" s="55"/>
      <c r="GL29" s="55"/>
      <c r="GM29" s="55"/>
      <c r="GN29" s="56"/>
      <c r="GO29" s="55"/>
      <c r="GP29" s="55"/>
      <c r="GQ29" s="55"/>
      <c r="GR29" s="55"/>
      <c r="GS29" s="56"/>
      <c r="GT29" s="55"/>
      <c r="GU29" s="55"/>
      <c r="GV29" s="55"/>
      <c r="GW29" s="55"/>
      <c r="GX29" s="56"/>
      <c r="GY29" s="56"/>
      <c r="GZ29" s="56"/>
      <c r="HA29" s="56"/>
      <c r="HB29" s="56"/>
      <c r="HC29" s="56"/>
      <c r="HD29" s="57"/>
      <c r="HE29" s="57"/>
      <c r="HF29" s="57"/>
      <c r="HG29" s="57"/>
      <c r="HH29" s="57"/>
      <c r="HI29" s="58"/>
      <c r="HJ29" s="58"/>
      <c r="HK29" s="55"/>
      <c r="HL29" s="56"/>
      <c r="HM29" s="56"/>
      <c r="HN29" s="56"/>
      <c r="HO29" s="56"/>
      <c r="HP29" s="56"/>
      <c r="HQ29" s="56"/>
      <c r="HR29" s="56"/>
      <c r="HS29" s="56"/>
      <c r="HT29" s="56"/>
      <c r="HU29" s="38"/>
    </row>
    <row r="30" spans="1:229" ht="21" customHeight="1" x14ac:dyDescent="0.2">
      <c r="A30" s="36">
        <v>27</v>
      </c>
      <c r="B30" s="70" t="s">
        <v>83</v>
      </c>
      <c r="C30" s="77">
        <v>1140988</v>
      </c>
      <c r="D30" s="77">
        <v>1156212</v>
      </c>
      <c r="E30" s="77">
        <v>1152425</v>
      </c>
      <c r="F30" s="77">
        <v>1168431</v>
      </c>
      <c r="G30" s="150">
        <v>1184576</v>
      </c>
      <c r="H30" s="41">
        <v>908688</v>
      </c>
      <c r="I30" s="41">
        <v>145709</v>
      </c>
      <c r="J30" s="41">
        <v>14032</v>
      </c>
      <c r="K30" s="41">
        <v>80188</v>
      </c>
      <c r="L30" s="41">
        <v>81432</v>
      </c>
      <c r="M30" s="42">
        <v>485377</v>
      </c>
      <c r="N30" s="43">
        <v>487813</v>
      </c>
      <c r="O30" s="43">
        <v>475913</v>
      </c>
      <c r="P30" s="44">
        <v>480754</v>
      </c>
      <c r="Q30" s="44">
        <v>483488</v>
      </c>
      <c r="R30" s="87">
        <v>15.772467887697465</v>
      </c>
      <c r="S30" s="87">
        <v>15.963375845427363</v>
      </c>
      <c r="T30" s="87">
        <v>16.27813214736355</v>
      </c>
      <c r="U30" s="87">
        <v>16.567379760727167</v>
      </c>
      <c r="V30" s="87">
        <v>17.135884558251398</v>
      </c>
      <c r="W30" s="87">
        <v>28.18098204789499</v>
      </c>
      <c r="X30" s="87">
        <v>27.075696599980947</v>
      </c>
      <c r="Y30" s="87">
        <v>27.126445649549911</v>
      </c>
      <c r="Z30" s="87">
        <v>27.187141669004276</v>
      </c>
      <c r="AA30" s="42">
        <v>27.334117124786268</v>
      </c>
      <c r="AB30" s="87">
        <v>43.953449935592452</v>
      </c>
      <c r="AC30" s="87">
        <v>43.039072445408308</v>
      </c>
      <c r="AD30" s="87">
        <v>43.404577796913458</v>
      </c>
      <c r="AE30" s="87">
        <v>43.754521429731447</v>
      </c>
      <c r="AF30" s="87">
        <v>44.470001683037665</v>
      </c>
      <c r="AG30" s="44">
        <v>4.8710258494159318</v>
      </c>
      <c r="AH30" s="44">
        <v>7.5515114117706066</v>
      </c>
      <c r="AI30" s="44">
        <v>6.8617193325062296</v>
      </c>
      <c r="AJ30" s="43">
        <v>6.1044822200428603</v>
      </c>
      <c r="AK30" s="43">
        <v>5.2755236037736992</v>
      </c>
      <c r="AL30" s="47">
        <v>39353.666666666664</v>
      </c>
      <c r="AM30" s="47">
        <v>50160.5</v>
      </c>
      <c r="AN30" s="47">
        <v>39353.666666666664</v>
      </c>
      <c r="AO30" s="47">
        <v>67919.583333333328</v>
      </c>
      <c r="AP30" s="47">
        <v>72589.083333333328</v>
      </c>
      <c r="AQ30" s="47">
        <v>60605.96873030009</v>
      </c>
      <c r="AR30" s="47">
        <v>56464.848774116312</v>
      </c>
      <c r="AS30" s="47">
        <v>57676.967758305822</v>
      </c>
      <c r="AT30" s="47">
        <v>58605.036105671716</v>
      </c>
      <c r="AU30" s="47">
        <v>58898.157653033661</v>
      </c>
      <c r="AV30" s="84">
        <v>66408.627910240117</v>
      </c>
      <c r="AW30" s="85">
        <v>65978.172999681192</v>
      </c>
      <c r="AX30" s="85">
        <v>62387.890482027651</v>
      </c>
      <c r="AY30" s="85">
        <v>62069.031981200824</v>
      </c>
      <c r="AZ30" s="85">
        <v>62500</v>
      </c>
      <c r="BA30" s="83">
        <v>10.956227563301823</v>
      </c>
      <c r="BB30" s="83">
        <v>11.868785062586827</v>
      </c>
      <c r="BC30" s="83">
        <v>13.747805840102057</v>
      </c>
      <c r="BD30" s="83">
        <v>13.619707585322463</v>
      </c>
      <c r="BE30" s="83">
        <v>13.052837556575467</v>
      </c>
      <c r="BF30" s="83">
        <v>12.822641795571732</v>
      </c>
      <c r="BG30" s="46">
        <v>15.707850031344057</v>
      </c>
      <c r="BH30" s="46">
        <v>18.657850265887351</v>
      </c>
      <c r="BI30" s="46">
        <v>17.652579992460435</v>
      </c>
      <c r="BJ30" s="46">
        <v>17.256164950646212</v>
      </c>
      <c r="BK30" s="42">
        <v>156320</v>
      </c>
      <c r="BL30" s="42">
        <v>157170</v>
      </c>
      <c r="BM30" s="40">
        <v>158661</v>
      </c>
      <c r="BN30" s="40">
        <v>161409</v>
      </c>
      <c r="BO30" s="43">
        <v>39.94754350051177</v>
      </c>
      <c r="BP30" s="43">
        <v>41.22669720684609</v>
      </c>
      <c r="BQ30" s="44">
        <v>42.047510100150639</v>
      </c>
      <c r="BR30" s="44">
        <v>42.776425106406705</v>
      </c>
      <c r="BS30" s="87">
        <v>12.774437052200614</v>
      </c>
      <c r="BT30" s="87">
        <v>12.632817967805561</v>
      </c>
      <c r="BU30" s="87">
        <v>12.67482242012845</v>
      </c>
      <c r="BV30" s="87">
        <v>13.680773686721311</v>
      </c>
      <c r="BW30" s="43">
        <v>13.915046059365404</v>
      </c>
      <c r="BX30" s="43">
        <v>14.234268626328179</v>
      </c>
      <c r="BY30" s="43">
        <v>14.318578604698066</v>
      </c>
      <c r="BZ30" s="43">
        <v>14.178267630677347</v>
      </c>
      <c r="CA30" s="42">
        <v>65.140867363089583</v>
      </c>
      <c r="CB30" s="42">
        <v>65.712012728719174</v>
      </c>
      <c r="CC30" s="42">
        <v>67.55</v>
      </c>
      <c r="CD30" s="44">
        <v>71.89</v>
      </c>
      <c r="CE30" s="43">
        <v>5.3497942386831276</v>
      </c>
      <c r="CF30" s="43">
        <v>5.5422964730840629</v>
      </c>
      <c r="CG30" s="43">
        <v>5.0599999999999996</v>
      </c>
      <c r="CH30" s="44">
        <v>5.24</v>
      </c>
      <c r="CI30" s="49">
        <v>77499</v>
      </c>
      <c r="CJ30" s="49">
        <v>80629</v>
      </c>
      <c r="CK30" s="54">
        <v>83134</v>
      </c>
      <c r="CL30" s="54">
        <v>81143</v>
      </c>
      <c r="CM30" s="88">
        <v>14.7</v>
      </c>
      <c r="CN30" s="88">
        <v>14.7</v>
      </c>
      <c r="CO30" s="88">
        <v>14.8</v>
      </c>
      <c r="CP30" s="88">
        <v>14</v>
      </c>
      <c r="CQ30" s="53">
        <v>3794</v>
      </c>
      <c r="CR30" s="53">
        <v>3869</v>
      </c>
      <c r="CS30" s="53">
        <v>4330</v>
      </c>
      <c r="CT30" s="53">
        <v>4086</v>
      </c>
      <c r="CU30" s="88">
        <v>5.0999999999999996</v>
      </c>
      <c r="CV30" s="88">
        <v>5</v>
      </c>
      <c r="CW30" s="88">
        <v>5.4</v>
      </c>
      <c r="CX30" s="88">
        <v>5.3</v>
      </c>
      <c r="CY30" s="54">
        <v>5302</v>
      </c>
      <c r="CZ30" s="53">
        <v>5106</v>
      </c>
      <c r="DA30" s="53">
        <v>5986</v>
      </c>
      <c r="DB30" s="53">
        <v>5631</v>
      </c>
      <c r="DC30" s="88">
        <v>7.9</v>
      </c>
      <c r="DD30" s="88">
        <v>7.6</v>
      </c>
      <c r="DE30" s="88">
        <v>8.6</v>
      </c>
      <c r="DF30" s="88">
        <v>8.1999999999999993</v>
      </c>
      <c r="DG30" s="88">
        <v>82.2</v>
      </c>
      <c r="DH30" s="88">
        <v>82.8</v>
      </c>
      <c r="DI30" s="88">
        <v>84.6</v>
      </c>
      <c r="DJ30" s="88">
        <v>85.1</v>
      </c>
      <c r="DK30" s="88">
        <v>11.3</v>
      </c>
      <c r="DL30" s="88">
        <v>7.2</v>
      </c>
      <c r="DM30" s="88">
        <v>4.4000000000000004</v>
      </c>
      <c r="DN30" s="88">
        <v>5.7288407139459787</v>
      </c>
      <c r="DO30" s="88">
        <v>27.3</v>
      </c>
      <c r="DP30" s="88">
        <v>28</v>
      </c>
      <c r="DQ30" s="88">
        <v>32.5</v>
      </c>
      <c r="DR30" s="88">
        <v>34.200000000000003</v>
      </c>
      <c r="DS30" s="88">
        <v>39.622893227197935</v>
      </c>
      <c r="DT30" s="88">
        <v>34.904629671780398</v>
      </c>
      <c r="DU30" s="88">
        <v>31.416481647825815</v>
      </c>
      <c r="DV30" s="88">
        <v>24.071860339227715</v>
      </c>
      <c r="DW30" s="54">
        <v>9720</v>
      </c>
      <c r="DX30" s="54">
        <v>3445</v>
      </c>
      <c r="DY30" s="51">
        <v>234</v>
      </c>
      <c r="DZ30" s="53">
        <v>1770</v>
      </c>
      <c r="EA30" s="53">
        <v>1568</v>
      </c>
      <c r="EB30" s="53">
        <v>647</v>
      </c>
      <c r="EC30" s="53">
        <v>481</v>
      </c>
      <c r="ED30" s="51">
        <v>421</v>
      </c>
      <c r="EE30" s="53">
        <v>437</v>
      </c>
      <c r="EF30" s="53">
        <v>40960</v>
      </c>
      <c r="EG30" s="53">
        <v>40041</v>
      </c>
      <c r="EH30" s="53">
        <v>38017</v>
      </c>
      <c r="EI30" s="53">
        <v>38837</v>
      </c>
      <c r="EJ30" s="92">
        <v>6991</v>
      </c>
      <c r="EK30" s="92">
        <v>602</v>
      </c>
      <c r="EL30" s="92">
        <v>90</v>
      </c>
      <c r="EM30" s="92">
        <v>161</v>
      </c>
      <c r="EN30" s="92">
        <v>96</v>
      </c>
      <c r="EO30" s="88">
        <v>777.89309857269154</v>
      </c>
      <c r="EP30" s="88">
        <v>729.77494915031821</v>
      </c>
      <c r="EQ30" s="88">
        <v>676.46051913278109</v>
      </c>
      <c r="ER30" s="88">
        <v>669.93557462274168</v>
      </c>
      <c r="ES30" s="88">
        <v>838.5</v>
      </c>
      <c r="ET30" s="88">
        <v>769.2</v>
      </c>
      <c r="EU30" s="88">
        <v>683</v>
      </c>
      <c r="EV30" s="88">
        <v>649.20000000000005</v>
      </c>
      <c r="EW30" s="88">
        <v>1080.4376521081185</v>
      </c>
      <c r="EX30" s="88">
        <v>943.81929894681502</v>
      </c>
      <c r="EY30" s="88">
        <v>819.36368346863776</v>
      </c>
      <c r="EZ30" s="88">
        <v>760.71084086780888</v>
      </c>
      <c r="FA30" s="88">
        <v>687.48127556596842</v>
      </c>
      <c r="FB30" s="88">
        <v>649.85839200120904</v>
      </c>
      <c r="FC30" s="88">
        <v>586.25306261788489</v>
      </c>
      <c r="FD30" s="88">
        <v>563.60462735105716</v>
      </c>
      <c r="FE30" s="51">
        <v>9504</v>
      </c>
      <c r="FF30" s="54">
        <v>9561</v>
      </c>
      <c r="FG30" s="54">
        <v>9268</v>
      </c>
      <c r="FH30" s="54">
        <v>9348</v>
      </c>
      <c r="FI30" s="88">
        <v>200.11609999999999</v>
      </c>
      <c r="FJ30" s="88">
        <v>190.27520000000001</v>
      </c>
      <c r="FK30" s="88">
        <v>172.68459999999999</v>
      </c>
      <c r="FL30" s="88">
        <v>161.90870000000001</v>
      </c>
      <c r="FM30" s="54">
        <v>9444</v>
      </c>
      <c r="FN30" s="54">
        <v>7793</v>
      </c>
      <c r="FO30" s="51">
        <v>6483</v>
      </c>
      <c r="FP30" s="54">
        <v>5975</v>
      </c>
      <c r="FQ30" s="88">
        <v>194.95650000000001</v>
      </c>
      <c r="FR30" s="88">
        <v>149.15870000000001</v>
      </c>
      <c r="FS30" s="88">
        <v>114.5981</v>
      </c>
      <c r="FT30" s="88">
        <v>97.848209999999995</v>
      </c>
      <c r="FU30" s="53">
        <v>3178</v>
      </c>
      <c r="FV30" s="53">
        <v>2841</v>
      </c>
      <c r="FW30" s="53">
        <v>2270</v>
      </c>
      <c r="FX30" s="53">
        <v>1922</v>
      </c>
      <c r="FY30" s="88">
        <v>64.96875</v>
      </c>
      <c r="FZ30" s="88">
        <v>54.019069999999999</v>
      </c>
      <c r="GA30" s="88">
        <v>40.601349999999996</v>
      </c>
      <c r="GB30" s="88">
        <v>31.990500000000001</v>
      </c>
      <c r="GC30" s="55">
        <v>1742</v>
      </c>
      <c r="GD30" s="56">
        <v>1892</v>
      </c>
      <c r="GE30" s="55">
        <v>2049</v>
      </c>
      <c r="GF30" s="55">
        <v>2399</v>
      </c>
      <c r="GG30" s="91">
        <v>34.015779999999999</v>
      </c>
      <c r="GH30" s="91">
        <v>34.647530000000003</v>
      </c>
      <c r="GI30" s="91">
        <v>35.557899999999997</v>
      </c>
      <c r="GJ30" s="91">
        <v>39.477229999999999</v>
      </c>
      <c r="GK30" s="55"/>
      <c r="GL30" s="55"/>
      <c r="GM30" s="55"/>
      <c r="GN30" s="56"/>
      <c r="GO30" s="55"/>
      <c r="GP30" s="55"/>
      <c r="GQ30" s="55"/>
      <c r="GR30" s="55"/>
      <c r="GS30" s="56"/>
      <c r="GT30" s="55"/>
      <c r="GU30" s="55"/>
      <c r="GV30" s="55"/>
      <c r="GW30" s="55"/>
      <c r="GX30" s="56"/>
      <c r="GY30" s="56"/>
      <c r="GZ30" s="56"/>
      <c r="HA30" s="56"/>
      <c r="HB30" s="56"/>
      <c r="HC30" s="56"/>
      <c r="HD30" s="57"/>
      <c r="HE30" s="57"/>
      <c r="HF30" s="57"/>
      <c r="HG30" s="57"/>
      <c r="HH30" s="57"/>
      <c r="HI30" s="58"/>
      <c r="HJ30" s="58"/>
      <c r="HK30" s="55"/>
      <c r="HL30" s="56"/>
      <c r="HM30" s="56"/>
      <c r="HN30" s="56"/>
      <c r="HO30" s="56"/>
      <c r="HP30" s="56"/>
      <c r="HQ30" s="56"/>
      <c r="HR30" s="56"/>
      <c r="HS30" s="56"/>
      <c r="HT30" s="56"/>
      <c r="HU30" s="38"/>
    </row>
    <row r="31" spans="1:229" x14ac:dyDescent="0.2">
      <c r="A31" s="36">
        <v>28</v>
      </c>
      <c r="B31" s="70" t="s">
        <v>84</v>
      </c>
      <c r="C31" s="77">
        <v>19245</v>
      </c>
      <c r="D31" s="77">
        <v>19244</v>
      </c>
      <c r="E31" s="77">
        <v>19027</v>
      </c>
      <c r="F31" s="77">
        <v>18916</v>
      </c>
      <c r="G31" s="150">
        <v>18837</v>
      </c>
      <c r="H31" s="41">
        <v>18354</v>
      </c>
      <c r="I31" s="41">
        <v>116</v>
      </c>
      <c r="J31" s="41">
        <v>33</v>
      </c>
      <c r="K31" s="41">
        <v>96</v>
      </c>
      <c r="L31" s="41">
        <v>161</v>
      </c>
      <c r="M31" s="42">
        <v>7918</v>
      </c>
      <c r="N31" s="43">
        <v>7884</v>
      </c>
      <c r="O31" s="43">
        <v>7849</v>
      </c>
      <c r="P31" s="44">
        <v>7860</v>
      </c>
      <c r="Q31" s="44">
        <v>7857</v>
      </c>
      <c r="R31" s="87">
        <v>25.51631720006306</v>
      </c>
      <c r="S31" s="87">
        <v>26.907952812775861</v>
      </c>
      <c r="T31" s="87">
        <v>27.122119248749282</v>
      </c>
      <c r="U31" s="87">
        <v>27.911001236093941</v>
      </c>
      <c r="V31" s="87">
        <v>29.112869637650977</v>
      </c>
      <c r="W31" s="87">
        <v>26.18634715434337</v>
      </c>
      <c r="X31" s="87">
        <v>27.525880747933552</v>
      </c>
      <c r="Y31" s="87">
        <v>28.926433199376692</v>
      </c>
      <c r="Z31" s="87">
        <v>27.968685620107127</v>
      </c>
      <c r="AA31" s="42">
        <v>27.796751353602666</v>
      </c>
      <c r="AB31" s="87">
        <v>51.70266435440643</v>
      </c>
      <c r="AC31" s="87">
        <v>54.433833560709417</v>
      </c>
      <c r="AD31" s="87">
        <v>56.048552448125974</v>
      </c>
      <c r="AE31" s="87">
        <v>55.879686856201069</v>
      </c>
      <c r="AF31" s="87">
        <v>56.909620991253647</v>
      </c>
      <c r="AG31" s="44">
        <v>5.6975894813732655</v>
      </c>
      <c r="AH31" s="44">
        <v>8.2767363940958081</v>
      </c>
      <c r="AI31" s="44">
        <v>7.754846779237023</v>
      </c>
      <c r="AJ31" s="43">
        <v>7.0444104134762631</v>
      </c>
      <c r="AK31" s="43">
        <v>6.255275250867486</v>
      </c>
      <c r="AL31" s="47">
        <v>324.16666666666669</v>
      </c>
      <c r="AM31" s="47">
        <v>406.16666666666669</v>
      </c>
      <c r="AN31" s="47">
        <v>324.16666666666669</v>
      </c>
      <c r="AO31" s="47">
        <v>528.33333333333337</v>
      </c>
      <c r="AP31" s="47">
        <v>539.58333333333337</v>
      </c>
      <c r="AQ31" s="47">
        <v>39992.282393505033</v>
      </c>
      <c r="AR31" s="47">
        <v>40282.409817008425</v>
      </c>
      <c r="AS31" s="47">
        <v>41113.263374518581</v>
      </c>
      <c r="AT31" s="47">
        <v>41783.031042492301</v>
      </c>
      <c r="AU31" s="47">
        <v>42737.006954398261</v>
      </c>
      <c r="AV31" s="84">
        <v>53752.865629409454</v>
      </c>
      <c r="AW31" s="85">
        <v>52727.102650748449</v>
      </c>
      <c r="AX31" s="85">
        <v>53416.972590532416</v>
      </c>
      <c r="AY31" s="85">
        <v>53407.477239583844</v>
      </c>
      <c r="AZ31" s="85">
        <v>50523</v>
      </c>
      <c r="BA31" s="83">
        <v>8.9288548003173762</v>
      </c>
      <c r="BB31" s="83">
        <v>8.6169480760069863</v>
      </c>
      <c r="BC31" s="83">
        <v>9.3024494142704999</v>
      </c>
      <c r="BD31" s="83">
        <v>9.5431907031542877</v>
      </c>
      <c r="BE31" s="83">
        <v>10.096774193548388</v>
      </c>
      <c r="BF31" s="83">
        <v>10.782442748091603</v>
      </c>
      <c r="BG31" s="46">
        <v>11.496136736127371</v>
      </c>
      <c r="BH31" s="46">
        <v>12.548749713236981</v>
      </c>
      <c r="BI31" s="46">
        <v>12.601046124583927</v>
      </c>
      <c r="BJ31" s="46">
        <v>12.648701141053653</v>
      </c>
      <c r="BK31" s="42">
        <v>4287</v>
      </c>
      <c r="BL31" s="42">
        <v>4317</v>
      </c>
      <c r="BM31" s="40">
        <v>4573</v>
      </c>
      <c r="BN31" s="40">
        <v>4922</v>
      </c>
      <c r="BO31" s="43">
        <v>26.032190342897131</v>
      </c>
      <c r="BP31" s="43">
        <v>24.461431549687283</v>
      </c>
      <c r="BQ31" s="44">
        <v>24.863328230920622</v>
      </c>
      <c r="BR31" s="44">
        <v>27.427874847622917</v>
      </c>
      <c r="BS31" s="87">
        <v>4.6652670865407045E-2</v>
      </c>
      <c r="BT31" s="87">
        <v>2.316423442205235E-2</v>
      </c>
      <c r="BU31" s="87">
        <v>6.56024491581019E-2</v>
      </c>
      <c r="BV31" s="87">
        <v>4.063388866314506E-2</v>
      </c>
      <c r="BW31" s="43">
        <v>10.006997900629811</v>
      </c>
      <c r="BX31" s="43">
        <v>11.489460273337967</v>
      </c>
      <c r="BY31" s="43">
        <v>11.961513229827247</v>
      </c>
      <c r="BZ31" s="43">
        <v>13.165379926859</v>
      </c>
      <c r="CA31" s="42">
        <v>77.20930232558139</v>
      </c>
      <c r="CB31" s="42">
        <v>72.259507829977622</v>
      </c>
      <c r="CC31" s="42">
        <v>69.47</v>
      </c>
      <c r="CD31" s="44">
        <v>64.66</v>
      </c>
      <c r="CE31" s="43">
        <v>7.9069767441860463</v>
      </c>
      <c r="CF31" s="43">
        <v>12.527964205816556</v>
      </c>
      <c r="CG31" s="43">
        <v>14.32</v>
      </c>
      <c r="CH31" s="44">
        <v>16.920000000000002</v>
      </c>
      <c r="CI31" s="49">
        <v>1166</v>
      </c>
      <c r="CJ31" s="49">
        <v>1012</v>
      </c>
      <c r="CK31" s="54">
        <v>1133</v>
      </c>
      <c r="CL31" s="51">
        <v>940</v>
      </c>
      <c r="CM31" s="88">
        <v>12.2</v>
      </c>
      <c r="CN31" s="88">
        <v>10.3</v>
      </c>
      <c r="CO31" s="88">
        <v>11.4</v>
      </c>
      <c r="CP31" s="88">
        <v>9.9</v>
      </c>
      <c r="CQ31" s="53">
        <v>27</v>
      </c>
      <c r="CR31" s="53">
        <v>60</v>
      </c>
      <c r="CS31" s="53">
        <v>46</v>
      </c>
      <c r="CT31" s="53">
        <v>43</v>
      </c>
      <c r="CU31" s="88">
        <v>2.4</v>
      </c>
      <c r="CV31" s="88">
        <v>6.3</v>
      </c>
      <c r="CW31" s="88">
        <v>4.2</v>
      </c>
      <c r="CX31" s="88">
        <v>4.8</v>
      </c>
      <c r="CY31" s="51">
        <v>66</v>
      </c>
      <c r="CZ31" s="53">
        <v>79</v>
      </c>
      <c r="DA31" s="53">
        <v>78</v>
      </c>
      <c r="DB31" s="53">
        <v>50</v>
      </c>
      <c r="DC31" s="88">
        <v>6.1</v>
      </c>
      <c r="DD31" s="88">
        <v>8.8000000000000007</v>
      </c>
      <c r="DE31" s="88">
        <v>7.4</v>
      </c>
      <c r="DF31" s="88">
        <v>6.1</v>
      </c>
      <c r="DG31" s="88">
        <v>88</v>
      </c>
      <c r="DH31" s="88">
        <v>88.3</v>
      </c>
      <c r="DI31" s="88">
        <v>85.1</v>
      </c>
      <c r="DJ31" s="88">
        <v>87.2</v>
      </c>
      <c r="DK31" s="88">
        <v>11.2</v>
      </c>
      <c r="DL31" s="88">
        <v>12.6</v>
      </c>
      <c r="DM31" s="88">
        <v>13.5</v>
      </c>
      <c r="DN31" s="88">
        <v>15.031982942430703</v>
      </c>
      <c r="DO31" s="88">
        <v>17.2</v>
      </c>
      <c r="DP31" s="88">
        <v>17.8</v>
      </c>
      <c r="DQ31" s="88">
        <v>25</v>
      </c>
      <c r="DR31" s="88">
        <v>25.4</v>
      </c>
      <c r="DS31" s="88">
        <v>22.850270595309681</v>
      </c>
      <c r="DT31" s="88">
        <v>10.643959552953699</v>
      </c>
      <c r="DU31" s="88">
        <v>17.595307917888562</v>
      </c>
      <c r="DV31" s="88">
        <v>12.824336415150611</v>
      </c>
      <c r="DW31" s="54">
        <v>188</v>
      </c>
      <c r="DX31" s="54">
        <v>2</v>
      </c>
      <c r="DY31" s="51">
        <v>1</v>
      </c>
      <c r="DZ31" s="53">
        <v>4</v>
      </c>
      <c r="EA31" s="53">
        <v>1</v>
      </c>
      <c r="EB31" s="53">
        <v>7</v>
      </c>
      <c r="EC31" s="53">
        <v>8</v>
      </c>
      <c r="ED31" s="51">
        <v>5</v>
      </c>
      <c r="EE31" s="53">
        <v>6</v>
      </c>
      <c r="EF31" s="53">
        <v>943</v>
      </c>
      <c r="EG31" s="53">
        <v>945</v>
      </c>
      <c r="EH31" s="53">
        <v>913</v>
      </c>
      <c r="EI31" s="53">
        <v>837</v>
      </c>
      <c r="EJ31" s="92">
        <v>156</v>
      </c>
      <c r="EK31" s="92">
        <v>1</v>
      </c>
      <c r="EL31" s="92">
        <v>0</v>
      </c>
      <c r="EM31" s="92">
        <v>0</v>
      </c>
      <c r="EN31" s="92">
        <v>0</v>
      </c>
      <c r="EO31" s="88">
        <v>985.19594220462409</v>
      </c>
      <c r="EP31" s="88">
        <v>962.23360384486148</v>
      </c>
      <c r="EQ31" s="88">
        <v>920.75273805441816</v>
      </c>
      <c r="ER31" s="88">
        <v>888.37136277998741</v>
      </c>
      <c r="ES31" s="88">
        <v>766.3</v>
      </c>
      <c r="ET31" s="88">
        <v>717.6</v>
      </c>
      <c r="EU31" s="88">
        <v>643.9</v>
      </c>
      <c r="EV31" s="88">
        <v>570.29999999999995</v>
      </c>
      <c r="EW31" s="88">
        <v>956.66592991546952</v>
      </c>
      <c r="EX31" s="88">
        <v>881.9617637364438</v>
      </c>
      <c r="EY31" s="88">
        <v>801.60598541887805</v>
      </c>
      <c r="EZ31" s="88">
        <v>654.82970717372336</v>
      </c>
      <c r="FA31" s="88">
        <v>627.3592438686278</v>
      </c>
      <c r="FB31" s="88">
        <v>595.60243428223248</v>
      </c>
      <c r="FC31" s="88">
        <v>528.3114706331321</v>
      </c>
      <c r="FD31" s="88">
        <v>493.80095272256835</v>
      </c>
      <c r="FE31" s="51">
        <v>228</v>
      </c>
      <c r="FF31" s="54">
        <v>199</v>
      </c>
      <c r="FG31" s="54">
        <v>201</v>
      </c>
      <c r="FH31" s="54">
        <v>197</v>
      </c>
      <c r="FI31" s="88">
        <v>195.9675</v>
      </c>
      <c r="FJ31" s="88">
        <v>162.90899999999999</v>
      </c>
      <c r="FK31" s="88">
        <v>156.18039999999999</v>
      </c>
      <c r="FL31" s="88">
        <v>144.98009999999999</v>
      </c>
      <c r="FM31" s="54">
        <v>245</v>
      </c>
      <c r="FN31" s="54">
        <v>234</v>
      </c>
      <c r="FO31" s="51">
        <v>192</v>
      </c>
      <c r="FP31" s="54">
        <v>165</v>
      </c>
      <c r="FQ31" s="88">
        <v>194.8058</v>
      </c>
      <c r="FR31" s="88">
        <v>168.8982</v>
      </c>
      <c r="FS31" s="88">
        <v>127.3934</v>
      </c>
      <c r="FT31" s="88">
        <v>105.24720000000001</v>
      </c>
      <c r="FU31" s="53">
        <v>82</v>
      </c>
      <c r="FV31" s="53">
        <v>75</v>
      </c>
      <c r="FW31" s="53">
        <v>65</v>
      </c>
      <c r="FX31" s="53">
        <v>56</v>
      </c>
      <c r="FY31" s="88">
        <v>60.877510000000001</v>
      </c>
      <c r="FZ31" s="88">
        <v>52.804850000000002</v>
      </c>
      <c r="GA31" s="88">
        <v>42.716090000000001</v>
      </c>
      <c r="GB31" s="88">
        <v>34.629060000000003</v>
      </c>
      <c r="GC31" s="55">
        <v>37</v>
      </c>
      <c r="GD31" s="56">
        <v>61</v>
      </c>
      <c r="GE31" s="55">
        <v>49</v>
      </c>
      <c r="GF31" s="55">
        <v>50</v>
      </c>
      <c r="GG31" s="91">
        <v>34.433239999999998</v>
      </c>
      <c r="GH31" s="91">
        <v>52.939489999999999</v>
      </c>
      <c r="GI31" s="91">
        <v>38.16283</v>
      </c>
      <c r="GJ31" s="91">
        <v>39.393090000000001</v>
      </c>
      <c r="GK31" s="55"/>
      <c r="GL31" s="55"/>
      <c r="GM31" s="55"/>
      <c r="GN31" s="56"/>
      <c r="GO31" s="55"/>
      <c r="GP31" s="55"/>
      <c r="GQ31" s="55"/>
      <c r="GR31" s="55"/>
      <c r="GS31" s="56"/>
      <c r="GT31" s="55"/>
      <c r="GU31" s="55"/>
      <c r="GV31" s="55"/>
      <c r="GW31" s="55"/>
      <c r="GX31" s="56"/>
      <c r="GY31" s="56"/>
      <c r="GZ31" s="56"/>
      <c r="HA31" s="56"/>
      <c r="HB31" s="56"/>
      <c r="HC31" s="56"/>
      <c r="HD31" s="57"/>
      <c r="HE31" s="57"/>
      <c r="HF31" s="57"/>
      <c r="HG31" s="57"/>
      <c r="HH31" s="57"/>
      <c r="HI31" s="58"/>
      <c r="HJ31" s="58"/>
      <c r="HK31" s="55"/>
      <c r="HL31" s="56"/>
      <c r="HM31" s="56"/>
      <c r="HN31" s="56"/>
      <c r="HO31" s="56"/>
      <c r="HP31" s="56"/>
      <c r="HQ31" s="56"/>
      <c r="HR31" s="56"/>
      <c r="HS31" s="56"/>
      <c r="HT31" s="56"/>
      <c r="HU31" s="38"/>
    </row>
    <row r="32" spans="1:229" x14ac:dyDescent="0.2">
      <c r="A32" s="36">
        <v>29</v>
      </c>
      <c r="B32" s="70" t="s">
        <v>85</v>
      </c>
      <c r="C32" s="77">
        <v>18810</v>
      </c>
      <c r="D32" s="77">
        <v>18644</v>
      </c>
      <c r="E32" s="77">
        <v>20428</v>
      </c>
      <c r="F32" s="77">
        <v>20303</v>
      </c>
      <c r="G32" s="150">
        <v>20347</v>
      </c>
      <c r="H32" s="41">
        <v>19281</v>
      </c>
      <c r="I32" s="41">
        <v>74</v>
      </c>
      <c r="J32" s="41">
        <v>554</v>
      </c>
      <c r="K32" s="41">
        <v>74</v>
      </c>
      <c r="L32" s="41">
        <v>346</v>
      </c>
      <c r="M32" s="42">
        <v>7980</v>
      </c>
      <c r="N32" s="43">
        <v>7987</v>
      </c>
      <c r="O32" s="43">
        <v>8661</v>
      </c>
      <c r="P32" s="44">
        <v>8714</v>
      </c>
      <c r="Q32" s="44">
        <v>8696</v>
      </c>
      <c r="R32" s="87">
        <v>33.567572199845742</v>
      </c>
      <c r="S32" s="87">
        <v>34.508640251352766</v>
      </c>
      <c r="T32" s="87">
        <v>33.881395163221327</v>
      </c>
      <c r="U32" s="87">
        <v>35.035438144329895</v>
      </c>
      <c r="V32" s="87">
        <v>36.959882822035965</v>
      </c>
      <c r="W32" s="87">
        <v>27.628759962293255</v>
      </c>
      <c r="X32" s="87">
        <v>28.2073660324664</v>
      </c>
      <c r="Y32" s="87">
        <v>29.164338734136802</v>
      </c>
      <c r="Z32" s="87">
        <v>28.487435567010309</v>
      </c>
      <c r="AA32" s="42">
        <v>28.610952884693628</v>
      </c>
      <c r="AB32" s="87">
        <v>61.196332162139001</v>
      </c>
      <c r="AC32" s="87">
        <v>62.716006283819169</v>
      </c>
      <c r="AD32" s="87">
        <v>63.045733897358126</v>
      </c>
      <c r="AE32" s="87">
        <v>63.522873711340203</v>
      </c>
      <c r="AF32" s="87">
        <v>65.570835706729596</v>
      </c>
      <c r="AG32" s="44">
        <v>7.4911439883309026</v>
      </c>
      <c r="AH32" s="44">
        <v>10.335137385512073</v>
      </c>
      <c r="AI32" s="44">
        <v>9.9217527386541473</v>
      </c>
      <c r="AJ32" s="43">
        <v>9.2452225899434186</v>
      </c>
      <c r="AK32" s="43">
        <v>8.33690527218174</v>
      </c>
      <c r="AL32" s="47">
        <v>638.41666666666663</v>
      </c>
      <c r="AM32" s="47">
        <v>751.66666666666663</v>
      </c>
      <c r="AN32" s="47">
        <v>638.41666666666663</v>
      </c>
      <c r="AO32" s="47">
        <v>1119.4166666666667</v>
      </c>
      <c r="AP32" s="47">
        <v>1151.3333333333333</v>
      </c>
      <c r="AQ32" s="47">
        <v>31528.144204428045</v>
      </c>
      <c r="AR32" s="47">
        <v>31307.820804223596</v>
      </c>
      <c r="AS32" s="47">
        <v>32305.862531238559</v>
      </c>
      <c r="AT32" s="47">
        <v>32956.527840407514</v>
      </c>
      <c r="AU32" s="47">
        <v>33934.19177274291</v>
      </c>
      <c r="AV32" s="84">
        <v>45120.543783831068</v>
      </c>
      <c r="AW32" s="85">
        <v>46789.698491817835</v>
      </c>
      <c r="AX32" s="85">
        <v>44244.946093723149</v>
      </c>
      <c r="AY32" s="85">
        <v>42048.24524341894</v>
      </c>
      <c r="AZ32" s="85">
        <v>44140</v>
      </c>
      <c r="BA32" s="83">
        <v>10.799913987743253</v>
      </c>
      <c r="BB32" s="83">
        <v>12.899549573994681</v>
      </c>
      <c r="BC32" s="83">
        <v>12.779758367993661</v>
      </c>
      <c r="BD32" s="83">
        <v>14.096062052505967</v>
      </c>
      <c r="BE32" s="83">
        <v>13.628924267222139</v>
      </c>
      <c r="BF32" s="83">
        <v>17.681982447083119</v>
      </c>
      <c r="BG32" s="46">
        <v>20.592783505154639</v>
      </c>
      <c r="BH32" s="46">
        <v>20.371219065077909</v>
      </c>
      <c r="BI32" s="46">
        <v>22.789275634995295</v>
      </c>
      <c r="BJ32" s="46">
        <v>21.173954372623573</v>
      </c>
      <c r="BK32" s="42">
        <v>2341</v>
      </c>
      <c r="BL32" s="42">
        <v>2301</v>
      </c>
      <c r="BM32" s="40">
        <v>2300</v>
      </c>
      <c r="BN32" s="40">
        <v>2343</v>
      </c>
      <c r="BO32" s="43">
        <v>53.99401964972234</v>
      </c>
      <c r="BP32" s="43">
        <v>53.237722729248155</v>
      </c>
      <c r="BQ32" s="44">
        <v>52.869565217391305</v>
      </c>
      <c r="BR32" s="44">
        <v>53.17968416559966</v>
      </c>
      <c r="BS32" s="87">
        <v>0.17086715079026057</v>
      </c>
      <c r="BT32" s="87">
        <v>0</v>
      </c>
      <c r="BU32" s="87">
        <v>0.30434782608695654</v>
      </c>
      <c r="BV32" s="87">
        <v>0.2987622705932565</v>
      </c>
      <c r="BW32" s="43">
        <v>21.059376334899614</v>
      </c>
      <c r="BX32" s="43">
        <v>20.512820512820515</v>
      </c>
      <c r="BY32" s="43">
        <v>19.782608695652176</v>
      </c>
      <c r="BZ32" s="43">
        <v>20.187793427230048</v>
      </c>
      <c r="CA32" s="42">
        <v>76.719576719576722</v>
      </c>
      <c r="CB32" s="42">
        <v>84</v>
      </c>
      <c r="CC32" s="42">
        <v>76.37</v>
      </c>
      <c r="CD32" s="44">
        <v>76.84</v>
      </c>
      <c r="CE32" s="43">
        <v>5.2910052910052912</v>
      </c>
      <c r="CF32" s="43">
        <v>4</v>
      </c>
      <c r="CG32" s="43">
        <v>9.34</v>
      </c>
      <c r="CH32" s="44">
        <v>10.53</v>
      </c>
      <c r="CI32" s="49">
        <v>878</v>
      </c>
      <c r="CJ32" s="49">
        <v>917</v>
      </c>
      <c r="CK32" s="54">
        <v>1100</v>
      </c>
      <c r="CL32" s="54">
        <v>1127</v>
      </c>
      <c r="CM32" s="88">
        <v>10.9</v>
      </c>
      <c r="CN32" s="88">
        <v>10.3</v>
      </c>
      <c r="CO32" s="88">
        <v>11.7</v>
      </c>
      <c r="CP32" s="88">
        <v>11.4</v>
      </c>
      <c r="CQ32" s="53">
        <v>41</v>
      </c>
      <c r="CR32" s="53">
        <v>53</v>
      </c>
      <c r="CS32" s="53">
        <v>51</v>
      </c>
      <c r="CT32" s="53">
        <v>51</v>
      </c>
      <c r="CU32" s="88">
        <v>4.8</v>
      </c>
      <c r="CV32" s="88">
        <v>5.9</v>
      </c>
      <c r="CW32" s="88">
        <v>4.8</v>
      </c>
      <c r="CX32" s="88">
        <v>4.7</v>
      </c>
      <c r="CY32" s="51">
        <v>59</v>
      </c>
      <c r="CZ32" s="53">
        <v>63</v>
      </c>
      <c r="DA32" s="53">
        <v>83</v>
      </c>
      <c r="DB32" s="53">
        <v>81</v>
      </c>
      <c r="DC32" s="88">
        <v>7.7</v>
      </c>
      <c r="DD32" s="88">
        <v>8.4</v>
      </c>
      <c r="DE32" s="88">
        <v>8.9</v>
      </c>
      <c r="DF32" s="88">
        <v>8.3000000000000007</v>
      </c>
      <c r="DG32" s="88">
        <v>71.8</v>
      </c>
      <c r="DH32" s="88">
        <v>78.900000000000006</v>
      </c>
      <c r="DI32" s="88">
        <v>76.3</v>
      </c>
      <c r="DJ32" s="88">
        <v>78.400000000000006</v>
      </c>
      <c r="DK32" s="88">
        <v>22.4</v>
      </c>
      <c r="DL32" s="88">
        <v>22.9</v>
      </c>
      <c r="DM32" s="88">
        <v>24.8</v>
      </c>
      <c r="DN32" s="88">
        <v>21.371326803205697</v>
      </c>
      <c r="DO32" s="88">
        <v>30.5</v>
      </c>
      <c r="DP32" s="88">
        <v>34.9</v>
      </c>
      <c r="DQ32" s="88">
        <v>35.200000000000003</v>
      </c>
      <c r="DR32" s="88">
        <v>37.9</v>
      </c>
      <c r="DS32" s="88">
        <v>39.401678219627875</v>
      </c>
      <c r="DT32" s="88">
        <v>39.275851488186561</v>
      </c>
      <c r="DU32" s="88">
        <v>30.72</v>
      </c>
      <c r="DV32" s="88">
        <v>31.437654539032145</v>
      </c>
      <c r="DW32" s="54">
        <v>189</v>
      </c>
      <c r="DX32" s="54">
        <v>2</v>
      </c>
      <c r="DY32" s="51">
        <v>9</v>
      </c>
      <c r="DZ32" s="53">
        <v>0</v>
      </c>
      <c r="EA32" s="53">
        <v>4</v>
      </c>
      <c r="EB32" s="53">
        <v>5</v>
      </c>
      <c r="EC32" s="53">
        <v>5</v>
      </c>
      <c r="ED32" s="51">
        <v>6</v>
      </c>
      <c r="EE32" s="53">
        <v>5</v>
      </c>
      <c r="EF32" s="53">
        <v>913</v>
      </c>
      <c r="EG32" s="53">
        <v>890</v>
      </c>
      <c r="EH32" s="53">
        <v>830</v>
      </c>
      <c r="EI32" s="53">
        <v>928</v>
      </c>
      <c r="EJ32" s="92">
        <v>188</v>
      </c>
      <c r="EK32" s="92">
        <v>0</v>
      </c>
      <c r="EL32" s="92">
        <v>3</v>
      </c>
      <c r="EM32" s="92">
        <v>1</v>
      </c>
      <c r="EN32" s="92">
        <v>0</v>
      </c>
      <c r="EO32" s="88">
        <v>1129.642919007201</v>
      </c>
      <c r="EP32" s="88">
        <v>998.47424160832884</v>
      </c>
      <c r="EQ32" s="88">
        <v>882.82845473110956</v>
      </c>
      <c r="ER32" s="88">
        <v>940.07802008057809</v>
      </c>
      <c r="ES32" s="88">
        <v>873.6</v>
      </c>
      <c r="ET32" s="88">
        <v>763.8</v>
      </c>
      <c r="EU32" s="88">
        <v>610.9</v>
      </c>
      <c r="EV32" s="88">
        <v>627.70000000000005</v>
      </c>
      <c r="EW32" s="88">
        <v>1067.3031982877246</v>
      </c>
      <c r="EX32" s="88">
        <v>895.04571333100978</v>
      </c>
      <c r="EY32" s="88">
        <v>696.85709514711323</v>
      </c>
      <c r="EZ32" s="88">
        <v>735.61862107554555</v>
      </c>
      <c r="FA32" s="88">
        <v>706.40102327907744</v>
      </c>
      <c r="FB32" s="88">
        <v>644.57513721214832</v>
      </c>
      <c r="FC32" s="88">
        <v>526.20693818621089</v>
      </c>
      <c r="FD32" s="88">
        <v>528.06299807344021</v>
      </c>
      <c r="FE32" s="51">
        <v>233</v>
      </c>
      <c r="FF32" s="54">
        <v>218</v>
      </c>
      <c r="FG32" s="54">
        <v>235</v>
      </c>
      <c r="FH32" s="54">
        <v>257</v>
      </c>
      <c r="FI32" s="88">
        <v>220.19810000000001</v>
      </c>
      <c r="FJ32" s="88">
        <v>180.2063</v>
      </c>
      <c r="FK32" s="88">
        <v>171.59469999999999</v>
      </c>
      <c r="FL32" s="88">
        <v>163.57849999999999</v>
      </c>
      <c r="FM32" s="54">
        <v>261</v>
      </c>
      <c r="FN32" s="54">
        <v>264</v>
      </c>
      <c r="FO32" s="51">
        <v>193</v>
      </c>
      <c r="FP32" s="54">
        <v>171</v>
      </c>
      <c r="FQ32" s="88">
        <v>244.5009</v>
      </c>
      <c r="FR32" s="88">
        <v>217.6087</v>
      </c>
      <c r="FS32" s="88">
        <v>138.096</v>
      </c>
      <c r="FT32" s="88">
        <v>111.8373</v>
      </c>
      <c r="FU32" s="53">
        <v>65</v>
      </c>
      <c r="FV32" s="53">
        <v>58</v>
      </c>
      <c r="FW32" s="53">
        <v>57</v>
      </c>
      <c r="FX32" s="53">
        <v>64</v>
      </c>
      <c r="FY32" s="88">
        <v>60.75217</v>
      </c>
      <c r="FZ32" s="88">
        <v>48.716450000000002</v>
      </c>
      <c r="GA32" s="88">
        <v>38.48171</v>
      </c>
      <c r="GB32" s="88">
        <v>41.675460000000001</v>
      </c>
      <c r="GC32" s="55">
        <v>36</v>
      </c>
      <c r="GD32" s="56">
        <v>46</v>
      </c>
      <c r="GE32" s="55">
        <v>51</v>
      </c>
      <c r="GF32" s="55">
        <v>56</v>
      </c>
      <c r="GG32" s="91">
        <v>43.174100000000003</v>
      </c>
      <c r="GH32" s="91">
        <v>51.349649999999997</v>
      </c>
      <c r="GI32" s="91">
        <v>47.583739999999999</v>
      </c>
      <c r="GJ32" s="91">
        <v>47.442480000000003</v>
      </c>
      <c r="GK32" s="55"/>
      <c r="GL32" s="55"/>
      <c r="GM32" s="55"/>
      <c r="GN32" s="56"/>
      <c r="GO32" s="55"/>
      <c r="GP32" s="55"/>
      <c r="GQ32" s="55"/>
      <c r="GR32" s="55"/>
      <c r="GS32" s="56"/>
      <c r="GT32" s="55"/>
      <c r="GU32" s="55"/>
      <c r="GV32" s="55"/>
      <c r="GW32" s="55"/>
      <c r="GX32" s="56"/>
      <c r="GY32" s="56"/>
      <c r="GZ32" s="56"/>
      <c r="HA32" s="56"/>
      <c r="HB32" s="56"/>
      <c r="HC32" s="56"/>
      <c r="HD32" s="57"/>
      <c r="HE32" s="57"/>
      <c r="HF32" s="57"/>
      <c r="HG32" s="57"/>
      <c r="HH32" s="57"/>
      <c r="HI32" s="58"/>
      <c r="HJ32" s="58"/>
      <c r="HK32" s="55"/>
      <c r="HL32" s="56"/>
      <c r="HM32" s="56"/>
      <c r="HN32" s="56"/>
      <c r="HO32" s="56"/>
      <c r="HP32" s="56"/>
      <c r="HQ32" s="56"/>
      <c r="HR32" s="56"/>
      <c r="HS32" s="56"/>
      <c r="HT32" s="56"/>
      <c r="HU32" s="38"/>
    </row>
    <row r="33" spans="1:229" x14ac:dyDescent="0.2">
      <c r="A33" s="36">
        <v>30</v>
      </c>
      <c r="B33" s="70" t="s">
        <v>86</v>
      </c>
      <c r="C33" s="77">
        <v>39105</v>
      </c>
      <c r="D33" s="77">
        <v>39442</v>
      </c>
      <c r="E33" s="77">
        <v>37816</v>
      </c>
      <c r="F33" s="77">
        <v>38283</v>
      </c>
      <c r="G33" s="150">
        <v>38248</v>
      </c>
      <c r="H33" s="41">
        <v>36823</v>
      </c>
      <c r="I33" s="41">
        <v>271</v>
      </c>
      <c r="J33" s="41">
        <v>196</v>
      </c>
      <c r="K33" s="41">
        <v>356</v>
      </c>
      <c r="L33" s="41">
        <v>640</v>
      </c>
      <c r="M33" s="42">
        <v>14663</v>
      </c>
      <c r="N33" s="43">
        <v>14725</v>
      </c>
      <c r="O33" s="43">
        <v>13972</v>
      </c>
      <c r="P33" s="44">
        <v>14128</v>
      </c>
      <c r="Q33" s="44">
        <v>14154</v>
      </c>
      <c r="R33" s="87">
        <v>15.172161172161172</v>
      </c>
      <c r="S33" s="87">
        <v>16.406887849773621</v>
      </c>
      <c r="T33" s="87">
        <v>18.720748829953198</v>
      </c>
      <c r="U33" s="87">
        <v>19.583465315172631</v>
      </c>
      <c r="V33" s="87">
        <v>20.368974409839318</v>
      </c>
      <c r="W33" s="87">
        <v>28.069597069597069</v>
      </c>
      <c r="X33" s="87">
        <v>29.967342091590588</v>
      </c>
      <c r="Y33" s="87">
        <v>32.549301972078887</v>
      </c>
      <c r="Z33" s="87">
        <v>31.996357301235349</v>
      </c>
      <c r="AA33" s="42">
        <v>31.378694703431858</v>
      </c>
      <c r="AB33" s="87">
        <v>43.241758241758241</v>
      </c>
      <c r="AC33" s="87">
        <v>46.374229941364213</v>
      </c>
      <c r="AD33" s="87">
        <v>51.270050802032081</v>
      </c>
      <c r="AE33" s="87">
        <v>51.579822616407981</v>
      </c>
      <c r="AF33" s="87">
        <v>51.747669113271179</v>
      </c>
      <c r="AG33" s="44">
        <v>6.8484377144425634</v>
      </c>
      <c r="AH33" s="44">
        <v>10.441638940795771</v>
      </c>
      <c r="AI33" s="44">
        <v>9.2271040454482982</v>
      </c>
      <c r="AJ33" s="43">
        <v>8.1190115985879974</v>
      </c>
      <c r="AK33" s="43">
        <v>6.7402784445511283</v>
      </c>
      <c r="AL33" s="47">
        <v>693.91666666666663</v>
      </c>
      <c r="AM33" s="47">
        <v>950.41666666666663</v>
      </c>
      <c r="AN33" s="47">
        <v>693.91666666666663</v>
      </c>
      <c r="AO33" s="47">
        <v>1489.8333333333333</v>
      </c>
      <c r="AP33" s="47">
        <v>1500.5</v>
      </c>
      <c r="AQ33" s="47">
        <v>36949.310975460787</v>
      </c>
      <c r="AR33" s="47">
        <v>36680.12116420002</v>
      </c>
      <c r="AS33" s="47">
        <v>37345.492540299623</v>
      </c>
      <c r="AT33" s="47">
        <v>37796.20502588059</v>
      </c>
      <c r="AU33" s="47">
        <v>38299.126751725584</v>
      </c>
      <c r="AV33" s="84">
        <v>65480.879916953745</v>
      </c>
      <c r="AW33" s="85">
        <v>59109.705102778404</v>
      </c>
      <c r="AX33" s="85">
        <v>58364.665451111774</v>
      </c>
      <c r="AY33" s="85">
        <v>59056.982954272738</v>
      </c>
      <c r="AZ33" s="85">
        <v>58318</v>
      </c>
      <c r="BA33" s="83">
        <v>7.4535127985684273</v>
      </c>
      <c r="BB33" s="83">
        <v>9.0254193681177313</v>
      </c>
      <c r="BC33" s="83">
        <v>8.897692595963381</v>
      </c>
      <c r="BD33" s="83">
        <v>8.8250086026628551</v>
      </c>
      <c r="BE33" s="83">
        <v>9.1496517571038911</v>
      </c>
      <c r="BF33" s="83">
        <v>9.6071780282306598</v>
      </c>
      <c r="BG33" s="46">
        <v>12.243203984229094</v>
      </c>
      <c r="BH33" s="46">
        <v>11.94372068785826</v>
      </c>
      <c r="BI33" s="46">
        <v>12.464648580705981</v>
      </c>
      <c r="BJ33" s="46">
        <v>12.573255194459243</v>
      </c>
      <c r="BK33" s="42">
        <v>6264</v>
      </c>
      <c r="BL33" s="42">
        <v>6314</v>
      </c>
      <c r="BM33" s="40">
        <v>6266</v>
      </c>
      <c r="BN33" s="40">
        <v>6247</v>
      </c>
      <c r="BO33" s="43">
        <v>36.94125159642401</v>
      </c>
      <c r="BP33" s="43">
        <v>36.949635730123532</v>
      </c>
      <c r="BQ33" s="44">
        <v>39.083945100542614</v>
      </c>
      <c r="BR33" s="44">
        <v>39.234832719705459</v>
      </c>
      <c r="BS33" s="87">
        <v>1.4367816091954022</v>
      </c>
      <c r="BT33" s="87">
        <v>0.99778270509977829</v>
      </c>
      <c r="BU33" s="87">
        <v>1.1490584104691988</v>
      </c>
      <c r="BV33" s="87">
        <v>1.1365455418600929</v>
      </c>
      <c r="BW33" s="43">
        <v>12.068965517241379</v>
      </c>
      <c r="BX33" s="43">
        <v>12.733607855559075</v>
      </c>
      <c r="BY33" s="43">
        <v>13.006702840727737</v>
      </c>
      <c r="BZ33" s="43">
        <v>13.046262205858811</v>
      </c>
      <c r="CA33" s="42">
        <v>72.531418312387785</v>
      </c>
      <c r="CB33" s="42">
        <v>77.799607072691558</v>
      </c>
      <c r="CC33" s="42">
        <v>81.819999999999993</v>
      </c>
      <c r="CD33" s="44">
        <v>75.41</v>
      </c>
      <c r="CE33" s="43">
        <v>4.3087971274685817</v>
      </c>
      <c r="CF33" s="43">
        <v>2.9469548133595285</v>
      </c>
      <c r="CG33" s="43">
        <v>3.75</v>
      </c>
      <c r="CH33" s="44">
        <v>3.72</v>
      </c>
      <c r="CI33" s="49">
        <v>1794</v>
      </c>
      <c r="CJ33" s="49">
        <v>1968</v>
      </c>
      <c r="CK33" s="54">
        <v>2448</v>
      </c>
      <c r="CL33" s="54">
        <v>2407</v>
      </c>
      <c r="CM33" s="88">
        <v>12.6</v>
      </c>
      <c r="CN33" s="88">
        <v>12.4</v>
      </c>
      <c r="CO33" s="88">
        <v>13.1</v>
      </c>
      <c r="CP33" s="88">
        <v>12.5</v>
      </c>
      <c r="CQ33" s="53">
        <v>85</v>
      </c>
      <c r="CR33" s="53">
        <v>78</v>
      </c>
      <c r="CS33" s="53">
        <v>120</v>
      </c>
      <c r="CT33" s="53">
        <v>108</v>
      </c>
      <c r="CU33" s="88">
        <v>4.8</v>
      </c>
      <c r="CV33" s="88">
        <v>4.0999999999999996</v>
      </c>
      <c r="CW33" s="88">
        <v>5</v>
      </c>
      <c r="CX33" s="88">
        <v>4.7</v>
      </c>
      <c r="CY33" s="51">
        <v>124</v>
      </c>
      <c r="CZ33" s="53">
        <v>140</v>
      </c>
      <c r="DA33" s="53">
        <v>201</v>
      </c>
      <c r="DB33" s="53">
        <v>186</v>
      </c>
      <c r="DC33" s="88">
        <v>7.8</v>
      </c>
      <c r="DD33" s="88">
        <v>7.8</v>
      </c>
      <c r="DE33" s="88">
        <v>9.1</v>
      </c>
      <c r="DF33" s="88">
        <v>8.5</v>
      </c>
      <c r="DG33" s="88">
        <v>79.3</v>
      </c>
      <c r="DH33" s="88">
        <v>81.599999999999994</v>
      </c>
      <c r="DI33" s="88">
        <v>85.2</v>
      </c>
      <c r="DJ33" s="88">
        <v>87.1</v>
      </c>
      <c r="DK33" s="88">
        <v>23.5</v>
      </c>
      <c r="DL33" s="88">
        <v>19.2</v>
      </c>
      <c r="DM33" s="88">
        <v>17.8</v>
      </c>
      <c r="DN33" s="88">
        <v>17.799082951229678</v>
      </c>
      <c r="DO33" s="88">
        <v>27.9</v>
      </c>
      <c r="DP33" s="88">
        <v>27.5</v>
      </c>
      <c r="DQ33" s="88">
        <v>31.7</v>
      </c>
      <c r="DR33" s="88">
        <v>34.1</v>
      </c>
      <c r="DS33" s="88">
        <v>31.018438738583491</v>
      </c>
      <c r="DT33" s="88">
        <v>26.095880369447293</v>
      </c>
      <c r="DU33" s="88">
        <v>29.835082458770614</v>
      </c>
      <c r="DV33" s="88">
        <v>21.343377275580664</v>
      </c>
      <c r="DW33" s="54">
        <v>416</v>
      </c>
      <c r="DX33" s="54">
        <v>1</v>
      </c>
      <c r="DY33" s="51">
        <v>5</v>
      </c>
      <c r="DZ33" s="53">
        <v>7</v>
      </c>
      <c r="EA33" s="53">
        <v>8</v>
      </c>
      <c r="EB33" s="53">
        <v>11</v>
      </c>
      <c r="EC33" s="53">
        <v>9</v>
      </c>
      <c r="ED33" s="51">
        <v>13</v>
      </c>
      <c r="EE33" s="53">
        <v>8</v>
      </c>
      <c r="EF33" s="53">
        <v>1020</v>
      </c>
      <c r="EG33" s="53">
        <v>1140</v>
      </c>
      <c r="EH33" s="53">
        <v>1276</v>
      </c>
      <c r="EI33" s="53">
        <v>1365</v>
      </c>
      <c r="EJ33" s="92">
        <v>305</v>
      </c>
      <c r="EK33" s="92">
        <v>1</v>
      </c>
      <c r="EL33" s="92">
        <v>3</v>
      </c>
      <c r="EM33" s="92">
        <v>1</v>
      </c>
      <c r="EN33" s="92">
        <v>2</v>
      </c>
      <c r="EO33" s="88">
        <v>717.23905155683065</v>
      </c>
      <c r="EP33" s="88">
        <v>718.45871698398594</v>
      </c>
      <c r="EQ33" s="88">
        <v>682.06479615563478</v>
      </c>
      <c r="ER33" s="88">
        <v>680.26331104587246</v>
      </c>
      <c r="ES33" s="88">
        <v>758.2</v>
      </c>
      <c r="ET33" s="88">
        <v>756.1</v>
      </c>
      <c r="EU33" s="88">
        <v>741.6</v>
      </c>
      <c r="EV33" s="88">
        <v>704.3</v>
      </c>
      <c r="EW33" s="88">
        <v>927.49520987885194</v>
      </c>
      <c r="EX33" s="88">
        <v>862.78429251561113</v>
      </c>
      <c r="EY33" s="88">
        <v>856.08304229767452</v>
      </c>
      <c r="EZ33" s="88">
        <v>830.03500796358662</v>
      </c>
      <c r="FA33" s="88">
        <v>621.27974801728988</v>
      </c>
      <c r="FB33" s="88">
        <v>659.94063529769221</v>
      </c>
      <c r="FC33" s="88">
        <v>637.83786399103474</v>
      </c>
      <c r="FD33" s="88">
        <v>601.02454924010692</v>
      </c>
      <c r="FE33" s="51">
        <v>203</v>
      </c>
      <c r="FF33" s="54">
        <v>260</v>
      </c>
      <c r="FG33" s="54">
        <v>270</v>
      </c>
      <c r="FH33" s="54">
        <v>356</v>
      </c>
      <c r="FI33" s="88">
        <v>159.02850000000001</v>
      </c>
      <c r="FJ33" s="88">
        <v>183.8536</v>
      </c>
      <c r="FK33" s="88">
        <v>161.7414</v>
      </c>
      <c r="FL33" s="88">
        <v>184.46350000000001</v>
      </c>
      <c r="FM33" s="54">
        <v>310</v>
      </c>
      <c r="FN33" s="54">
        <v>269</v>
      </c>
      <c r="FO33" s="51">
        <v>308</v>
      </c>
      <c r="FP33" s="54">
        <v>210</v>
      </c>
      <c r="FQ33" s="88">
        <v>228.95490000000001</v>
      </c>
      <c r="FR33" s="88">
        <v>174.58189999999999</v>
      </c>
      <c r="FS33" s="88">
        <v>176.67599999999999</v>
      </c>
      <c r="FT33" s="88">
        <v>105.91759999999999</v>
      </c>
      <c r="FU33" s="53">
        <v>120</v>
      </c>
      <c r="FV33" s="53">
        <v>93</v>
      </c>
      <c r="FW33" s="53">
        <v>86</v>
      </c>
      <c r="FX33" s="53">
        <v>74</v>
      </c>
      <c r="FY33" s="88">
        <v>85.719719999999995</v>
      </c>
      <c r="FZ33" s="88">
        <v>57.382800000000003</v>
      </c>
      <c r="GA33" s="88">
        <v>51.028120000000001</v>
      </c>
      <c r="GB33" s="88">
        <v>38.795380000000002</v>
      </c>
      <c r="GC33" s="55">
        <v>60</v>
      </c>
      <c r="GD33" s="56">
        <v>60</v>
      </c>
      <c r="GE33" s="55">
        <v>71</v>
      </c>
      <c r="GF33" s="55">
        <v>79</v>
      </c>
      <c r="GG33" s="91">
        <v>43.389870000000002</v>
      </c>
      <c r="GH33" s="91">
        <v>39.633099999999999</v>
      </c>
      <c r="GI33" s="91">
        <v>37.99091</v>
      </c>
      <c r="GJ33" s="91">
        <v>40.969079999999998</v>
      </c>
      <c r="GK33" s="55"/>
      <c r="GL33" s="55"/>
      <c r="GM33" s="55"/>
      <c r="GN33" s="56"/>
      <c r="GO33" s="55"/>
      <c r="GP33" s="55"/>
      <c r="GQ33" s="55"/>
      <c r="GR33" s="55"/>
      <c r="GS33" s="56"/>
      <c r="GT33" s="55"/>
      <c r="GU33" s="55"/>
      <c r="GV33" s="55"/>
      <c r="GW33" s="55"/>
      <c r="GX33" s="56"/>
      <c r="GY33" s="56"/>
      <c r="GZ33" s="56"/>
      <c r="HA33" s="56"/>
      <c r="HB33" s="56"/>
      <c r="HC33" s="56"/>
      <c r="HD33" s="57"/>
      <c r="HE33" s="57"/>
      <c r="HF33" s="57"/>
      <c r="HG33" s="57"/>
      <c r="HH33" s="57"/>
      <c r="HI33" s="58"/>
      <c r="HJ33" s="58"/>
      <c r="HK33" s="55"/>
      <c r="HL33" s="56"/>
      <c r="HM33" s="56"/>
      <c r="HN33" s="56"/>
      <c r="HO33" s="56"/>
      <c r="HP33" s="56"/>
      <c r="HQ33" s="56"/>
      <c r="HR33" s="56"/>
      <c r="HS33" s="56"/>
      <c r="HT33" s="56"/>
      <c r="HU33" s="38"/>
    </row>
    <row r="34" spans="1:229" x14ac:dyDescent="0.2">
      <c r="A34" s="36">
        <v>31</v>
      </c>
      <c r="B34" s="70" t="s">
        <v>87</v>
      </c>
      <c r="C34" s="77">
        <v>44512</v>
      </c>
      <c r="D34" s="77">
        <v>44727</v>
      </c>
      <c r="E34" s="77">
        <v>45058</v>
      </c>
      <c r="F34" s="77">
        <v>45034</v>
      </c>
      <c r="G34" s="150">
        <v>45221</v>
      </c>
      <c r="H34" s="41">
        <v>42215</v>
      </c>
      <c r="I34" s="41">
        <v>163</v>
      </c>
      <c r="J34" s="41">
        <v>1652</v>
      </c>
      <c r="K34" s="41">
        <v>178</v>
      </c>
      <c r="L34" s="41">
        <v>481</v>
      </c>
      <c r="M34" s="42">
        <v>19039</v>
      </c>
      <c r="N34" s="43">
        <v>19212</v>
      </c>
      <c r="O34" s="43">
        <v>18773</v>
      </c>
      <c r="P34" s="44">
        <v>18847</v>
      </c>
      <c r="Q34" s="44">
        <v>18938</v>
      </c>
      <c r="R34" s="87">
        <v>28.08011049723757</v>
      </c>
      <c r="S34" s="87">
        <v>28.356647015732374</v>
      </c>
      <c r="T34" s="87">
        <v>30.10745136596671</v>
      </c>
      <c r="U34" s="87">
        <v>30.4081847906339</v>
      </c>
      <c r="V34" s="87">
        <v>32.044198895027627</v>
      </c>
      <c r="W34" s="87">
        <v>25.621546961325969</v>
      </c>
      <c r="X34" s="87">
        <v>27.665957372588689</v>
      </c>
      <c r="Y34" s="87">
        <v>28.112929278741486</v>
      </c>
      <c r="Z34" s="87">
        <v>27.922511690046761</v>
      </c>
      <c r="AA34" s="42">
        <v>28.109505595693442</v>
      </c>
      <c r="AB34" s="87">
        <v>53.701657458563538</v>
      </c>
      <c r="AC34" s="87">
        <v>56.022604388321064</v>
      </c>
      <c r="AD34" s="87">
        <v>58.220380644708193</v>
      </c>
      <c r="AE34" s="87">
        <v>58.330696480680658</v>
      </c>
      <c r="AF34" s="87">
        <v>60.153704490721069</v>
      </c>
      <c r="AG34" s="44">
        <v>7.8040252812766147</v>
      </c>
      <c r="AH34" s="44">
        <v>11.186042464323007</v>
      </c>
      <c r="AI34" s="44">
        <v>9.7380993004606715</v>
      </c>
      <c r="AJ34" s="43">
        <v>8.859249158392636</v>
      </c>
      <c r="AK34" s="43">
        <v>7.5271565495207664</v>
      </c>
      <c r="AL34" s="47">
        <v>1614.5</v>
      </c>
      <c r="AM34" s="47">
        <v>1965.75</v>
      </c>
      <c r="AN34" s="47">
        <v>1614.5</v>
      </c>
      <c r="AO34" s="47">
        <v>2631.5833333333335</v>
      </c>
      <c r="AP34" s="47">
        <v>2841.4166666666665</v>
      </c>
      <c r="AQ34" s="47">
        <v>33130.368703218286</v>
      </c>
      <c r="AR34" s="47">
        <v>33526.033282040815</v>
      </c>
      <c r="AS34" s="47">
        <v>33976.925876096924</v>
      </c>
      <c r="AT34" s="47">
        <v>34988.256820319759</v>
      </c>
      <c r="AU34" s="47">
        <v>35177.48391234161</v>
      </c>
      <c r="AV34" s="84">
        <v>47252.231414382179</v>
      </c>
      <c r="AW34" s="85">
        <v>45906.793223051121</v>
      </c>
      <c r="AX34" s="85">
        <v>48237.636310219619</v>
      </c>
      <c r="AY34" s="85">
        <v>45887.051204203934</v>
      </c>
      <c r="AZ34" s="85">
        <v>43504</v>
      </c>
      <c r="BA34" s="83">
        <v>12.877993158494869</v>
      </c>
      <c r="BB34" s="83">
        <v>13.597965301117268</v>
      </c>
      <c r="BC34" s="83">
        <v>12.236842105263158</v>
      </c>
      <c r="BD34" s="83">
        <v>14.072712418300654</v>
      </c>
      <c r="BE34" s="83">
        <v>13.807748785722355</v>
      </c>
      <c r="BF34" s="83">
        <v>17.289149950127452</v>
      </c>
      <c r="BG34" s="46">
        <v>19.97268333683547</v>
      </c>
      <c r="BH34" s="46">
        <v>19.224641529474244</v>
      </c>
      <c r="BI34" s="46">
        <v>20.673436664885088</v>
      </c>
      <c r="BJ34" s="46">
        <v>19.259972195487112</v>
      </c>
      <c r="BK34" s="42">
        <v>6602</v>
      </c>
      <c r="BL34" s="42">
        <v>6563</v>
      </c>
      <c r="BM34" s="40">
        <v>6532</v>
      </c>
      <c r="BN34" s="40">
        <v>6650</v>
      </c>
      <c r="BO34" s="43">
        <v>46.440472584065432</v>
      </c>
      <c r="BP34" s="43">
        <v>45.60414444613744</v>
      </c>
      <c r="BQ34" s="44">
        <v>48.499693815064298</v>
      </c>
      <c r="BR34" s="44">
        <v>48.120300751879697</v>
      </c>
      <c r="BS34" s="87">
        <v>0</v>
      </c>
      <c r="BT34" s="87">
        <v>3.0473868657626087E-2</v>
      </c>
      <c r="BU34" s="87">
        <v>1.5309246785058175E-2</v>
      </c>
      <c r="BV34" s="87">
        <v>4.5112781954887216E-2</v>
      </c>
      <c r="BW34" s="43">
        <v>15.873977582550742</v>
      </c>
      <c r="BX34" s="43">
        <v>15.998781045253695</v>
      </c>
      <c r="BY34" s="43">
        <v>16.549295774647888</v>
      </c>
      <c r="BZ34" s="43">
        <v>17.037593984962406</v>
      </c>
      <c r="CA34" s="42">
        <v>77.984496124031011</v>
      </c>
      <c r="CB34" s="42">
        <v>81.347150259067362</v>
      </c>
      <c r="CC34" s="42">
        <v>77.02</v>
      </c>
      <c r="CD34" s="44">
        <v>81.33</v>
      </c>
      <c r="CE34" s="43">
        <v>6.3565891472868215</v>
      </c>
      <c r="CF34" s="43">
        <v>4.8359240069084626</v>
      </c>
      <c r="CG34" s="43">
        <v>7.6</v>
      </c>
      <c r="CH34" s="44">
        <v>4.71</v>
      </c>
      <c r="CI34" s="49">
        <v>2215</v>
      </c>
      <c r="CJ34" s="49">
        <v>2208</v>
      </c>
      <c r="CK34" s="54">
        <v>2495</v>
      </c>
      <c r="CL34" s="54">
        <v>2307</v>
      </c>
      <c r="CM34" s="88">
        <v>10.3</v>
      </c>
      <c r="CN34" s="88">
        <v>10</v>
      </c>
      <c r="CO34" s="88">
        <v>11.2</v>
      </c>
      <c r="CP34" s="88">
        <v>10.3</v>
      </c>
      <c r="CQ34" s="53">
        <v>78</v>
      </c>
      <c r="CR34" s="53">
        <v>82</v>
      </c>
      <c r="CS34" s="53">
        <v>118</v>
      </c>
      <c r="CT34" s="53">
        <v>105</v>
      </c>
      <c r="CU34" s="88">
        <v>3.6</v>
      </c>
      <c r="CV34" s="88">
        <v>3.9</v>
      </c>
      <c r="CW34" s="88">
        <v>4.9000000000000004</v>
      </c>
      <c r="CX34" s="88">
        <v>4.7</v>
      </c>
      <c r="CY34" s="51">
        <v>107</v>
      </c>
      <c r="CZ34" s="53">
        <v>105</v>
      </c>
      <c r="DA34" s="53">
        <v>175</v>
      </c>
      <c r="DB34" s="53">
        <v>158</v>
      </c>
      <c r="DC34" s="88">
        <v>6.4</v>
      </c>
      <c r="DD34" s="88">
        <v>5.7</v>
      </c>
      <c r="DE34" s="88">
        <v>8.9</v>
      </c>
      <c r="DF34" s="88">
        <v>8.4</v>
      </c>
      <c r="DG34" s="88">
        <v>87.3</v>
      </c>
      <c r="DH34" s="88">
        <v>90.6</v>
      </c>
      <c r="DI34" s="88">
        <v>87</v>
      </c>
      <c r="DJ34" s="88">
        <v>84.3</v>
      </c>
      <c r="DK34" s="88">
        <v>23.2</v>
      </c>
      <c r="DL34" s="88">
        <v>19.399999999999999</v>
      </c>
      <c r="DM34" s="88">
        <v>21.6</v>
      </c>
      <c r="DN34" s="88">
        <v>23.197903014416777</v>
      </c>
      <c r="DO34" s="88">
        <v>31.6</v>
      </c>
      <c r="DP34" s="88">
        <v>35.1</v>
      </c>
      <c r="DQ34" s="88">
        <v>39.6</v>
      </c>
      <c r="DR34" s="88">
        <v>42.5</v>
      </c>
      <c r="DS34" s="88">
        <v>33.005280844935193</v>
      </c>
      <c r="DT34" s="88">
        <v>28.877981965529049</v>
      </c>
      <c r="DU34" s="88">
        <v>32.018068287498338</v>
      </c>
      <c r="DV34" s="88">
        <v>28.310104529616726</v>
      </c>
      <c r="DW34" s="54">
        <v>428</v>
      </c>
      <c r="DX34" s="54">
        <v>4</v>
      </c>
      <c r="DY34" s="51">
        <v>36</v>
      </c>
      <c r="DZ34" s="53">
        <v>3</v>
      </c>
      <c r="EA34" s="53">
        <v>12</v>
      </c>
      <c r="EB34" s="53">
        <v>17</v>
      </c>
      <c r="EC34" s="53">
        <v>12</v>
      </c>
      <c r="ED34" s="51">
        <v>20</v>
      </c>
      <c r="EE34" s="53">
        <v>9</v>
      </c>
      <c r="EF34" s="53">
        <v>2190</v>
      </c>
      <c r="EG34" s="53">
        <v>2296</v>
      </c>
      <c r="EH34" s="53">
        <v>2319</v>
      </c>
      <c r="EI34" s="53">
        <v>2430</v>
      </c>
      <c r="EJ34" s="92">
        <v>500</v>
      </c>
      <c r="EK34" s="92">
        <v>0</v>
      </c>
      <c r="EL34" s="92">
        <v>21</v>
      </c>
      <c r="EM34" s="92">
        <v>1</v>
      </c>
      <c r="EN34" s="92">
        <v>2</v>
      </c>
      <c r="EO34" s="88">
        <v>1018.5525391724144</v>
      </c>
      <c r="EP34" s="88">
        <v>1042.8873808810035</v>
      </c>
      <c r="EQ34" s="88">
        <v>1043.4853039111574</v>
      </c>
      <c r="ER34" s="88">
        <v>1063.3967356452592</v>
      </c>
      <c r="ES34" s="88">
        <v>914.5</v>
      </c>
      <c r="ET34" s="88">
        <v>830.8</v>
      </c>
      <c r="EU34" s="88">
        <v>768.5</v>
      </c>
      <c r="EV34" s="88">
        <v>745.5</v>
      </c>
      <c r="EW34" s="88">
        <v>1103.7961684913973</v>
      </c>
      <c r="EX34" s="88">
        <v>965.54521150984442</v>
      </c>
      <c r="EY34" s="88">
        <v>897.21372952150148</v>
      </c>
      <c r="EZ34" s="88">
        <v>895.16308157577964</v>
      </c>
      <c r="FA34" s="88">
        <v>758.20384981828374</v>
      </c>
      <c r="FB34" s="88">
        <v>716.5396112157307</v>
      </c>
      <c r="FC34" s="88">
        <v>653.48681964020682</v>
      </c>
      <c r="FD34" s="88">
        <v>613.77127803345195</v>
      </c>
      <c r="FE34" s="51">
        <v>556</v>
      </c>
      <c r="FF34" s="54">
        <v>591</v>
      </c>
      <c r="FG34" s="54">
        <v>568</v>
      </c>
      <c r="FH34" s="54">
        <v>622</v>
      </c>
      <c r="FI34" s="88">
        <v>222.7824</v>
      </c>
      <c r="FJ34" s="88">
        <v>210.25710000000001</v>
      </c>
      <c r="FK34" s="88">
        <v>187.6678</v>
      </c>
      <c r="FL34" s="88">
        <v>185.57040000000001</v>
      </c>
      <c r="FM34" s="54">
        <v>634</v>
      </c>
      <c r="FN34" s="54">
        <v>572</v>
      </c>
      <c r="FO34" s="51">
        <v>554</v>
      </c>
      <c r="FP34" s="54">
        <v>511</v>
      </c>
      <c r="FQ34" s="88">
        <v>263.17899999999997</v>
      </c>
      <c r="FR34" s="88">
        <v>202.57939999999999</v>
      </c>
      <c r="FS34" s="88">
        <v>177.6979</v>
      </c>
      <c r="FT34" s="88">
        <v>150.8939</v>
      </c>
      <c r="FU34" s="53">
        <v>144</v>
      </c>
      <c r="FV34" s="53">
        <v>153</v>
      </c>
      <c r="FW34" s="53">
        <v>150</v>
      </c>
      <c r="FX34" s="53">
        <v>136</v>
      </c>
      <c r="FY34" s="88">
        <v>59.705399999999997</v>
      </c>
      <c r="FZ34" s="88">
        <v>53.975769999999997</v>
      </c>
      <c r="GA34" s="88">
        <v>46.254770000000001</v>
      </c>
      <c r="GB34" s="88">
        <v>39.768419999999999</v>
      </c>
      <c r="GC34" s="55">
        <v>95</v>
      </c>
      <c r="GD34" s="56">
        <v>120</v>
      </c>
      <c r="GE34" s="55">
        <v>120</v>
      </c>
      <c r="GF34" s="55">
        <v>131</v>
      </c>
      <c r="GG34" s="91">
        <v>43.264749999999999</v>
      </c>
      <c r="GH34" s="91">
        <v>50.874290000000002</v>
      </c>
      <c r="GI34" s="91">
        <v>47.691879999999998</v>
      </c>
      <c r="GJ34" s="91">
        <v>50.899189999999997</v>
      </c>
      <c r="GK34" s="55"/>
      <c r="GL34" s="55"/>
      <c r="GM34" s="55"/>
      <c r="GN34" s="56"/>
      <c r="GO34" s="55"/>
      <c r="GP34" s="55"/>
      <c r="GQ34" s="55"/>
      <c r="GR34" s="55"/>
      <c r="GS34" s="56"/>
      <c r="GT34" s="55"/>
      <c r="GU34" s="55"/>
      <c r="GV34" s="55"/>
      <c r="GW34" s="55"/>
      <c r="GX34" s="56"/>
      <c r="GY34" s="56"/>
      <c r="GZ34" s="56"/>
      <c r="HA34" s="56"/>
      <c r="HB34" s="56"/>
      <c r="HC34" s="56"/>
      <c r="HD34" s="57"/>
      <c r="HE34" s="57"/>
      <c r="HF34" s="57"/>
      <c r="HG34" s="57"/>
      <c r="HH34" s="57"/>
      <c r="HI34" s="58"/>
      <c r="HJ34" s="58"/>
      <c r="HK34" s="55"/>
      <c r="HL34" s="56"/>
      <c r="HM34" s="56"/>
      <c r="HN34" s="56"/>
      <c r="HO34" s="56"/>
      <c r="HP34" s="56"/>
      <c r="HQ34" s="56"/>
      <c r="HR34" s="56"/>
      <c r="HS34" s="56"/>
      <c r="HT34" s="56"/>
      <c r="HU34" s="38"/>
    </row>
    <row r="35" spans="1:229" ht="21" customHeight="1" x14ac:dyDescent="0.2">
      <c r="A35" s="36">
        <v>32</v>
      </c>
      <c r="B35" s="70" t="s">
        <v>88</v>
      </c>
      <c r="C35" s="77">
        <v>10734</v>
      </c>
      <c r="D35" s="77">
        <v>10786</v>
      </c>
      <c r="E35" s="77">
        <v>10266</v>
      </c>
      <c r="F35" s="77">
        <v>10202</v>
      </c>
      <c r="G35" s="150">
        <v>10281</v>
      </c>
      <c r="H35" s="41">
        <v>9907</v>
      </c>
      <c r="I35" s="41">
        <v>47</v>
      </c>
      <c r="J35" s="41">
        <v>33</v>
      </c>
      <c r="K35" s="41">
        <v>183</v>
      </c>
      <c r="L35" s="41">
        <v>321</v>
      </c>
      <c r="M35" s="42">
        <v>4596</v>
      </c>
      <c r="N35" s="43">
        <v>4587</v>
      </c>
      <c r="O35" s="43">
        <v>4429</v>
      </c>
      <c r="P35" s="44">
        <v>4422</v>
      </c>
      <c r="Q35" s="44">
        <v>4458</v>
      </c>
      <c r="R35" s="87">
        <v>32.42450894165934</v>
      </c>
      <c r="S35" s="87">
        <v>34.509156409486643</v>
      </c>
      <c r="T35" s="87">
        <v>32.295781324063832</v>
      </c>
      <c r="U35" s="87">
        <v>31.910858226647701</v>
      </c>
      <c r="V35" s="87">
        <v>32.172680006302187</v>
      </c>
      <c r="W35" s="87">
        <v>24.91937848138376</v>
      </c>
      <c r="X35" s="87">
        <v>27.394175923146204</v>
      </c>
      <c r="Y35" s="87">
        <v>29.909938378890821</v>
      </c>
      <c r="Z35" s="87">
        <v>29.334597755650389</v>
      </c>
      <c r="AA35" s="42">
        <v>29.809358752166379</v>
      </c>
      <c r="AB35" s="87">
        <v>57.343887423043093</v>
      </c>
      <c r="AC35" s="87">
        <v>61.903332332632843</v>
      </c>
      <c r="AD35" s="87">
        <v>62.205719702954653</v>
      </c>
      <c r="AE35" s="87">
        <v>61.24545598229809</v>
      </c>
      <c r="AF35" s="87">
        <v>61.982038758468569</v>
      </c>
      <c r="AG35" s="44">
        <v>4.166666666666667</v>
      </c>
      <c r="AH35" s="44">
        <v>5.6509298998569388</v>
      </c>
      <c r="AI35" s="44">
        <v>5.0749222504947697</v>
      </c>
      <c r="AJ35" s="43">
        <v>4.8125349748181305</v>
      </c>
      <c r="AK35" s="43">
        <v>3.80693405846363</v>
      </c>
      <c r="AL35" s="47">
        <v>161.33333333333334</v>
      </c>
      <c r="AM35" s="47">
        <v>207.75</v>
      </c>
      <c r="AN35" s="47">
        <v>161.33333333333334</v>
      </c>
      <c r="AO35" s="47">
        <v>290.25</v>
      </c>
      <c r="AP35" s="47">
        <v>300.83333333333331</v>
      </c>
      <c r="AQ35" s="47">
        <v>44634.833135435889</v>
      </c>
      <c r="AR35" s="47">
        <v>45603.806237571334</v>
      </c>
      <c r="AS35" s="47">
        <v>47429.160679585402</v>
      </c>
      <c r="AT35" s="47">
        <v>52692.995938719847</v>
      </c>
      <c r="AU35" s="47">
        <v>58755.5685244626</v>
      </c>
      <c r="AV35" s="84">
        <v>51774.736287402302</v>
      </c>
      <c r="AW35" s="85">
        <v>53088.826263891664</v>
      </c>
      <c r="AX35" s="85">
        <v>52910.515841024295</v>
      </c>
      <c r="AY35" s="85">
        <v>48316.28762714153</v>
      </c>
      <c r="AZ35" s="85">
        <v>52892</v>
      </c>
      <c r="BA35" s="83">
        <v>8.7217615098655994</v>
      </c>
      <c r="BB35" s="83">
        <v>10.771566859637469</v>
      </c>
      <c r="BC35" s="83">
        <v>9.722907011142885</v>
      </c>
      <c r="BD35" s="83">
        <v>11.159650516282763</v>
      </c>
      <c r="BE35" s="83">
        <v>10.242269056529446</v>
      </c>
      <c r="BF35" s="83">
        <v>12.037914691943127</v>
      </c>
      <c r="BG35" s="46">
        <v>14.619883040935672</v>
      </c>
      <c r="BH35" s="46">
        <v>14.554195804195805</v>
      </c>
      <c r="BI35" s="46">
        <v>17.282850779510021</v>
      </c>
      <c r="BJ35" s="46">
        <v>15.910092551784928</v>
      </c>
      <c r="BK35" s="42">
        <v>1471</v>
      </c>
      <c r="BL35" s="42">
        <v>1490</v>
      </c>
      <c r="BM35" s="40">
        <v>1514</v>
      </c>
      <c r="BN35" s="40">
        <v>1554</v>
      </c>
      <c r="BO35" s="43">
        <v>35.418082936777701</v>
      </c>
      <c r="BP35" s="43">
        <v>37.785234899328856</v>
      </c>
      <c r="BQ35" s="44">
        <v>39.035667107001323</v>
      </c>
      <c r="BR35" s="44">
        <v>36.615186615186616</v>
      </c>
      <c r="BS35" s="87">
        <v>3.8749150237933381</v>
      </c>
      <c r="BT35" s="87">
        <v>3.8926174496644297</v>
      </c>
      <c r="BU35" s="87">
        <v>3.6327608982826947</v>
      </c>
      <c r="BV35" s="87">
        <v>3.346203346203346</v>
      </c>
      <c r="BW35" s="43">
        <v>16.247450713800134</v>
      </c>
      <c r="BX35" s="43">
        <v>17.449664429530202</v>
      </c>
      <c r="BY35" s="43">
        <v>18.229854689564068</v>
      </c>
      <c r="BZ35" s="43">
        <v>18.082368082368081</v>
      </c>
      <c r="CA35" s="42">
        <v>92.248062015503876</v>
      </c>
      <c r="CB35" s="42">
        <v>95.275590551181097</v>
      </c>
      <c r="CC35" s="42">
        <v>97.2</v>
      </c>
      <c r="CD35" s="44">
        <v>94.12</v>
      </c>
      <c r="CE35" s="43">
        <v>1.5503875968992249</v>
      </c>
      <c r="CF35" s="43">
        <v>1.5748031496062993</v>
      </c>
      <c r="CG35" s="43"/>
      <c r="CH35" s="44">
        <v>2.52</v>
      </c>
      <c r="CI35" s="49">
        <v>613</v>
      </c>
      <c r="CJ35" s="49">
        <v>557</v>
      </c>
      <c r="CK35" s="51">
        <v>575</v>
      </c>
      <c r="CL35" s="51">
        <v>523</v>
      </c>
      <c r="CM35" s="88">
        <v>10.5</v>
      </c>
      <c r="CN35" s="88">
        <v>9.8000000000000007</v>
      </c>
      <c r="CO35" s="88">
        <v>10.3</v>
      </c>
      <c r="CP35" s="88">
        <v>10</v>
      </c>
      <c r="CQ35" s="53">
        <v>23</v>
      </c>
      <c r="CR35" s="53">
        <v>20</v>
      </c>
      <c r="CS35" s="53">
        <v>39</v>
      </c>
      <c r="CT35" s="53">
        <v>30</v>
      </c>
      <c r="CU35" s="88">
        <v>3.9</v>
      </c>
      <c r="CV35" s="88">
        <v>3.7</v>
      </c>
      <c r="CW35" s="88">
        <v>6.9</v>
      </c>
      <c r="CX35" s="88">
        <v>5.9</v>
      </c>
      <c r="CY35" s="51">
        <v>51</v>
      </c>
      <c r="CZ35" s="53">
        <v>43</v>
      </c>
      <c r="DA35" s="53">
        <v>71</v>
      </c>
      <c r="DB35" s="53">
        <v>44</v>
      </c>
      <c r="DC35" s="88">
        <v>9.1</v>
      </c>
      <c r="DD35" s="88">
        <v>8.1999999999999993</v>
      </c>
      <c r="DE35" s="88">
        <v>13.5</v>
      </c>
      <c r="DF35" s="88">
        <v>9.6999999999999993</v>
      </c>
      <c r="DG35" s="88">
        <v>84.3</v>
      </c>
      <c r="DH35" s="88">
        <v>87.3</v>
      </c>
      <c r="DI35" s="88">
        <v>89.1</v>
      </c>
      <c r="DJ35" s="88">
        <v>87.9</v>
      </c>
      <c r="DK35" s="88">
        <v>11</v>
      </c>
      <c r="DL35" s="88">
        <v>9.6999999999999993</v>
      </c>
      <c r="DM35" s="88">
        <v>12.8</v>
      </c>
      <c r="DN35" s="88">
        <v>16.666666666666668</v>
      </c>
      <c r="DO35" s="88">
        <v>21.7</v>
      </c>
      <c r="DP35" s="88">
        <v>21.2</v>
      </c>
      <c r="DQ35" s="88">
        <v>24</v>
      </c>
      <c r="DR35" s="88">
        <v>37.1</v>
      </c>
      <c r="DS35" s="88">
        <v>29.023746701846967</v>
      </c>
      <c r="DT35" s="88">
        <v>22.412970910824988</v>
      </c>
      <c r="DU35" s="88">
        <v>19.250780437044746</v>
      </c>
      <c r="DV35" s="88">
        <v>20.560747663551403</v>
      </c>
      <c r="DW35" s="54">
        <v>118</v>
      </c>
      <c r="DX35" s="54">
        <v>0</v>
      </c>
      <c r="DY35" s="51">
        <v>0</v>
      </c>
      <c r="DZ35" s="53">
        <v>4</v>
      </c>
      <c r="EA35" s="53">
        <v>4</v>
      </c>
      <c r="EB35" s="53">
        <v>1</v>
      </c>
      <c r="EC35" s="53">
        <v>1</v>
      </c>
      <c r="ED35" s="51">
        <v>3</v>
      </c>
      <c r="EE35" s="53">
        <v>2</v>
      </c>
      <c r="EF35" s="53">
        <v>668</v>
      </c>
      <c r="EG35" s="53">
        <v>631</v>
      </c>
      <c r="EH35" s="53">
        <v>555</v>
      </c>
      <c r="EI35" s="53">
        <v>569</v>
      </c>
      <c r="EJ35" s="92">
        <v>98</v>
      </c>
      <c r="EK35" s="92">
        <v>0</v>
      </c>
      <c r="EL35" s="92">
        <v>1</v>
      </c>
      <c r="EM35" s="92">
        <v>0</v>
      </c>
      <c r="EN35" s="92">
        <v>0</v>
      </c>
      <c r="EO35" s="88">
        <v>1140.7493425321902</v>
      </c>
      <c r="EP35" s="88">
        <v>1114.4078273462612</v>
      </c>
      <c r="EQ35" s="88">
        <v>997.86044337366729</v>
      </c>
      <c r="ER35" s="88">
        <v>1119.3674383157093</v>
      </c>
      <c r="ES35" s="88">
        <v>717.5</v>
      </c>
      <c r="ET35" s="88">
        <v>664.6</v>
      </c>
      <c r="EU35" s="88">
        <v>565</v>
      </c>
      <c r="EV35" s="88">
        <v>602.20000000000005</v>
      </c>
      <c r="EW35" s="88">
        <v>868.93999980913668</v>
      </c>
      <c r="EX35" s="88">
        <v>805.96035859161577</v>
      </c>
      <c r="EY35" s="88">
        <v>659.75359807129894</v>
      </c>
      <c r="EZ35" s="88">
        <v>709.78987537325543</v>
      </c>
      <c r="FA35" s="88">
        <v>598.38687702434709</v>
      </c>
      <c r="FB35" s="88">
        <v>560.23937602695958</v>
      </c>
      <c r="FC35" s="88">
        <v>477.7868857605734</v>
      </c>
      <c r="FD35" s="88">
        <v>505.75484123220065</v>
      </c>
      <c r="FE35" s="51">
        <v>149</v>
      </c>
      <c r="FF35" s="54">
        <v>131</v>
      </c>
      <c r="FG35" s="54">
        <v>128</v>
      </c>
      <c r="FH35" s="54">
        <v>114</v>
      </c>
      <c r="FI35" s="88">
        <v>173.90700000000001</v>
      </c>
      <c r="FJ35" s="88">
        <v>152.75970000000001</v>
      </c>
      <c r="FK35" s="88">
        <v>153.25489999999999</v>
      </c>
      <c r="FL35" s="88">
        <v>137.68790000000001</v>
      </c>
      <c r="FM35" s="54">
        <v>202</v>
      </c>
      <c r="FN35" s="54">
        <v>175</v>
      </c>
      <c r="FO35" s="51">
        <v>144</v>
      </c>
      <c r="FP35" s="54">
        <v>161</v>
      </c>
      <c r="FQ35" s="88">
        <v>205.27430000000001</v>
      </c>
      <c r="FR35" s="88">
        <v>177.31139999999999</v>
      </c>
      <c r="FS35" s="88">
        <v>130.4025</v>
      </c>
      <c r="FT35" s="88">
        <v>154.85480000000001</v>
      </c>
      <c r="FU35" s="53">
        <v>73</v>
      </c>
      <c r="FV35" s="53">
        <v>46</v>
      </c>
      <c r="FW35" s="53">
        <v>41</v>
      </c>
      <c r="FX35" s="53">
        <v>24</v>
      </c>
      <c r="FY35" s="88">
        <v>71.223020000000005</v>
      </c>
      <c r="FZ35" s="88">
        <v>45.230789999999999</v>
      </c>
      <c r="GA35" s="88">
        <v>39.092919999999999</v>
      </c>
      <c r="GB35" s="88">
        <v>22.853899999999999</v>
      </c>
      <c r="GC35" s="55">
        <v>27</v>
      </c>
      <c r="GD35" s="56">
        <v>24</v>
      </c>
      <c r="GE35" s="55">
        <v>30</v>
      </c>
      <c r="GF35" s="55">
        <v>18</v>
      </c>
      <c r="GG35" s="91">
        <v>39.275869999999998</v>
      </c>
      <c r="GH35" s="91">
        <v>33.277320000000003</v>
      </c>
      <c r="GI35" s="91">
        <v>36.176670000000001</v>
      </c>
      <c r="GJ35" s="91">
        <v>30.1568</v>
      </c>
      <c r="GK35" s="55"/>
      <c r="GL35" s="55"/>
      <c r="GM35" s="55"/>
      <c r="GN35" s="56"/>
      <c r="GO35" s="55"/>
      <c r="GP35" s="55"/>
      <c r="GQ35" s="55"/>
      <c r="GR35" s="55"/>
      <c r="GS35" s="56"/>
      <c r="GT35" s="55"/>
      <c r="GU35" s="55"/>
      <c r="GV35" s="55"/>
      <c r="GW35" s="55"/>
      <c r="GX35" s="56"/>
      <c r="GY35" s="56"/>
      <c r="GZ35" s="56"/>
      <c r="HA35" s="56"/>
      <c r="HB35" s="56"/>
      <c r="HC35" s="56"/>
      <c r="HD35" s="57"/>
      <c r="HE35" s="57"/>
      <c r="HF35" s="57"/>
      <c r="HG35" s="57"/>
      <c r="HH35" s="57"/>
      <c r="HI35" s="58"/>
      <c r="HJ35" s="58"/>
      <c r="HK35" s="55"/>
      <c r="HL35" s="56"/>
      <c r="HM35" s="56"/>
      <c r="HN35" s="56"/>
      <c r="HO35" s="56"/>
      <c r="HP35" s="56"/>
      <c r="HQ35" s="56"/>
      <c r="HR35" s="56"/>
      <c r="HS35" s="56"/>
      <c r="HT35" s="56"/>
      <c r="HU35" s="38"/>
    </row>
    <row r="36" spans="1:229" x14ac:dyDescent="0.2">
      <c r="A36" s="36">
        <v>33</v>
      </c>
      <c r="B36" s="70" t="s">
        <v>89</v>
      </c>
      <c r="C36" s="77">
        <v>16091</v>
      </c>
      <c r="D36" s="77">
        <v>15899</v>
      </c>
      <c r="E36" s="77">
        <v>16239</v>
      </c>
      <c r="F36" s="77">
        <v>16169</v>
      </c>
      <c r="G36" s="150">
        <v>16005</v>
      </c>
      <c r="H36" s="41">
        <v>15537</v>
      </c>
      <c r="I36" s="41">
        <v>73</v>
      </c>
      <c r="J36" s="41">
        <v>99</v>
      </c>
      <c r="K36" s="41">
        <v>61</v>
      </c>
      <c r="L36" s="41">
        <v>249</v>
      </c>
      <c r="M36" s="42">
        <v>6492</v>
      </c>
      <c r="N36" s="43">
        <v>6427</v>
      </c>
      <c r="O36" s="43">
        <v>6413</v>
      </c>
      <c r="P36" s="44">
        <v>6419</v>
      </c>
      <c r="Q36" s="44">
        <v>6382</v>
      </c>
      <c r="R36" s="87">
        <v>22.443287467460021</v>
      </c>
      <c r="S36" s="87">
        <v>24.043557868362726</v>
      </c>
      <c r="T36" s="87">
        <v>25.503548820257048</v>
      </c>
      <c r="U36" s="87">
        <v>26.00577478344562</v>
      </c>
      <c r="V36" s="87">
        <v>27.765281173594133</v>
      </c>
      <c r="W36" s="87">
        <v>27.156935663815545</v>
      </c>
      <c r="X36" s="87">
        <v>29.170280427869326</v>
      </c>
      <c r="Y36" s="87">
        <v>30.251294839823519</v>
      </c>
      <c r="Z36" s="87">
        <v>29.615014436958614</v>
      </c>
      <c r="AA36" s="42">
        <v>28.762836185819072</v>
      </c>
      <c r="AB36" s="87">
        <v>49.60022313127557</v>
      </c>
      <c r="AC36" s="87">
        <v>53.213838296232055</v>
      </c>
      <c r="AD36" s="87">
        <v>55.754843660080567</v>
      </c>
      <c r="AE36" s="87">
        <v>55.620789220404234</v>
      </c>
      <c r="AF36" s="87">
        <v>56.528117359413201</v>
      </c>
      <c r="AG36" s="44">
        <v>10.172864071632882</v>
      </c>
      <c r="AH36" s="44">
        <v>13.544986516303016</v>
      </c>
      <c r="AI36" s="44">
        <v>12.142857142857142</v>
      </c>
      <c r="AJ36" s="43">
        <v>11.068608094768015</v>
      </c>
      <c r="AK36" s="43">
        <v>9.8376663005004268</v>
      </c>
      <c r="AL36" s="47">
        <v>522.33333333333337</v>
      </c>
      <c r="AM36" s="47">
        <v>650.83333333333337</v>
      </c>
      <c r="AN36" s="47">
        <v>522.33333333333337</v>
      </c>
      <c r="AO36" s="47">
        <v>942.75</v>
      </c>
      <c r="AP36" s="47">
        <v>941.33333333333337</v>
      </c>
      <c r="AQ36" s="47">
        <v>30314.257340040574</v>
      </c>
      <c r="AR36" s="47">
        <v>30900.814148230122</v>
      </c>
      <c r="AS36" s="47">
        <v>31452.783636615906</v>
      </c>
      <c r="AT36" s="47">
        <v>32195.717221822062</v>
      </c>
      <c r="AU36" s="47">
        <v>33201.99937519525</v>
      </c>
      <c r="AV36" s="84">
        <v>48375.126399359819</v>
      </c>
      <c r="AW36" s="85">
        <v>49189.060446454183</v>
      </c>
      <c r="AX36" s="85">
        <v>44998.840132491998</v>
      </c>
      <c r="AY36" s="85">
        <v>45615.548309875616</v>
      </c>
      <c r="AZ36" s="85">
        <v>44229</v>
      </c>
      <c r="BA36" s="83">
        <v>11.435033928122644</v>
      </c>
      <c r="BB36" s="83">
        <v>11.124546553808948</v>
      </c>
      <c r="BC36" s="83">
        <v>13.575848490530658</v>
      </c>
      <c r="BD36" s="83">
        <v>14.367167919799499</v>
      </c>
      <c r="BE36" s="83">
        <v>14.596646630813034</v>
      </c>
      <c r="BF36" s="83">
        <v>16.568047337278106</v>
      </c>
      <c r="BG36" s="46">
        <v>17.634291915355398</v>
      </c>
      <c r="BH36" s="46">
        <v>20.353282362246244</v>
      </c>
      <c r="BI36" s="46">
        <v>21.958537915984724</v>
      </c>
      <c r="BJ36" s="46">
        <v>21.692220329358321</v>
      </c>
      <c r="BK36" s="42">
        <v>2430</v>
      </c>
      <c r="BL36" s="42">
        <v>2403</v>
      </c>
      <c r="BM36" s="40">
        <v>2342</v>
      </c>
      <c r="BN36" s="40">
        <v>2338</v>
      </c>
      <c r="BO36" s="43">
        <v>39.25925925925926</v>
      </c>
      <c r="BP36" s="43">
        <v>47.648772367873491</v>
      </c>
      <c r="BQ36" s="44">
        <v>46.029035012809565</v>
      </c>
      <c r="BR36" s="44">
        <v>47.005988023952099</v>
      </c>
      <c r="BS36" s="87">
        <v>0.12345679012345678</v>
      </c>
      <c r="BT36" s="87">
        <v>0.12484394506866417</v>
      </c>
      <c r="BU36" s="87">
        <v>0</v>
      </c>
      <c r="BV36" s="87">
        <v>0</v>
      </c>
      <c r="BW36" s="43">
        <v>13.497942386831276</v>
      </c>
      <c r="BX36" s="43">
        <v>14.148980441115272</v>
      </c>
      <c r="BY36" s="43">
        <v>15.627668659265584</v>
      </c>
      <c r="BZ36" s="43">
        <v>15.226689478186485</v>
      </c>
      <c r="CA36" s="42">
        <v>87.5</v>
      </c>
      <c r="CB36" s="42">
        <v>87.254901960784309</v>
      </c>
      <c r="CC36" s="42">
        <v>87.1</v>
      </c>
      <c r="CD36" s="44">
        <v>85.87</v>
      </c>
      <c r="CE36" s="43">
        <v>4.3269230769230766</v>
      </c>
      <c r="CF36" s="43">
        <v>2.9411764705882355</v>
      </c>
      <c r="CG36" s="43">
        <v>6.45</v>
      </c>
      <c r="CH36" s="44">
        <v>5.43</v>
      </c>
      <c r="CI36" s="49">
        <v>770</v>
      </c>
      <c r="CJ36" s="49">
        <v>847</v>
      </c>
      <c r="CK36" s="51">
        <v>940</v>
      </c>
      <c r="CL36" s="51">
        <v>786</v>
      </c>
      <c r="CM36" s="88">
        <v>11.3</v>
      </c>
      <c r="CN36" s="88">
        <v>11.4</v>
      </c>
      <c r="CO36" s="88">
        <v>11.7</v>
      </c>
      <c r="CP36" s="88">
        <v>9.8000000000000007</v>
      </c>
      <c r="CQ36" s="53">
        <v>41</v>
      </c>
      <c r="CR36" s="53">
        <v>35</v>
      </c>
      <c r="CS36" s="53">
        <v>32</v>
      </c>
      <c r="CT36" s="53">
        <v>29</v>
      </c>
      <c r="CU36" s="88">
        <v>5.4</v>
      </c>
      <c r="CV36" s="88">
        <v>4.3</v>
      </c>
      <c r="CW36" s="88">
        <v>3.5</v>
      </c>
      <c r="CX36" s="88">
        <v>3.8</v>
      </c>
      <c r="CY36" s="51">
        <v>50</v>
      </c>
      <c r="CZ36" s="53">
        <v>49</v>
      </c>
      <c r="DA36" s="53">
        <v>44</v>
      </c>
      <c r="DB36" s="53">
        <v>50</v>
      </c>
      <c r="DC36" s="88">
        <v>7.3</v>
      </c>
      <c r="DD36" s="88">
        <v>7</v>
      </c>
      <c r="DE36" s="88">
        <v>7.9</v>
      </c>
      <c r="DF36" s="88">
        <v>8.4</v>
      </c>
      <c r="DG36" s="88">
        <v>81.2</v>
      </c>
      <c r="DH36" s="88">
        <v>81.599999999999994</v>
      </c>
      <c r="DI36" s="88">
        <v>84.9</v>
      </c>
      <c r="DJ36" s="88">
        <v>83.6</v>
      </c>
      <c r="DK36" s="88">
        <v>27.9</v>
      </c>
      <c r="DL36" s="88">
        <v>24.1</v>
      </c>
      <c r="DM36" s="88">
        <v>25.5</v>
      </c>
      <c r="DN36" s="88">
        <v>24.840764331210192</v>
      </c>
      <c r="DO36" s="88">
        <v>34.200000000000003</v>
      </c>
      <c r="DP36" s="88">
        <v>35.799999999999997</v>
      </c>
      <c r="DQ36" s="88">
        <v>37.700000000000003</v>
      </c>
      <c r="DR36" s="88">
        <v>40.6</v>
      </c>
      <c r="DS36" s="88">
        <v>41.368935690109062</v>
      </c>
      <c r="DT36" s="88">
        <v>33.344124312075103</v>
      </c>
      <c r="DU36" s="88">
        <v>35.651253088598658</v>
      </c>
      <c r="DV36" s="88">
        <v>27.143981117230528</v>
      </c>
      <c r="DW36" s="54">
        <v>131</v>
      </c>
      <c r="DX36" s="54">
        <v>0</v>
      </c>
      <c r="DY36" s="51">
        <v>1</v>
      </c>
      <c r="DZ36" s="53">
        <v>1</v>
      </c>
      <c r="EA36" s="53">
        <v>1</v>
      </c>
      <c r="EB36" s="53">
        <v>6</v>
      </c>
      <c r="EC36" s="53">
        <v>7</v>
      </c>
      <c r="ED36" s="51">
        <v>3</v>
      </c>
      <c r="EE36" s="53">
        <v>2</v>
      </c>
      <c r="EF36" s="53">
        <v>609</v>
      </c>
      <c r="EG36" s="53">
        <v>664</v>
      </c>
      <c r="EH36" s="53">
        <v>603</v>
      </c>
      <c r="EI36" s="53">
        <v>728</v>
      </c>
      <c r="EJ36" s="92">
        <v>135</v>
      </c>
      <c r="EK36" s="92">
        <v>0</v>
      </c>
      <c r="EL36" s="92">
        <v>0</v>
      </c>
      <c r="EM36" s="92">
        <v>0</v>
      </c>
      <c r="EN36" s="92">
        <v>1</v>
      </c>
      <c r="EO36" s="88">
        <v>892.83096320187656</v>
      </c>
      <c r="EP36" s="88">
        <v>893.51795782702891</v>
      </c>
      <c r="EQ36" s="88">
        <v>749.03110404451957</v>
      </c>
      <c r="ER36" s="88">
        <v>920.83605080903135</v>
      </c>
      <c r="ES36" s="88">
        <v>810.7</v>
      </c>
      <c r="ET36" s="88">
        <v>828.3</v>
      </c>
      <c r="EU36" s="88">
        <v>664.7</v>
      </c>
      <c r="EV36" s="88">
        <v>740</v>
      </c>
      <c r="EW36" s="88">
        <v>986.52207223301491</v>
      </c>
      <c r="EX36" s="88">
        <v>987.56309895370464</v>
      </c>
      <c r="EY36" s="88">
        <v>812.52479534478096</v>
      </c>
      <c r="EZ36" s="88">
        <v>907.12644744909085</v>
      </c>
      <c r="FA36" s="88">
        <v>656.57352433825019</v>
      </c>
      <c r="FB36" s="88">
        <v>691.78888193273133</v>
      </c>
      <c r="FC36" s="88">
        <v>554.1629797007356</v>
      </c>
      <c r="FD36" s="88">
        <v>597.93381902131114</v>
      </c>
      <c r="FE36" s="51">
        <v>138</v>
      </c>
      <c r="FF36" s="54">
        <v>163</v>
      </c>
      <c r="FG36" s="54">
        <v>170</v>
      </c>
      <c r="FH36" s="54">
        <v>180</v>
      </c>
      <c r="FI36" s="88">
        <v>182.6662</v>
      </c>
      <c r="FJ36" s="88">
        <v>200.17420000000001</v>
      </c>
      <c r="FK36" s="88">
        <v>185.13200000000001</v>
      </c>
      <c r="FL36" s="88">
        <v>174.13489999999999</v>
      </c>
      <c r="FM36" s="54">
        <v>158</v>
      </c>
      <c r="FN36" s="54">
        <v>155</v>
      </c>
      <c r="FO36" s="51">
        <v>123</v>
      </c>
      <c r="FP36" s="54">
        <v>149</v>
      </c>
      <c r="FQ36" s="88">
        <v>206.02699999999999</v>
      </c>
      <c r="FR36" s="88">
        <v>192.04259999999999</v>
      </c>
      <c r="FS36" s="88">
        <v>134.7175</v>
      </c>
      <c r="FT36" s="88">
        <v>151.23949999999999</v>
      </c>
      <c r="FU36" s="53">
        <v>54</v>
      </c>
      <c r="FV36" s="53">
        <v>43</v>
      </c>
      <c r="FW36" s="53">
        <v>32</v>
      </c>
      <c r="FX36" s="53">
        <v>47</v>
      </c>
      <c r="FY36" s="88">
        <v>71.058070000000001</v>
      </c>
      <c r="FZ36" s="88">
        <v>53.310519999999997</v>
      </c>
      <c r="GA36" s="88">
        <v>35.1175</v>
      </c>
      <c r="GB36" s="88">
        <v>48.093899999999998</v>
      </c>
      <c r="GC36" s="55">
        <v>38</v>
      </c>
      <c r="GD36" s="56">
        <v>56</v>
      </c>
      <c r="GE36" s="55">
        <v>37</v>
      </c>
      <c r="GF36" s="55">
        <v>42</v>
      </c>
      <c r="GG36" s="91">
        <v>56.321680000000001</v>
      </c>
      <c r="GH36" s="91">
        <v>73.175370000000001</v>
      </c>
      <c r="GI36" s="91">
        <v>44.004539999999999</v>
      </c>
      <c r="GJ36" s="91">
        <v>48.178489999999996</v>
      </c>
      <c r="GK36" s="55"/>
      <c r="GL36" s="55"/>
      <c r="GM36" s="55"/>
      <c r="GN36" s="56"/>
      <c r="GO36" s="55"/>
      <c r="GP36" s="55"/>
      <c r="GQ36" s="55"/>
      <c r="GR36" s="55"/>
      <c r="GS36" s="56"/>
      <c r="GT36" s="55"/>
      <c r="GU36" s="55"/>
      <c r="GV36" s="55"/>
      <c r="GW36" s="55"/>
      <c r="GX36" s="56"/>
      <c r="GY36" s="56"/>
      <c r="GZ36" s="56"/>
      <c r="HA36" s="56"/>
      <c r="HB36" s="56"/>
      <c r="HC36" s="56"/>
      <c r="HD36" s="57"/>
      <c r="HE36" s="57"/>
      <c r="HF36" s="57"/>
      <c r="HG36" s="57"/>
      <c r="HH36" s="57"/>
      <c r="HI36" s="58"/>
      <c r="HJ36" s="58"/>
      <c r="HK36" s="55"/>
      <c r="HL36" s="56"/>
      <c r="HM36" s="56"/>
      <c r="HN36" s="56"/>
      <c r="HO36" s="56"/>
      <c r="HP36" s="56"/>
      <c r="HQ36" s="56"/>
      <c r="HR36" s="56"/>
      <c r="HS36" s="56"/>
      <c r="HT36" s="56"/>
      <c r="HU36" s="38"/>
    </row>
    <row r="37" spans="1:229" x14ac:dyDescent="0.2">
      <c r="A37" s="36">
        <v>34</v>
      </c>
      <c r="B37" s="70" t="s">
        <v>90</v>
      </c>
      <c r="C37" s="77">
        <v>40679</v>
      </c>
      <c r="D37" s="77">
        <v>41123</v>
      </c>
      <c r="E37" s="77">
        <v>42239</v>
      </c>
      <c r="F37" s="77">
        <v>42173</v>
      </c>
      <c r="G37" s="150">
        <v>42379</v>
      </c>
      <c r="H37" s="41">
        <v>40220</v>
      </c>
      <c r="I37" s="41">
        <v>1290</v>
      </c>
      <c r="J37" s="41">
        <v>181</v>
      </c>
      <c r="K37" s="41">
        <v>266</v>
      </c>
      <c r="L37" s="41">
        <v>4733</v>
      </c>
      <c r="M37" s="42">
        <v>16819</v>
      </c>
      <c r="N37" s="43">
        <v>16819</v>
      </c>
      <c r="O37" s="43">
        <v>16732</v>
      </c>
      <c r="P37" s="44">
        <v>16769</v>
      </c>
      <c r="Q37" s="44">
        <v>16822</v>
      </c>
      <c r="R37" s="87">
        <v>24.042247122955786</v>
      </c>
      <c r="S37" s="87">
        <v>25.15358361774744</v>
      </c>
      <c r="T37" s="87">
        <v>25.22056923474473</v>
      </c>
      <c r="U37" s="87">
        <v>25.868725868725868</v>
      </c>
      <c r="V37" s="87">
        <v>26.409352384486919</v>
      </c>
      <c r="W37" s="87">
        <v>29.951544518473654</v>
      </c>
      <c r="X37" s="87">
        <v>30.792567311338644</v>
      </c>
      <c r="Y37" s="87">
        <v>30.706190704714089</v>
      </c>
      <c r="Z37" s="87">
        <v>30.698693198693199</v>
      </c>
      <c r="AA37" s="42">
        <v>30.870291334199294</v>
      </c>
      <c r="AB37" s="87">
        <v>53.993791641429439</v>
      </c>
      <c r="AC37" s="87">
        <v>55.94615092908608</v>
      </c>
      <c r="AD37" s="87">
        <v>55.926759939458819</v>
      </c>
      <c r="AE37" s="87">
        <v>56.567419067419067</v>
      </c>
      <c r="AF37" s="87">
        <v>57.279643718686209</v>
      </c>
      <c r="AG37" s="44">
        <v>4.9093751320292363</v>
      </c>
      <c r="AH37" s="44">
        <v>6.9499354946106786</v>
      </c>
      <c r="AI37" s="44">
        <v>6.3473103221023148</v>
      </c>
      <c r="AJ37" s="43">
        <v>5.8566541647776447</v>
      </c>
      <c r="AK37" s="43">
        <v>5.0593429740349167</v>
      </c>
      <c r="AL37" s="47">
        <v>1271.4166666666667</v>
      </c>
      <c r="AM37" s="47">
        <v>1658.75</v>
      </c>
      <c r="AN37" s="47">
        <v>1271.4166666666667</v>
      </c>
      <c r="AO37" s="47">
        <v>2252.5</v>
      </c>
      <c r="AP37" s="47">
        <v>2356.25</v>
      </c>
      <c r="AQ37" s="47">
        <v>42595.440519433214</v>
      </c>
      <c r="AR37" s="47">
        <v>41123.313834062516</v>
      </c>
      <c r="AS37" s="47">
        <v>42838.796493299931</v>
      </c>
      <c r="AT37" s="47">
        <v>43677.266864066813</v>
      </c>
      <c r="AU37" s="47">
        <v>45575.922036857875</v>
      </c>
      <c r="AV37" s="84">
        <v>53992.800455259377</v>
      </c>
      <c r="AW37" s="85">
        <v>49784.085088192718</v>
      </c>
      <c r="AX37" s="85">
        <v>47303.692158839774</v>
      </c>
      <c r="AY37" s="85">
        <v>50567.924412435787</v>
      </c>
      <c r="AZ37" s="85">
        <v>48993</v>
      </c>
      <c r="BA37" s="83">
        <v>10.671808097753962</v>
      </c>
      <c r="BB37" s="83">
        <v>11.260837255387663</v>
      </c>
      <c r="BC37" s="83">
        <v>14.612883804936786</v>
      </c>
      <c r="BD37" s="83">
        <v>12.68136059676991</v>
      </c>
      <c r="BE37" s="83">
        <v>12.509607993850883</v>
      </c>
      <c r="BF37" s="83">
        <v>13.821223209618401</v>
      </c>
      <c r="BG37" s="46">
        <v>16.976290670224778</v>
      </c>
      <c r="BH37" s="46">
        <v>22.342142424853741</v>
      </c>
      <c r="BI37" s="46">
        <v>18.614896014752588</v>
      </c>
      <c r="BJ37" s="46">
        <v>19.860698555771791</v>
      </c>
      <c r="BK37" s="42">
        <v>5648</v>
      </c>
      <c r="BL37" s="42">
        <v>5558</v>
      </c>
      <c r="BM37" s="40">
        <v>5530</v>
      </c>
      <c r="BN37" s="40">
        <v>5620</v>
      </c>
      <c r="BO37" s="43">
        <v>44.989376770538243</v>
      </c>
      <c r="BP37" s="43">
        <v>45.555955379632962</v>
      </c>
      <c r="BQ37" s="44">
        <v>47.341772151898731</v>
      </c>
      <c r="BR37" s="44">
        <v>49.056939501779361</v>
      </c>
      <c r="BS37" s="87">
        <v>12.092776203966006</v>
      </c>
      <c r="BT37" s="87">
        <v>11.011155091759626</v>
      </c>
      <c r="BU37" s="87">
        <v>11.826401446654611</v>
      </c>
      <c r="BV37" s="87">
        <v>14.608540925266905</v>
      </c>
      <c r="BW37" s="43">
        <v>12.464589235127479</v>
      </c>
      <c r="BX37" s="43">
        <v>13.09823677581864</v>
      </c>
      <c r="BY37" s="43">
        <v>13.743218806509946</v>
      </c>
      <c r="BZ37" s="43">
        <v>13.131672597864769</v>
      </c>
      <c r="CA37" s="42">
        <v>74.248120300751879</v>
      </c>
      <c r="CB37" s="42">
        <v>69.680851063829792</v>
      </c>
      <c r="CC37" s="42">
        <v>73.7</v>
      </c>
      <c r="CD37" s="44">
        <v>73.540000000000006</v>
      </c>
      <c r="CE37" s="43">
        <v>4.511278195488722</v>
      </c>
      <c r="CF37" s="43">
        <v>8.8652482269503547</v>
      </c>
      <c r="CG37" s="43">
        <v>10.65</v>
      </c>
      <c r="CH37" s="44">
        <v>11.28</v>
      </c>
      <c r="CI37" s="49">
        <v>2697</v>
      </c>
      <c r="CJ37" s="49">
        <v>2609</v>
      </c>
      <c r="CK37" s="54">
        <v>2992</v>
      </c>
      <c r="CL37" s="54">
        <v>2818</v>
      </c>
      <c r="CM37" s="88">
        <v>13.2</v>
      </c>
      <c r="CN37" s="88">
        <v>12.7</v>
      </c>
      <c r="CO37" s="88">
        <v>14.6</v>
      </c>
      <c r="CP37" s="88">
        <v>13.5</v>
      </c>
      <c r="CQ37" s="53">
        <v>98</v>
      </c>
      <c r="CR37" s="53">
        <v>90</v>
      </c>
      <c r="CS37" s="53">
        <v>122</v>
      </c>
      <c r="CT37" s="53">
        <v>114</v>
      </c>
      <c r="CU37" s="88">
        <v>3.7</v>
      </c>
      <c r="CV37" s="88">
        <v>3.5</v>
      </c>
      <c r="CW37" s="88">
        <v>4.2</v>
      </c>
      <c r="CX37" s="88">
        <v>4.2</v>
      </c>
      <c r="CY37" s="51">
        <v>160</v>
      </c>
      <c r="CZ37" s="53">
        <v>153</v>
      </c>
      <c r="DA37" s="53">
        <v>182</v>
      </c>
      <c r="DB37" s="53">
        <v>191</v>
      </c>
      <c r="DC37" s="88">
        <v>6.3</v>
      </c>
      <c r="DD37" s="88">
        <v>6.3</v>
      </c>
      <c r="DE37" s="88">
        <v>6.5</v>
      </c>
      <c r="DF37" s="88">
        <v>7.2</v>
      </c>
      <c r="DG37" s="88">
        <v>80.099999999999994</v>
      </c>
      <c r="DH37" s="88">
        <v>82.8</v>
      </c>
      <c r="DI37" s="88">
        <v>84.8</v>
      </c>
      <c r="DJ37" s="88">
        <v>84.5</v>
      </c>
      <c r="DK37" s="88">
        <v>11.2</v>
      </c>
      <c r="DL37" s="88">
        <v>10.199999999999999</v>
      </c>
      <c r="DM37" s="88">
        <v>9.1999999999999993</v>
      </c>
      <c r="DN37" s="88">
        <v>10.795454545454545</v>
      </c>
      <c r="DO37" s="88">
        <v>28.4</v>
      </c>
      <c r="DP37" s="88">
        <v>30.2</v>
      </c>
      <c r="DQ37" s="88">
        <v>36.1</v>
      </c>
      <c r="DR37" s="88">
        <v>39.299999999999997</v>
      </c>
      <c r="DS37" s="88">
        <v>41.613316261203586</v>
      </c>
      <c r="DT37" s="88">
        <v>38.4708152436083</v>
      </c>
      <c r="DU37" s="88">
        <v>45.508508112386231</v>
      </c>
      <c r="DV37" s="88">
        <v>39.295001444669168</v>
      </c>
      <c r="DW37" s="54">
        <v>478</v>
      </c>
      <c r="DX37" s="54">
        <v>64</v>
      </c>
      <c r="DY37" s="51">
        <v>1</v>
      </c>
      <c r="DZ37" s="53">
        <v>3</v>
      </c>
      <c r="EA37" s="53">
        <v>106</v>
      </c>
      <c r="EB37" s="53">
        <v>26</v>
      </c>
      <c r="EC37" s="53">
        <v>9</v>
      </c>
      <c r="ED37" s="51">
        <v>9</v>
      </c>
      <c r="EE37" s="53">
        <v>15</v>
      </c>
      <c r="EF37" s="53">
        <v>1822</v>
      </c>
      <c r="EG37" s="53">
        <v>1806</v>
      </c>
      <c r="EH37" s="53">
        <v>1810</v>
      </c>
      <c r="EI37" s="53">
        <v>1857</v>
      </c>
      <c r="EJ37" s="92">
        <v>396</v>
      </c>
      <c r="EK37" s="92">
        <v>1</v>
      </c>
      <c r="EL37" s="92">
        <v>0</v>
      </c>
      <c r="EM37" s="92">
        <v>0</v>
      </c>
      <c r="EN37" s="92">
        <v>5</v>
      </c>
      <c r="EO37" s="88">
        <v>893.55775266792216</v>
      </c>
      <c r="EP37" s="88">
        <v>880.52031632424212</v>
      </c>
      <c r="EQ37" s="88">
        <v>881.16450026775715</v>
      </c>
      <c r="ER37" s="88">
        <v>877.78406151106401</v>
      </c>
      <c r="ES37" s="88">
        <v>760.1</v>
      </c>
      <c r="ET37" s="88">
        <v>717.4</v>
      </c>
      <c r="EU37" s="88">
        <v>653.5</v>
      </c>
      <c r="EV37" s="88">
        <v>631.29999999999995</v>
      </c>
      <c r="EW37" s="88">
        <v>928.59404145872463</v>
      </c>
      <c r="EX37" s="88">
        <v>847.36747549812401</v>
      </c>
      <c r="EY37" s="88">
        <v>774.34534677578699</v>
      </c>
      <c r="EZ37" s="88">
        <v>746.96078463094216</v>
      </c>
      <c r="FA37" s="88">
        <v>635.77898889623589</v>
      </c>
      <c r="FB37" s="88">
        <v>612.4594289630387</v>
      </c>
      <c r="FC37" s="88">
        <v>550.6857526746353</v>
      </c>
      <c r="FD37" s="88">
        <v>536.88113068350708</v>
      </c>
      <c r="FE37" s="51">
        <v>401</v>
      </c>
      <c r="FF37" s="54">
        <v>431</v>
      </c>
      <c r="FG37" s="54">
        <v>396</v>
      </c>
      <c r="FH37" s="54">
        <v>432</v>
      </c>
      <c r="FI37" s="88">
        <v>177.3057</v>
      </c>
      <c r="FJ37" s="88">
        <v>180.33609999999999</v>
      </c>
      <c r="FK37" s="88">
        <v>153.28190000000001</v>
      </c>
      <c r="FL37" s="88">
        <v>155.5292</v>
      </c>
      <c r="FM37" s="54">
        <v>523</v>
      </c>
      <c r="FN37" s="54">
        <v>469</v>
      </c>
      <c r="FO37" s="51">
        <v>387</v>
      </c>
      <c r="FP37" s="54">
        <v>386</v>
      </c>
      <c r="FQ37" s="88">
        <v>211.46950000000001</v>
      </c>
      <c r="FR37" s="88">
        <v>180.4949</v>
      </c>
      <c r="FS37" s="88">
        <v>135.15090000000001</v>
      </c>
      <c r="FT37" s="88">
        <v>122.99079999999999</v>
      </c>
      <c r="FU37" s="53">
        <v>157</v>
      </c>
      <c r="FV37" s="53">
        <v>132</v>
      </c>
      <c r="FW37" s="53">
        <v>160</v>
      </c>
      <c r="FX37" s="53">
        <v>113</v>
      </c>
      <c r="FY37" s="88">
        <v>61.280259999999998</v>
      </c>
      <c r="FZ37" s="88">
        <v>49.844920000000002</v>
      </c>
      <c r="GA37" s="88">
        <v>55.03398</v>
      </c>
      <c r="GB37" s="88">
        <v>35.147570000000002</v>
      </c>
      <c r="GC37" s="55">
        <v>88</v>
      </c>
      <c r="GD37" s="56">
        <v>85</v>
      </c>
      <c r="GE37" s="55">
        <v>115</v>
      </c>
      <c r="GF37" s="55">
        <v>97</v>
      </c>
      <c r="GG37" s="91">
        <v>40.970350000000003</v>
      </c>
      <c r="GH37" s="91">
        <v>38.16966</v>
      </c>
      <c r="GI37" s="91">
        <v>49.334919999999997</v>
      </c>
      <c r="GJ37" s="91">
        <v>37.679639999999999</v>
      </c>
      <c r="GK37" s="55"/>
      <c r="GL37" s="55"/>
      <c r="GM37" s="55"/>
      <c r="GN37" s="56"/>
      <c r="GO37" s="55"/>
      <c r="GP37" s="55"/>
      <c r="GQ37" s="55"/>
      <c r="GR37" s="55"/>
      <c r="GS37" s="56"/>
      <c r="GT37" s="55"/>
      <c r="GU37" s="55"/>
      <c r="GV37" s="55"/>
      <c r="GW37" s="55"/>
      <c r="GX37" s="56"/>
      <c r="GY37" s="56"/>
      <c r="GZ37" s="56"/>
      <c r="HA37" s="56"/>
      <c r="HB37" s="56"/>
      <c r="HC37" s="56"/>
      <c r="HD37" s="57"/>
      <c r="HE37" s="57"/>
      <c r="HF37" s="57"/>
      <c r="HG37" s="57"/>
      <c r="HH37" s="57"/>
      <c r="HI37" s="58"/>
      <c r="HJ37" s="58"/>
      <c r="HK37" s="55"/>
      <c r="HL37" s="56"/>
      <c r="HM37" s="56"/>
      <c r="HN37" s="56"/>
      <c r="HO37" s="56"/>
      <c r="HP37" s="56"/>
      <c r="HQ37" s="56"/>
      <c r="HR37" s="56"/>
      <c r="HS37" s="56"/>
      <c r="HT37" s="56"/>
      <c r="HU37" s="38"/>
    </row>
    <row r="38" spans="1:229" x14ac:dyDescent="0.2">
      <c r="A38" s="36">
        <v>35</v>
      </c>
      <c r="B38" s="70" t="s">
        <v>91</v>
      </c>
      <c r="C38" s="77">
        <v>4462</v>
      </c>
      <c r="D38" s="77">
        <v>4374</v>
      </c>
      <c r="E38" s="77">
        <v>4552</v>
      </c>
      <c r="F38" s="77">
        <v>4515</v>
      </c>
      <c r="G38" s="150">
        <v>4493</v>
      </c>
      <c r="H38" s="41">
        <v>4425</v>
      </c>
      <c r="I38" s="41">
        <v>14</v>
      </c>
      <c r="J38" s="41">
        <v>11</v>
      </c>
      <c r="K38" s="41">
        <v>19</v>
      </c>
      <c r="L38" s="41">
        <v>79</v>
      </c>
      <c r="M38" s="42">
        <v>1989</v>
      </c>
      <c r="N38" s="43">
        <v>1949</v>
      </c>
      <c r="O38" s="43">
        <v>1986</v>
      </c>
      <c r="P38" s="44">
        <v>1984</v>
      </c>
      <c r="Q38" s="44">
        <v>1971</v>
      </c>
      <c r="R38" s="87">
        <v>38.956714761376247</v>
      </c>
      <c r="S38" s="87">
        <v>39.320200849748936</v>
      </c>
      <c r="T38" s="87">
        <v>37.789203084832906</v>
      </c>
      <c r="U38" s="87">
        <v>37.412458532989312</v>
      </c>
      <c r="V38" s="87">
        <v>38.13936249073388</v>
      </c>
      <c r="W38" s="87">
        <v>26.119126896041436</v>
      </c>
      <c r="X38" s="87">
        <v>29.625337968327539</v>
      </c>
      <c r="Y38" s="87">
        <v>29.379360998898274</v>
      </c>
      <c r="Z38" s="87">
        <v>29.008477699963141</v>
      </c>
      <c r="AA38" s="42">
        <v>28.391401037805782</v>
      </c>
      <c r="AB38" s="87">
        <v>65.075841657417683</v>
      </c>
      <c r="AC38" s="87">
        <v>68.945538818076471</v>
      </c>
      <c r="AD38" s="87">
        <v>67.168564083731184</v>
      </c>
      <c r="AE38" s="87">
        <v>66.420936232952457</v>
      </c>
      <c r="AF38" s="87">
        <v>66.530763528539666</v>
      </c>
      <c r="AG38" s="44">
        <v>5.5913113435237332</v>
      </c>
      <c r="AH38" s="44">
        <v>7.4733096085409256</v>
      </c>
      <c r="AI38" s="44">
        <v>7.2220099350401226</v>
      </c>
      <c r="AJ38" s="43">
        <v>6.8604651162790695</v>
      </c>
      <c r="AK38" s="43">
        <v>5.3348050036791754</v>
      </c>
      <c r="AL38" s="47">
        <v>64.083333333333329</v>
      </c>
      <c r="AM38" s="47">
        <v>67.333333333333329</v>
      </c>
      <c r="AN38" s="47">
        <v>64.083333333333329</v>
      </c>
      <c r="AO38" s="47">
        <v>97.666666666666671</v>
      </c>
      <c r="AP38" s="47">
        <v>106.66666666666667</v>
      </c>
      <c r="AQ38" s="47">
        <v>52175.279877929082</v>
      </c>
      <c r="AR38" s="47">
        <v>41505.516705510803</v>
      </c>
      <c r="AS38" s="47">
        <v>45282.022577707743</v>
      </c>
      <c r="AT38" s="47">
        <v>46335.925439308485</v>
      </c>
      <c r="AU38" s="47">
        <v>51024.70509681727</v>
      </c>
      <c r="AV38" s="84">
        <v>46266.899062891818</v>
      </c>
      <c r="AW38" s="85">
        <v>48590.825240101942</v>
      </c>
      <c r="AX38" s="85">
        <v>46307.625453985958</v>
      </c>
      <c r="AY38" s="85">
        <v>46686.249573598951</v>
      </c>
      <c r="AZ38" s="85">
        <v>44299</v>
      </c>
      <c r="BA38" s="83">
        <v>10.464037122969838</v>
      </c>
      <c r="BB38" s="83">
        <v>10.049774828158331</v>
      </c>
      <c r="BC38" s="83">
        <v>10.013531799729364</v>
      </c>
      <c r="BD38" s="83">
        <v>10.710233719083277</v>
      </c>
      <c r="BE38" s="83">
        <v>10.601915184678523</v>
      </c>
      <c r="BF38" s="83">
        <v>13.972286374133949</v>
      </c>
      <c r="BG38" s="46">
        <v>15.608180839612487</v>
      </c>
      <c r="BH38" s="46">
        <v>14.532520325203253</v>
      </c>
      <c r="BI38" s="46">
        <v>15.589743589743589</v>
      </c>
      <c r="BJ38" s="46">
        <v>13.84297520661157</v>
      </c>
      <c r="BK38" s="42">
        <v>715</v>
      </c>
      <c r="BL38" s="42">
        <v>719</v>
      </c>
      <c r="BM38" s="40">
        <v>682</v>
      </c>
      <c r="BN38" s="40">
        <v>689</v>
      </c>
      <c r="BO38" s="43">
        <v>40.27972027972028</v>
      </c>
      <c r="BP38" s="43">
        <v>39.916550764951324</v>
      </c>
      <c r="BQ38" s="44">
        <v>37.829912023460409</v>
      </c>
      <c r="BR38" s="44">
        <v>35.99419448476052</v>
      </c>
      <c r="BS38" s="87">
        <v>0</v>
      </c>
      <c r="BT38" s="87">
        <v>0</v>
      </c>
      <c r="BU38" s="87">
        <v>0</v>
      </c>
      <c r="BV38" s="87">
        <v>0</v>
      </c>
      <c r="BW38" s="43">
        <v>17.762237762237763</v>
      </c>
      <c r="BX38" s="43">
        <v>16.82892906815021</v>
      </c>
      <c r="BY38" s="43">
        <v>16.422287390029325</v>
      </c>
      <c r="BZ38" s="43">
        <v>16.981132075471699</v>
      </c>
      <c r="CA38" s="42">
        <v>96.296296296296291</v>
      </c>
      <c r="CB38" s="42">
        <v>91.666666666666671</v>
      </c>
      <c r="CC38" s="42">
        <v>96.55</v>
      </c>
      <c r="CD38" s="44">
        <v>96.67</v>
      </c>
      <c r="CE38" s="43">
        <v>3.7037037037037037</v>
      </c>
      <c r="CF38" s="43">
        <v>2.0833333333333335</v>
      </c>
      <c r="CG38" s="43"/>
      <c r="CH38" s="44">
        <v>0</v>
      </c>
      <c r="CI38" s="49">
        <v>298</v>
      </c>
      <c r="CJ38" s="49">
        <v>257</v>
      </c>
      <c r="CK38" s="51">
        <v>208</v>
      </c>
      <c r="CL38" s="51">
        <v>220</v>
      </c>
      <c r="CM38" s="88">
        <v>10.9</v>
      </c>
      <c r="CN38" s="88">
        <v>9.9</v>
      </c>
      <c r="CO38" s="88">
        <v>8.6999999999999993</v>
      </c>
      <c r="CP38" s="88">
        <v>9.8000000000000007</v>
      </c>
      <c r="CQ38" s="53">
        <v>14</v>
      </c>
      <c r="CR38" s="53">
        <v>11</v>
      </c>
      <c r="CS38" s="53">
        <v>12</v>
      </c>
      <c r="CT38" s="53">
        <v>7</v>
      </c>
      <c r="CU38" s="88">
        <v>5</v>
      </c>
      <c r="CV38" s="88">
        <v>4.5</v>
      </c>
      <c r="CW38" s="88">
        <v>5.9</v>
      </c>
      <c r="CX38" s="88">
        <v>3.3</v>
      </c>
      <c r="CY38" s="51">
        <v>14</v>
      </c>
      <c r="CZ38" s="53">
        <v>14</v>
      </c>
      <c r="DA38" s="53">
        <v>12</v>
      </c>
      <c r="DB38" s="53">
        <v>15</v>
      </c>
      <c r="DC38" s="88">
        <v>5.7</v>
      </c>
      <c r="DD38" s="88">
        <v>6.1</v>
      </c>
      <c r="DE38" s="88">
        <v>6.3</v>
      </c>
      <c r="DF38" s="88">
        <v>8.9</v>
      </c>
      <c r="DG38" s="88">
        <v>79.099999999999994</v>
      </c>
      <c r="DH38" s="88">
        <v>81.900000000000006</v>
      </c>
      <c r="DI38" s="88">
        <v>81.900000000000006</v>
      </c>
      <c r="DJ38" s="88">
        <v>84.1</v>
      </c>
      <c r="DK38" s="88">
        <v>9.9</v>
      </c>
      <c r="DL38" s="88">
        <v>12.6</v>
      </c>
      <c r="DM38" s="88">
        <v>6.3</v>
      </c>
      <c r="DN38" s="88">
        <v>14.351851851851851</v>
      </c>
      <c r="DO38" s="88">
        <v>17.100000000000001</v>
      </c>
      <c r="DP38" s="88">
        <v>21</v>
      </c>
      <c r="DQ38" s="88">
        <v>14.9</v>
      </c>
      <c r="DR38" s="88">
        <v>20.5</v>
      </c>
      <c r="DS38" s="88">
        <v>31.43893591293833</v>
      </c>
      <c r="DT38" s="88" t="s">
        <v>39</v>
      </c>
      <c r="DU38" s="88" t="s">
        <v>39</v>
      </c>
      <c r="DV38" s="88" t="s">
        <v>39</v>
      </c>
      <c r="DW38" s="54">
        <v>42</v>
      </c>
      <c r="DX38" s="54">
        <v>1</v>
      </c>
      <c r="DY38" s="51">
        <v>0</v>
      </c>
      <c r="DZ38" s="53">
        <v>1</v>
      </c>
      <c r="EA38" s="53">
        <v>1</v>
      </c>
      <c r="EB38" s="53">
        <v>3</v>
      </c>
      <c r="EC38" s="53">
        <v>2</v>
      </c>
      <c r="ED38" s="51">
        <v>0</v>
      </c>
      <c r="EE38" s="53">
        <v>0</v>
      </c>
      <c r="EF38" s="53">
        <v>442</v>
      </c>
      <c r="EG38" s="53">
        <v>366</v>
      </c>
      <c r="EH38" s="53">
        <v>360</v>
      </c>
      <c r="EI38" s="53">
        <v>337</v>
      </c>
      <c r="EJ38" s="92">
        <v>71</v>
      </c>
      <c r="EK38" s="92">
        <v>0</v>
      </c>
      <c r="EL38" s="92">
        <v>0</v>
      </c>
      <c r="EM38" s="92">
        <v>0</v>
      </c>
      <c r="EN38" s="92">
        <v>0</v>
      </c>
      <c r="EO38" s="88">
        <v>1620.4722100014665</v>
      </c>
      <c r="EP38" s="88">
        <v>1407.3134156188719</v>
      </c>
      <c r="EQ38" s="88">
        <v>1514.1318977119784</v>
      </c>
      <c r="ER38" s="88">
        <v>1485.7845053901581</v>
      </c>
      <c r="ES38" s="88">
        <v>961.4</v>
      </c>
      <c r="ET38" s="88">
        <v>802.9</v>
      </c>
      <c r="EU38" s="88">
        <v>757.5</v>
      </c>
      <c r="EV38" s="88">
        <v>725.3</v>
      </c>
      <c r="EW38" s="88">
        <v>1194.9847483923552</v>
      </c>
      <c r="EX38" s="88">
        <v>929.83659388853323</v>
      </c>
      <c r="EY38" s="88">
        <v>1011.4120789822792</v>
      </c>
      <c r="EZ38" s="88">
        <v>934.41338889136682</v>
      </c>
      <c r="FA38" s="88">
        <v>770.73273384906008</v>
      </c>
      <c r="FB38" s="88">
        <v>681.5088865300188</v>
      </c>
      <c r="FC38" s="88">
        <v>560.33931859864674</v>
      </c>
      <c r="FD38" s="88">
        <v>556.50615876627262</v>
      </c>
      <c r="FE38" s="51">
        <v>94</v>
      </c>
      <c r="FF38" s="54">
        <v>70</v>
      </c>
      <c r="FG38" s="54">
        <v>58</v>
      </c>
      <c r="FH38" s="54">
        <v>70</v>
      </c>
      <c r="FI38" s="88">
        <v>228.3408</v>
      </c>
      <c r="FJ38" s="88">
        <v>171.774</v>
      </c>
      <c r="FK38" s="88">
        <v>132.35550000000001</v>
      </c>
      <c r="FL38" s="88">
        <v>177.06370000000001</v>
      </c>
      <c r="FM38" s="54">
        <v>154</v>
      </c>
      <c r="FN38" s="54">
        <v>124</v>
      </c>
      <c r="FO38" s="51">
        <v>122</v>
      </c>
      <c r="FP38" s="54">
        <v>64</v>
      </c>
      <c r="FQ38" s="88">
        <v>310.56290000000001</v>
      </c>
      <c r="FR38" s="88">
        <v>256.64100000000002</v>
      </c>
      <c r="FS38" s="88">
        <v>247.4135</v>
      </c>
      <c r="FT38" s="88">
        <v>132.1284</v>
      </c>
      <c r="FU38" s="53">
        <v>43</v>
      </c>
      <c r="FV38" s="53">
        <v>30</v>
      </c>
      <c r="FW38" s="53">
        <v>36</v>
      </c>
      <c r="FX38" s="53">
        <v>20</v>
      </c>
      <c r="FY38" s="88">
        <v>78.029240000000001</v>
      </c>
      <c r="FZ38" s="88">
        <v>51.22504</v>
      </c>
      <c r="GA38" s="88">
        <v>63.865380000000002</v>
      </c>
      <c r="GB38" s="88">
        <v>35.341439999999999</v>
      </c>
      <c r="GC38" s="55">
        <v>16</v>
      </c>
      <c r="GD38" s="56">
        <v>10</v>
      </c>
      <c r="GE38" s="55">
        <v>18</v>
      </c>
      <c r="GF38" s="55">
        <v>11</v>
      </c>
      <c r="GG38" s="91">
        <v>54.363700000000001</v>
      </c>
      <c r="GH38" s="91">
        <v>35.857149999999997</v>
      </c>
      <c r="GI38" s="91">
        <v>58.05359</v>
      </c>
      <c r="GJ38" s="91">
        <v>32.974080000000001</v>
      </c>
      <c r="GK38" s="55"/>
      <c r="GL38" s="55"/>
      <c r="GM38" s="55"/>
      <c r="GN38" s="56"/>
      <c r="GO38" s="55"/>
      <c r="GP38" s="55"/>
      <c r="GQ38" s="55"/>
      <c r="GR38" s="55"/>
      <c r="GS38" s="56"/>
      <c r="GT38" s="55"/>
      <c r="GU38" s="55"/>
      <c r="GV38" s="55"/>
      <c r="GW38" s="55"/>
      <c r="GX38" s="56"/>
      <c r="GY38" s="56"/>
      <c r="GZ38" s="56"/>
      <c r="HA38" s="56"/>
      <c r="HB38" s="56"/>
      <c r="HC38" s="56"/>
      <c r="HD38" s="57"/>
      <c r="HE38" s="57"/>
      <c r="HF38" s="57"/>
      <c r="HG38" s="57"/>
      <c r="HH38" s="57"/>
      <c r="HI38" s="58"/>
      <c r="HJ38" s="58"/>
      <c r="HK38" s="55"/>
      <c r="HL38" s="56"/>
      <c r="HM38" s="56"/>
      <c r="HN38" s="56"/>
      <c r="HO38" s="56"/>
      <c r="HP38" s="56"/>
      <c r="HQ38" s="56"/>
      <c r="HR38" s="56"/>
      <c r="HS38" s="56"/>
      <c r="HT38" s="56"/>
      <c r="HU38" s="38"/>
    </row>
    <row r="39" spans="1:229" x14ac:dyDescent="0.2">
      <c r="A39" s="36">
        <v>36</v>
      </c>
      <c r="B39" s="70" t="s">
        <v>92</v>
      </c>
      <c r="C39" s="77">
        <v>13251</v>
      </c>
      <c r="D39" s="77">
        <v>13128</v>
      </c>
      <c r="E39" s="77">
        <v>13311</v>
      </c>
      <c r="F39" s="77">
        <v>13213</v>
      </c>
      <c r="G39" s="150">
        <v>13208</v>
      </c>
      <c r="H39" s="41">
        <v>12502</v>
      </c>
      <c r="I39" s="41">
        <v>97</v>
      </c>
      <c r="J39" s="41">
        <v>326</v>
      </c>
      <c r="K39" s="41">
        <v>53</v>
      </c>
      <c r="L39" s="41">
        <v>156</v>
      </c>
      <c r="M39" s="42">
        <v>5975</v>
      </c>
      <c r="N39" s="43">
        <v>5937</v>
      </c>
      <c r="O39" s="43">
        <v>5874</v>
      </c>
      <c r="P39" s="44">
        <v>5859</v>
      </c>
      <c r="Q39" s="44">
        <v>5858</v>
      </c>
      <c r="R39" s="87">
        <v>31.329113924050635</v>
      </c>
      <c r="S39" s="87">
        <v>32.185015658877376</v>
      </c>
      <c r="T39" s="87">
        <v>30.700306531478425</v>
      </c>
      <c r="U39" s="87">
        <v>30.385433908725467</v>
      </c>
      <c r="V39" s="87">
        <v>32.27855687402613</v>
      </c>
      <c r="W39" s="87">
        <v>23.980309423347396</v>
      </c>
      <c r="X39" s="87">
        <v>25.945555287882438</v>
      </c>
      <c r="Y39" s="87">
        <v>26.232020749823153</v>
      </c>
      <c r="Z39" s="87">
        <v>25.83353038543391</v>
      </c>
      <c r="AA39" s="42">
        <v>26.033800791082346</v>
      </c>
      <c r="AB39" s="87">
        <v>55.309423347398031</v>
      </c>
      <c r="AC39" s="87">
        <v>58.130570946759818</v>
      </c>
      <c r="AD39" s="87">
        <v>56.932327281301582</v>
      </c>
      <c r="AE39" s="87">
        <v>56.218964294159377</v>
      </c>
      <c r="AF39" s="87">
        <v>58.312357665108472</v>
      </c>
      <c r="AG39" s="44">
        <v>7.6266015863331296</v>
      </c>
      <c r="AH39" s="44">
        <v>9.785202863961814</v>
      </c>
      <c r="AI39" s="44">
        <v>8.7778429073856969</v>
      </c>
      <c r="AJ39" s="43">
        <v>8.3441418071768272</v>
      </c>
      <c r="AK39" s="43">
        <v>8.1543775341642881</v>
      </c>
      <c r="AL39" s="47">
        <v>502.16666666666669</v>
      </c>
      <c r="AM39" s="47">
        <v>577.83333333333337</v>
      </c>
      <c r="AN39" s="47">
        <v>502.16666666666669</v>
      </c>
      <c r="AO39" s="47">
        <v>771.75</v>
      </c>
      <c r="AP39" s="47">
        <v>776.08333333333337</v>
      </c>
      <c r="AQ39" s="47">
        <v>34883.119401783115</v>
      </c>
      <c r="AR39" s="47">
        <v>35847.677369582721</v>
      </c>
      <c r="AS39" s="47">
        <v>37155.808985848562</v>
      </c>
      <c r="AT39" s="47">
        <v>37071.905949142259</v>
      </c>
      <c r="AU39" s="47">
        <v>36181.78376741369</v>
      </c>
      <c r="AV39" s="84">
        <v>41727.332157811252</v>
      </c>
      <c r="AW39" s="85">
        <v>43268.779298796617</v>
      </c>
      <c r="AX39" s="85">
        <v>43901.69266266359</v>
      </c>
      <c r="AY39" s="85">
        <v>43655.828170362933</v>
      </c>
      <c r="AZ39" s="85">
        <v>43762</v>
      </c>
      <c r="BA39" s="83">
        <v>13.017979782390617</v>
      </c>
      <c r="BB39" s="83">
        <v>12.891660171473109</v>
      </c>
      <c r="BC39" s="83">
        <v>14.625928478443985</v>
      </c>
      <c r="BD39" s="83">
        <v>14.046461372231226</v>
      </c>
      <c r="BE39" s="83">
        <v>12.851188638468663</v>
      </c>
      <c r="BF39" s="83">
        <v>18.7984496124031</v>
      </c>
      <c r="BG39" s="46">
        <v>19.022556390977442</v>
      </c>
      <c r="BH39" s="46">
        <v>22.035753374680773</v>
      </c>
      <c r="BI39" s="46">
        <v>21.482035928143713</v>
      </c>
      <c r="BJ39" s="46">
        <v>21.420432966198252</v>
      </c>
      <c r="BK39" s="42">
        <v>1970</v>
      </c>
      <c r="BL39" s="42">
        <v>1974</v>
      </c>
      <c r="BM39" s="40">
        <v>1917</v>
      </c>
      <c r="BN39" s="40">
        <v>1876</v>
      </c>
      <c r="BO39" s="43">
        <v>38.730964467005073</v>
      </c>
      <c r="BP39" s="43">
        <v>40.476190476190474</v>
      </c>
      <c r="BQ39" s="44">
        <v>38.393322900365156</v>
      </c>
      <c r="BR39" s="44">
        <v>39.498933901918974</v>
      </c>
      <c r="BS39" s="87">
        <v>0.25380710659898476</v>
      </c>
      <c r="BT39" s="87">
        <v>0.303951367781155</v>
      </c>
      <c r="BU39" s="87">
        <v>0.36515388628064682</v>
      </c>
      <c r="BV39" s="87">
        <v>0.42643923240938164</v>
      </c>
      <c r="BW39" s="43">
        <v>14.619289340101522</v>
      </c>
      <c r="BX39" s="43">
        <v>14.539007092198581</v>
      </c>
      <c r="BY39" s="43">
        <v>15.753781950965049</v>
      </c>
      <c r="BZ39" s="43">
        <v>14.285714285714286</v>
      </c>
      <c r="CA39" s="42">
        <v>80.459770114942529</v>
      </c>
      <c r="CB39" s="42">
        <v>81.538461538461533</v>
      </c>
      <c r="CC39" s="42">
        <v>81.88</v>
      </c>
      <c r="CD39" s="44">
        <v>86.14</v>
      </c>
      <c r="CE39" s="43">
        <v>6.3218390804597702</v>
      </c>
      <c r="CF39" s="43">
        <v>4.1025641025641022</v>
      </c>
      <c r="CG39" s="43">
        <v>7.5</v>
      </c>
      <c r="CH39" s="44">
        <v>3.61</v>
      </c>
      <c r="CI39" s="49">
        <v>787</v>
      </c>
      <c r="CJ39" s="49">
        <v>735</v>
      </c>
      <c r="CK39" s="51">
        <v>612</v>
      </c>
      <c r="CL39" s="51">
        <v>572</v>
      </c>
      <c r="CM39" s="88">
        <v>9.9</v>
      </c>
      <c r="CN39" s="88">
        <v>10.1</v>
      </c>
      <c r="CO39" s="88">
        <v>8.9</v>
      </c>
      <c r="CP39" s="88">
        <v>8.6999999999999993</v>
      </c>
      <c r="CQ39" s="53">
        <v>33</v>
      </c>
      <c r="CR39" s="53">
        <v>43</v>
      </c>
      <c r="CS39" s="53">
        <v>21</v>
      </c>
      <c r="CT39" s="53">
        <v>19</v>
      </c>
      <c r="CU39" s="88">
        <v>4.2</v>
      </c>
      <c r="CV39" s="88">
        <v>6</v>
      </c>
      <c r="CW39" s="88">
        <v>3.5</v>
      </c>
      <c r="CX39" s="88">
        <v>3.5</v>
      </c>
      <c r="CY39" s="51">
        <v>48</v>
      </c>
      <c r="CZ39" s="53">
        <v>40</v>
      </c>
      <c r="DA39" s="53">
        <v>50</v>
      </c>
      <c r="DB39" s="53">
        <v>33</v>
      </c>
      <c r="DC39" s="88">
        <v>8.4</v>
      </c>
      <c r="DD39" s="88">
        <v>6.3</v>
      </c>
      <c r="DE39" s="88">
        <v>9.1999999999999993</v>
      </c>
      <c r="DF39" s="88">
        <v>7.8</v>
      </c>
      <c r="DG39" s="88">
        <v>77</v>
      </c>
      <c r="DH39" s="88">
        <v>85.2</v>
      </c>
      <c r="DI39" s="88">
        <v>77</v>
      </c>
      <c r="DJ39" s="88">
        <v>81.2</v>
      </c>
      <c r="DK39" s="88">
        <v>14.2</v>
      </c>
      <c r="DL39" s="88">
        <v>13.2</v>
      </c>
      <c r="DM39" s="88">
        <v>20.6</v>
      </c>
      <c r="DN39" s="88">
        <v>22.953736654804271</v>
      </c>
      <c r="DO39" s="88">
        <v>30.4</v>
      </c>
      <c r="DP39" s="88">
        <v>33.700000000000003</v>
      </c>
      <c r="DQ39" s="88">
        <v>39.4</v>
      </c>
      <c r="DR39" s="88">
        <v>44.5</v>
      </c>
      <c r="DS39" s="88">
        <v>30.3886925795053</v>
      </c>
      <c r="DT39" s="88">
        <v>31.165833012697192</v>
      </c>
      <c r="DU39" s="88">
        <v>24.09090909090909</v>
      </c>
      <c r="DV39" s="88">
        <v>27.390677558865931</v>
      </c>
      <c r="DW39" s="54">
        <v>85</v>
      </c>
      <c r="DX39" s="54">
        <v>0</v>
      </c>
      <c r="DY39" s="51">
        <v>2</v>
      </c>
      <c r="DZ39" s="53">
        <v>0</v>
      </c>
      <c r="EA39" s="53">
        <v>1</v>
      </c>
      <c r="EB39" s="53">
        <v>2</v>
      </c>
      <c r="EC39" s="53">
        <v>10</v>
      </c>
      <c r="ED39" s="51">
        <v>3</v>
      </c>
      <c r="EE39" s="53">
        <v>1</v>
      </c>
      <c r="EF39" s="53">
        <v>806</v>
      </c>
      <c r="EG39" s="53">
        <v>820</v>
      </c>
      <c r="EH39" s="53">
        <v>779</v>
      </c>
      <c r="EI39" s="53">
        <v>777</v>
      </c>
      <c r="EJ39" s="92">
        <v>141</v>
      </c>
      <c r="EK39" s="92">
        <v>0</v>
      </c>
      <c r="EL39" s="92">
        <v>3</v>
      </c>
      <c r="EM39" s="92">
        <v>0</v>
      </c>
      <c r="EN39" s="92">
        <v>2</v>
      </c>
      <c r="EO39" s="88">
        <v>1009.7087378640776</v>
      </c>
      <c r="EP39" s="88">
        <v>1125.1217738505234</v>
      </c>
      <c r="EQ39" s="88">
        <v>1130.5420506494449</v>
      </c>
      <c r="ER39" s="88">
        <v>1192.7489934408256</v>
      </c>
      <c r="ES39" s="88">
        <v>908.3</v>
      </c>
      <c r="ET39" s="88">
        <v>852.1</v>
      </c>
      <c r="EU39" s="88">
        <v>749.9</v>
      </c>
      <c r="EV39" s="88">
        <v>740.7</v>
      </c>
      <c r="EW39" s="88">
        <v>1115.953584169866</v>
      </c>
      <c r="EX39" s="88">
        <v>998.44164301296382</v>
      </c>
      <c r="EY39" s="88">
        <v>934.91450759583404</v>
      </c>
      <c r="EZ39" s="88">
        <v>900.22718938957587</v>
      </c>
      <c r="FA39" s="88">
        <v>736.13756546382797</v>
      </c>
      <c r="FB39" s="88">
        <v>729.2639636506633</v>
      </c>
      <c r="FC39" s="88">
        <v>607.31889768111455</v>
      </c>
      <c r="FD39" s="88">
        <v>614.98395101012147</v>
      </c>
      <c r="FE39" s="51">
        <v>171</v>
      </c>
      <c r="FF39" s="54">
        <v>191</v>
      </c>
      <c r="FG39" s="54">
        <v>221</v>
      </c>
      <c r="FH39" s="54">
        <v>191</v>
      </c>
      <c r="FI39" s="88">
        <v>187.48259999999999</v>
      </c>
      <c r="FJ39" s="88">
        <v>197.911</v>
      </c>
      <c r="FK39" s="88">
        <v>216.41980000000001</v>
      </c>
      <c r="FL39" s="88">
        <v>178.8244</v>
      </c>
      <c r="FM39" s="54">
        <v>271</v>
      </c>
      <c r="FN39" s="54">
        <v>243</v>
      </c>
      <c r="FO39" s="51">
        <v>194</v>
      </c>
      <c r="FP39" s="54">
        <v>151</v>
      </c>
      <c r="FQ39" s="88">
        <v>304.36630000000002</v>
      </c>
      <c r="FR39" s="88">
        <v>246.4846</v>
      </c>
      <c r="FS39" s="88">
        <v>181.80520000000001</v>
      </c>
      <c r="FT39" s="88">
        <v>137.34209999999999</v>
      </c>
      <c r="FU39" s="53">
        <v>70</v>
      </c>
      <c r="FV39" s="53">
        <v>74</v>
      </c>
      <c r="FW39" s="53">
        <v>53</v>
      </c>
      <c r="FX39" s="53">
        <v>49</v>
      </c>
      <c r="FY39" s="88">
        <v>79.480959999999996</v>
      </c>
      <c r="FZ39" s="88">
        <v>74.976179999999999</v>
      </c>
      <c r="GA39" s="88">
        <v>46.091439999999999</v>
      </c>
      <c r="GB39" s="88">
        <v>44.906120000000001</v>
      </c>
      <c r="GC39" s="55">
        <v>37</v>
      </c>
      <c r="GD39" s="56">
        <v>32</v>
      </c>
      <c r="GE39" s="55">
        <v>36</v>
      </c>
      <c r="GF39" s="55">
        <v>44</v>
      </c>
      <c r="GG39" s="91">
        <v>45.601140000000001</v>
      </c>
      <c r="GH39" s="91">
        <v>39.175240000000002</v>
      </c>
      <c r="GI39" s="91">
        <v>42.736899999999999</v>
      </c>
      <c r="GJ39" s="91">
        <v>53.783839999999998</v>
      </c>
      <c r="GK39" s="55"/>
      <c r="GL39" s="55"/>
      <c r="GM39" s="55"/>
      <c r="GN39" s="56"/>
      <c r="GO39" s="55"/>
      <c r="GP39" s="55"/>
      <c r="GQ39" s="55"/>
      <c r="GR39" s="55"/>
      <c r="GS39" s="56"/>
      <c r="GT39" s="55"/>
      <c r="GU39" s="55"/>
      <c r="GV39" s="55"/>
      <c r="GW39" s="55"/>
      <c r="GX39" s="56"/>
      <c r="GY39" s="56"/>
      <c r="GZ39" s="56"/>
      <c r="HA39" s="56"/>
      <c r="HB39" s="56"/>
      <c r="HC39" s="56"/>
      <c r="HD39" s="57"/>
      <c r="HE39" s="57"/>
      <c r="HF39" s="57"/>
      <c r="HG39" s="57"/>
      <c r="HH39" s="57"/>
      <c r="HI39" s="58"/>
      <c r="HJ39" s="58"/>
      <c r="HK39" s="55"/>
      <c r="HL39" s="56"/>
      <c r="HM39" s="56"/>
      <c r="HN39" s="56"/>
      <c r="HO39" s="56"/>
      <c r="HP39" s="56"/>
      <c r="HQ39" s="56"/>
      <c r="HR39" s="56"/>
      <c r="HS39" s="56"/>
      <c r="HT39" s="56"/>
      <c r="HU39" s="38"/>
    </row>
    <row r="40" spans="1:229" ht="21" customHeight="1" x14ac:dyDescent="0.2">
      <c r="A40" s="36">
        <v>37</v>
      </c>
      <c r="B40" s="70" t="s">
        <v>93</v>
      </c>
      <c r="C40" s="77">
        <v>7165</v>
      </c>
      <c r="D40" s="77">
        <v>7110</v>
      </c>
      <c r="E40" s="77">
        <v>7259</v>
      </c>
      <c r="F40" s="77">
        <v>7193</v>
      </c>
      <c r="G40" s="150">
        <v>7109</v>
      </c>
      <c r="H40" s="41">
        <v>6960</v>
      </c>
      <c r="I40" s="41">
        <v>20</v>
      </c>
      <c r="J40" s="41">
        <v>18</v>
      </c>
      <c r="K40" s="41">
        <v>50</v>
      </c>
      <c r="L40" s="41">
        <v>145</v>
      </c>
      <c r="M40" s="42">
        <v>3176</v>
      </c>
      <c r="N40" s="43">
        <v>3162</v>
      </c>
      <c r="O40" s="43">
        <v>3155</v>
      </c>
      <c r="P40" s="44">
        <v>3145</v>
      </c>
      <c r="Q40" s="44">
        <v>3117</v>
      </c>
      <c r="R40" s="87">
        <v>36.453868711933225</v>
      </c>
      <c r="S40" s="87">
        <v>37.316561844863735</v>
      </c>
      <c r="T40" s="87">
        <v>40.158213122382506</v>
      </c>
      <c r="U40" s="87">
        <v>39.236676751221779</v>
      </c>
      <c r="V40" s="87">
        <v>41.148325358851672</v>
      </c>
      <c r="W40" s="87">
        <v>25.174825174825173</v>
      </c>
      <c r="X40" s="87">
        <v>28.30188679245283</v>
      </c>
      <c r="Y40" s="87">
        <v>28.734295020939971</v>
      </c>
      <c r="Z40" s="87">
        <v>28.159180823830578</v>
      </c>
      <c r="AA40" s="42">
        <v>28.923444976076556</v>
      </c>
      <c r="AB40" s="87">
        <v>61.628693886758406</v>
      </c>
      <c r="AC40" s="87">
        <v>65.618448637316561</v>
      </c>
      <c r="AD40" s="87">
        <v>68.892508143322473</v>
      </c>
      <c r="AE40" s="87">
        <v>67.395857575052361</v>
      </c>
      <c r="AF40" s="87">
        <v>70.071770334928232</v>
      </c>
      <c r="AG40" s="44">
        <v>4.7711310244611287</v>
      </c>
      <c r="AH40" s="44">
        <v>6.3550541100621691</v>
      </c>
      <c r="AI40" s="44">
        <v>5.8784530386740332</v>
      </c>
      <c r="AJ40" s="43">
        <v>5.1953721894782801</v>
      </c>
      <c r="AK40" s="43">
        <v>4.4941176470588236</v>
      </c>
      <c r="AL40" s="47">
        <v>93.166666666666671</v>
      </c>
      <c r="AM40" s="47">
        <v>137.33333333333334</v>
      </c>
      <c r="AN40" s="47">
        <v>93.166666666666671</v>
      </c>
      <c r="AO40" s="47">
        <v>221.66666666666666</v>
      </c>
      <c r="AP40" s="47">
        <v>222.16666666666666</v>
      </c>
      <c r="AQ40" s="47">
        <v>41020.94671749643</v>
      </c>
      <c r="AR40" s="47">
        <v>44541.784143273297</v>
      </c>
      <c r="AS40" s="47">
        <v>50475.950438461812</v>
      </c>
      <c r="AT40" s="47">
        <v>51396.982026670725</v>
      </c>
      <c r="AU40" s="47">
        <v>58103.39006892671</v>
      </c>
      <c r="AV40" s="84">
        <v>46211.447458695395</v>
      </c>
      <c r="AW40" s="85">
        <v>47925.168176862069</v>
      </c>
      <c r="AX40" s="85">
        <v>47225.775735838521</v>
      </c>
      <c r="AY40" s="85">
        <v>50697.551734163964</v>
      </c>
      <c r="AZ40" s="85">
        <v>50963</v>
      </c>
      <c r="BA40" s="83">
        <v>8.8933659519355306</v>
      </c>
      <c r="BB40" s="83">
        <v>8.8388969521044984</v>
      </c>
      <c r="BC40" s="83">
        <v>9.8008755825448386</v>
      </c>
      <c r="BD40" s="83">
        <v>10.405117270788912</v>
      </c>
      <c r="BE40" s="83">
        <v>9.2909535452322736</v>
      </c>
      <c r="BF40" s="83">
        <v>11.142857142857142</v>
      </c>
      <c r="BG40" s="46">
        <v>12.104909213180902</v>
      </c>
      <c r="BH40" s="46">
        <v>14.627659574468085</v>
      </c>
      <c r="BI40" s="46">
        <v>14.604462474645031</v>
      </c>
      <c r="BJ40" s="46">
        <v>14.218645204560698</v>
      </c>
      <c r="BK40" s="42">
        <v>1363</v>
      </c>
      <c r="BL40" s="42">
        <v>1337</v>
      </c>
      <c r="BM40" s="40">
        <v>1308</v>
      </c>
      <c r="BN40" s="40">
        <v>1312</v>
      </c>
      <c r="BO40" s="43">
        <v>38.738077769625825</v>
      </c>
      <c r="BP40" s="43">
        <v>39.715781600598355</v>
      </c>
      <c r="BQ40" s="44">
        <v>40.978593272171253</v>
      </c>
      <c r="BR40" s="44">
        <v>41.387195121951223</v>
      </c>
      <c r="BS40" s="87">
        <v>2.5678650036683788</v>
      </c>
      <c r="BT40" s="87">
        <v>1.9446522064323111</v>
      </c>
      <c r="BU40" s="87">
        <v>1.9877675840978593</v>
      </c>
      <c r="BV40" s="87">
        <v>1.9817073170731707</v>
      </c>
      <c r="BW40" s="43">
        <v>15.920763022743948</v>
      </c>
      <c r="BX40" s="43">
        <v>16.454749439042633</v>
      </c>
      <c r="BY40" s="43">
        <v>17.813455657492355</v>
      </c>
      <c r="BZ40" s="43">
        <v>16.996951219512194</v>
      </c>
      <c r="CA40" s="42">
        <v>98.165137614678898</v>
      </c>
      <c r="CB40" s="42">
        <v>93.07692307692308</v>
      </c>
      <c r="CC40" s="42">
        <v>89.11</v>
      </c>
      <c r="CD40" s="44">
        <v>93.4</v>
      </c>
      <c r="CE40" s="43">
        <v>0</v>
      </c>
      <c r="CF40" s="43">
        <v>0.76923076923076927</v>
      </c>
      <c r="CG40" s="43">
        <v>0.99</v>
      </c>
      <c r="CH40" s="44">
        <v>0.94</v>
      </c>
      <c r="CI40" s="49">
        <v>437</v>
      </c>
      <c r="CJ40" s="49">
        <v>349</v>
      </c>
      <c r="CK40" s="51">
        <v>347</v>
      </c>
      <c r="CL40" s="51">
        <v>344</v>
      </c>
      <c r="CM40" s="88">
        <v>10.4</v>
      </c>
      <c r="CN40" s="88">
        <v>8.8000000000000007</v>
      </c>
      <c r="CO40" s="88">
        <v>9.1</v>
      </c>
      <c r="CP40" s="88">
        <v>9.6</v>
      </c>
      <c r="CQ40" s="53">
        <v>13</v>
      </c>
      <c r="CR40" s="53">
        <v>7</v>
      </c>
      <c r="CS40" s="53">
        <v>16</v>
      </c>
      <c r="CT40" s="53">
        <v>10</v>
      </c>
      <c r="CU40" s="88">
        <v>3.1</v>
      </c>
      <c r="CV40" s="88">
        <v>2</v>
      </c>
      <c r="CW40" s="88">
        <v>4.8</v>
      </c>
      <c r="CX40" s="88">
        <v>3</v>
      </c>
      <c r="CY40" s="51">
        <v>28</v>
      </c>
      <c r="CZ40" s="53">
        <v>17</v>
      </c>
      <c r="DA40" s="53">
        <v>25</v>
      </c>
      <c r="DB40" s="53">
        <v>17</v>
      </c>
      <c r="DC40" s="88">
        <v>7.3</v>
      </c>
      <c r="DD40" s="88">
        <v>5.0999999999999996</v>
      </c>
      <c r="DE40" s="88">
        <v>8.1999999999999993</v>
      </c>
      <c r="DF40" s="88">
        <v>5.7</v>
      </c>
      <c r="DG40" s="88">
        <v>85.3</v>
      </c>
      <c r="DH40" s="88">
        <v>88.9</v>
      </c>
      <c r="DI40" s="88">
        <v>86.9</v>
      </c>
      <c r="DJ40" s="88">
        <v>89</v>
      </c>
      <c r="DK40" s="88">
        <v>13</v>
      </c>
      <c r="DL40" s="88">
        <v>12.9</v>
      </c>
      <c r="DM40" s="88">
        <v>13.4</v>
      </c>
      <c r="DN40" s="88">
        <v>18.475073313782993</v>
      </c>
      <c r="DO40" s="88">
        <v>12.8</v>
      </c>
      <c r="DP40" s="88">
        <v>18.899999999999999</v>
      </c>
      <c r="DQ40" s="88">
        <v>26.9</v>
      </c>
      <c r="DR40" s="88">
        <v>31.4</v>
      </c>
      <c r="DS40" s="88">
        <v>20.360219263899765</v>
      </c>
      <c r="DT40" s="88">
        <v>18.960674157303369</v>
      </c>
      <c r="DU40" s="88">
        <v>17.940717628705148</v>
      </c>
      <c r="DV40" s="88" t="s">
        <v>39</v>
      </c>
      <c r="DW40" s="54">
        <v>64</v>
      </c>
      <c r="DX40" s="54">
        <v>1</v>
      </c>
      <c r="DY40" s="51">
        <v>0</v>
      </c>
      <c r="DZ40" s="53">
        <v>0</v>
      </c>
      <c r="EA40" s="53">
        <v>1</v>
      </c>
      <c r="EB40" s="53">
        <v>2</v>
      </c>
      <c r="EC40" s="53">
        <v>1</v>
      </c>
      <c r="ED40" s="51">
        <v>4</v>
      </c>
      <c r="EE40" s="53">
        <v>2</v>
      </c>
      <c r="EF40" s="53">
        <v>595</v>
      </c>
      <c r="EG40" s="53">
        <v>599</v>
      </c>
      <c r="EH40" s="53">
        <v>485</v>
      </c>
      <c r="EI40" s="53">
        <v>498</v>
      </c>
      <c r="EJ40" s="92">
        <v>94</v>
      </c>
      <c r="EK40" s="92">
        <v>1</v>
      </c>
      <c r="EL40" s="92">
        <v>0</v>
      </c>
      <c r="EM40" s="92">
        <v>0</v>
      </c>
      <c r="EN40" s="92">
        <v>0</v>
      </c>
      <c r="EO40" s="88">
        <v>1421.2009745378111</v>
      </c>
      <c r="EP40" s="88">
        <v>1505.479038906203</v>
      </c>
      <c r="EQ40" s="88">
        <v>1278.0310416611769</v>
      </c>
      <c r="ER40" s="88">
        <v>1402.861419570439</v>
      </c>
      <c r="ES40" s="88">
        <v>780.1</v>
      </c>
      <c r="ET40" s="88">
        <v>754.4</v>
      </c>
      <c r="EU40" s="88">
        <v>638.20000000000005</v>
      </c>
      <c r="EV40" s="88">
        <v>677.8</v>
      </c>
      <c r="EW40" s="88">
        <v>998.2369063061717</v>
      </c>
      <c r="EX40" s="88">
        <v>883.71696930397206</v>
      </c>
      <c r="EY40" s="88">
        <v>790.0455781497177</v>
      </c>
      <c r="EZ40" s="88">
        <v>827.59934541718098</v>
      </c>
      <c r="FA40" s="88">
        <v>584.59235622899098</v>
      </c>
      <c r="FB40" s="88">
        <v>635.74549273540322</v>
      </c>
      <c r="FC40" s="88">
        <v>504.25404579443739</v>
      </c>
      <c r="FD40" s="88">
        <v>546.74737340917295</v>
      </c>
      <c r="FE40" s="51">
        <v>144</v>
      </c>
      <c r="FF40" s="54">
        <v>135</v>
      </c>
      <c r="FG40" s="54">
        <v>115</v>
      </c>
      <c r="FH40" s="54">
        <v>98</v>
      </c>
      <c r="FI40" s="88">
        <v>201.42230000000001</v>
      </c>
      <c r="FJ40" s="88">
        <v>195.89330000000001</v>
      </c>
      <c r="FK40" s="88">
        <v>164.68950000000001</v>
      </c>
      <c r="FL40" s="88">
        <v>144.7122</v>
      </c>
      <c r="FM40" s="54">
        <v>198</v>
      </c>
      <c r="FN40" s="54">
        <v>164</v>
      </c>
      <c r="FO40" s="51">
        <v>145</v>
      </c>
      <c r="FP40" s="54">
        <v>153</v>
      </c>
      <c r="FQ40" s="88">
        <v>248.6284</v>
      </c>
      <c r="FR40" s="88">
        <v>189.7953</v>
      </c>
      <c r="FS40" s="88">
        <v>170.0172</v>
      </c>
      <c r="FT40" s="88">
        <v>191.64330000000001</v>
      </c>
      <c r="FU40" s="53">
        <v>52</v>
      </c>
      <c r="FV40" s="53">
        <v>33</v>
      </c>
      <c r="FW40" s="53">
        <v>17</v>
      </c>
      <c r="FX40" s="53">
        <v>22</v>
      </c>
      <c r="FY40" s="88">
        <v>60.42427</v>
      </c>
      <c r="FZ40" s="88">
        <v>37.25638</v>
      </c>
      <c r="GA40" s="88">
        <v>24.434059999999999</v>
      </c>
      <c r="GB40" s="88">
        <v>27.472840000000001</v>
      </c>
      <c r="GC40" s="55">
        <v>28</v>
      </c>
      <c r="GD40" s="56">
        <v>25</v>
      </c>
      <c r="GE40" s="55">
        <v>32</v>
      </c>
      <c r="GF40" s="55">
        <v>32</v>
      </c>
      <c r="GG40" s="91">
        <v>59.347810000000003</v>
      </c>
      <c r="GH40" s="91">
        <v>51.187730000000002</v>
      </c>
      <c r="GI40" s="91">
        <v>54.913460000000001</v>
      </c>
      <c r="GJ40" s="91">
        <v>62.412939999999999</v>
      </c>
      <c r="GK40" s="55"/>
      <c r="GL40" s="55"/>
      <c r="GM40" s="55"/>
      <c r="GN40" s="56"/>
      <c r="GO40" s="55"/>
      <c r="GP40" s="55"/>
      <c r="GQ40" s="55"/>
      <c r="GR40" s="55"/>
      <c r="GS40" s="56"/>
      <c r="GT40" s="55"/>
      <c r="GU40" s="55"/>
      <c r="GV40" s="55"/>
      <c r="GW40" s="55"/>
      <c r="GX40" s="56"/>
      <c r="GY40" s="56"/>
      <c r="GZ40" s="56"/>
      <c r="HA40" s="56"/>
      <c r="HB40" s="56"/>
      <c r="HC40" s="56"/>
      <c r="HD40" s="57"/>
      <c r="HE40" s="57"/>
      <c r="HF40" s="57"/>
      <c r="HG40" s="57"/>
      <c r="HH40" s="57"/>
      <c r="HI40" s="58"/>
      <c r="HJ40" s="58"/>
      <c r="HK40" s="55"/>
      <c r="HL40" s="56"/>
      <c r="HM40" s="56"/>
      <c r="HN40" s="56"/>
      <c r="HO40" s="56"/>
      <c r="HP40" s="56"/>
      <c r="HQ40" s="56"/>
      <c r="HR40" s="56"/>
      <c r="HS40" s="56"/>
      <c r="HT40" s="56"/>
      <c r="HU40" s="38"/>
    </row>
    <row r="41" spans="1:229" x14ac:dyDescent="0.2">
      <c r="A41" s="36">
        <v>38</v>
      </c>
      <c r="B41" s="70" t="s">
        <v>94</v>
      </c>
      <c r="C41" s="77">
        <v>10609</v>
      </c>
      <c r="D41" s="77">
        <v>10610</v>
      </c>
      <c r="E41" s="77">
        <v>10866</v>
      </c>
      <c r="F41" s="77">
        <v>10824</v>
      </c>
      <c r="G41" s="150">
        <v>10818</v>
      </c>
      <c r="H41" s="41">
        <v>10541</v>
      </c>
      <c r="I41" s="41">
        <v>39</v>
      </c>
      <c r="J41" s="41">
        <v>57</v>
      </c>
      <c r="K41" s="41">
        <v>36</v>
      </c>
      <c r="L41" s="41">
        <v>104</v>
      </c>
      <c r="M41" s="42">
        <v>4808</v>
      </c>
      <c r="N41" s="43">
        <v>4782</v>
      </c>
      <c r="O41" s="43">
        <v>4825</v>
      </c>
      <c r="P41" s="44">
        <v>4831</v>
      </c>
      <c r="Q41" s="44">
        <v>4836</v>
      </c>
      <c r="R41" s="87">
        <v>32.141810723703486</v>
      </c>
      <c r="S41" s="87">
        <v>32.849391406364568</v>
      </c>
      <c r="T41" s="87">
        <v>35.970370370370368</v>
      </c>
      <c r="U41" s="87">
        <v>36.804415933164258</v>
      </c>
      <c r="V41" s="87">
        <v>38.503483792790064</v>
      </c>
      <c r="W41" s="87">
        <v>23.278640492235571</v>
      </c>
      <c r="X41" s="87">
        <v>22.745270567531897</v>
      </c>
      <c r="Y41" s="87">
        <v>25.007407407407406</v>
      </c>
      <c r="Z41" s="87">
        <v>24.675518424586006</v>
      </c>
      <c r="AA41" s="42">
        <v>25.355952741593455</v>
      </c>
      <c r="AB41" s="87">
        <v>55.420451215939053</v>
      </c>
      <c r="AC41" s="87">
        <v>55.594661973896464</v>
      </c>
      <c r="AD41" s="87">
        <v>60.977777777777774</v>
      </c>
      <c r="AE41" s="87">
        <v>61.47993435775026</v>
      </c>
      <c r="AF41" s="87">
        <v>63.859436534383519</v>
      </c>
      <c r="AG41" s="44">
        <v>5.2317132246084288</v>
      </c>
      <c r="AH41" s="44">
        <v>9.4096831269100853</v>
      </c>
      <c r="AI41" s="44">
        <v>7.6103977450673348</v>
      </c>
      <c r="AJ41" s="43">
        <v>6.3655980271270041</v>
      </c>
      <c r="AK41" s="43">
        <v>5.6559308719560093</v>
      </c>
      <c r="AL41" s="47">
        <v>195.83333333333334</v>
      </c>
      <c r="AM41" s="47">
        <v>265.91666666666669</v>
      </c>
      <c r="AN41" s="47">
        <v>195.83333333333334</v>
      </c>
      <c r="AO41" s="47">
        <v>350.58333333333331</v>
      </c>
      <c r="AP41" s="47">
        <v>361.66666666666669</v>
      </c>
      <c r="AQ41" s="47">
        <v>33810.712544913462</v>
      </c>
      <c r="AR41" s="47">
        <v>32069.382030113942</v>
      </c>
      <c r="AS41" s="47">
        <v>32656.059613745903</v>
      </c>
      <c r="AT41" s="47">
        <v>34033.257310751418</v>
      </c>
      <c r="AU41" s="47">
        <v>34300.780266800903</v>
      </c>
      <c r="AV41" s="84">
        <v>52996.804333731248</v>
      </c>
      <c r="AW41" s="85">
        <v>52116.025185941427</v>
      </c>
      <c r="AX41" s="85">
        <v>50012.86724508593</v>
      </c>
      <c r="AY41" s="85">
        <v>49690.133099945728</v>
      </c>
      <c r="AZ41" s="85">
        <v>49369</v>
      </c>
      <c r="BA41" s="83">
        <v>9.7231600270087775</v>
      </c>
      <c r="BB41" s="83">
        <v>11.443458124276342</v>
      </c>
      <c r="BC41" s="83">
        <v>11.157953906689151</v>
      </c>
      <c r="BD41" s="83">
        <v>10.489707679293167</v>
      </c>
      <c r="BE41" s="83">
        <v>11.348251222264009</v>
      </c>
      <c r="BF41" s="83">
        <v>13.978494623655914</v>
      </c>
      <c r="BG41" s="46">
        <v>16.004130098089831</v>
      </c>
      <c r="BH41" s="46">
        <v>15.828402366863905</v>
      </c>
      <c r="BI41" s="46">
        <v>16.983016983016984</v>
      </c>
      <c r="BJ41" s="46">
        <v>16.616465863453815</v>
      </c>
      <c r="BK41" s="42">
        <v>1421</v>
      </c>
      <c r="BL41" s="42">
        <v>1389</v>
      </c>
      <c r="BM41" s="40">
        <v>1406</v>
      </c>
      <c r="BN41" s="40">
        <v>1400</v>
      </c>
      <c r="BO41" s="43">
        <v>34.975369458128078</v>
      </c>
      <c r="BP41" s="43">
        <v>32.829373650107989</v>
      </c>
      <c r="BQ41" s="44">
        <v>34.210526315789473</v>
      </c>
      <c r="BR41" s="44">
        <v>33.5</v>
      </c>
      <c r="BS41" s="87">
        <v>0</v>
      </c>
      <c r="BT41" s="87">
        <v>0</v>
      </c>
      <c r="BU41" s="87">
        <v>0</v>
      </c>
      <c r="BV41" s="87">
        <v>0</v>
      </c>
      <c r="BW41" s="43">
        <v>17.311752287121745</v>
      </c>
      <c r="BX41" s="43">
        <v>18.286537077033838</v>
      </c>
      <c r="BY41" s="43">
        <v>18.776671408250355</v>
      </c>
      <c r="BZ41" s="43">
        <v>17.714285714285715</v>
      </c>
      <c r="CA41" s="42">
        <v>82.758620689655174</v>
      </c>
      <c r="CB41" s="42">
        <v>88.495575221238937</v>
      </c>
      <c r="CC41" s="42">
        <v>85.53</v>
      </c>
      <c r="CD41" s="44">
        <v>84.35</v>
      </c>
      <c r="CE41" s="43">
        <v>7.5862068965517242</v>
      </c>
      <c r="CF41" s="43">
        <v>3.5398230088495577</v>
      </c>
      <c r="CG41" s="43">
        <v>9.8699999999999992</v>
      </c>
      <c r="CH41" s="44">
        <v>6.09</v>
      </c>
      <c r="CI41" s="49">
        <v>488</v>
      </c>
      <c r="CJ41" s="49">
        <v>514</v>
      </c>
      <c r="CK41" s="51">
        <v>501</v>
      </c>
      <c r="CL41" s="51">
        <v>577</v>
      </c>
      <c r="CM41" s="88">
        <v>9.1999999999999993</v>
      </c>
      <c r="CN41" s="88">
        <v>9.4</v>
      </c>
      <c r="CO41" s="88">
        <v>9.1</v>
      </c>
      <c r="CP41" s="88">
        <v>10.7</v>
      </c>
      <c r="CQ41" s="53">
        <v>15</v>
      </c>
      <c r="CR41" s="53">
        <v>22</v>
      </c>
      <c r="CS41" s="53">
        <v>21</v>
      </c>
      <c r="CT41" s="53">
        <v>33</v>
      </c>
      <c r="CU41" s="88">
        <v>3.1</v>
      </c>
      <c r="CV41" s="88">
        <v>4.4000000000000004</v>
      </c>
      <c r="CW41" s="88">
        <v>4.4000000000000004</v>
      </c>
      <c r="CX41" s="88">
        <v>6</v>
      </c>
      <c r="CY41" s="51">
        <v>26</v>
      </c>
      <c r="CZ41" s="53">
        <v>37</v>
      </c>
      <c r="DA41" s="53">
        <v>44</v>
      </c>
      <c r="DB41" s="53">
        <v>56</v>
      </c>
      <c r="DC41" s="88">
        <v>6</v>
      </c>
      <c r="DD41" s="88">
        <v>7.8</v>
      </c>
      <c r="DE41" s="88">
        <v>9.6</v>
      </c>
      <c r="DF41" s="88">
        <v>10.6</v>
      </c>
      <c r="DG41" s="88">
        <v>86</v>
      </c>
      <c r="DH41" s="88">
        <v>83.6</v>
      </c>
      <c r="DI41" s="88">
        <v>86.7</v>
      </c>
      <c r="DJ41" s="88">
        <v>84.1</v>
      </c>
      <c r="DK41" s="88">
        <v>20.8</v>
      </c>
      <c r="DL41" s="88">
        <v>20.399999999999999</v>
      </c>
      <c r="DM41" s="88">
        <v>19.8</v>
      </c>
      <c r="DN41" s="88">
        <v>12.834224598930481</v>
      </c>
      <c r="DO41" s="88">
        <v>23.8</v>
      </c>
      <c r="DP41" s="88">
        <v>26.1</v>
      </c>
      <c r="DQ41" s="88">
        <v>29.9</v>
      </c>
      <c r="DR41" s="88">
        <v>28.9</v>
      </c>
      <c r="DS41" s="88">
        <v>29.502151198524892</v>
      </c>
      <c r="DT41" s="88">
        <v>23.648648648648649</v>
      </c>
      <c r="DU41" s="88">
        <v>26.512968299711815</v>
      </c>
      <c r="DV41" s="88">
        <v>36.193029490616624</v>
      </c>
      <c r="DW41" s="54">
        <v>101</v>
      </c>
      <c r="DX41" s="54">
        <v>0</v>
      </c>
      <c r="DY41" s="51">
        <v>0</v>
      </c>
      <c r="DZ41" s="53">
        <v>1</v>
      </c>
      <c r="EA41" s="53">
        <v>1</v>
      </c>
      <c r="EB41" s="53">
        <v>2</v>
      </c>
      <c r="EC41" s="53">
        <v>5</v>
      </c>
      <c r="ED41" s="51">
        <v>5</v>
      </c>
      <c r="EE41" s="53">
        <v>3</v>
      </c>
      <c r="EF41" s="53">
        <v>623</v>
      </c>
      <c r="EG41" s="53">
        <v>647</v>
      </c>
      <c r="EH41" s="53">
        <v>737</v>
      </c>
      <c r="EI41" s="53">
        <v>663</v>
      </c>
      <c r="EJ41" s="92">
        <v>132</v>
      </c>
      <c r="EK41" s="92">
        <v>0</v>
      </c>
      <c r="EL41" s="92">
        <v>0</v>
      </c>
      <c r="EM41" s="92">
        <v>0</v>
      </c>
      <c r="EN41" s="92">
        <v>0</v>
      </c>
      <c r="EO41" s="88">
        <v>1172.8604239617455</v>
      </c>
      <c r="EP41" s="88">
        <v>1185.6983158319131</v>
      </c>
      <c r="EQ41" s="88">
        <v>1334.153979833819</v>
      </c>
      <c r="ER41" s="88">
        <v>1237.5026218275887</v>
      </c>
      <c r="ES41" s="88">
        <v>921.6</v>
      </c>
      <c r="ET41" s="88">
        <v>813.6</v>
      </c>
      <c r="EU41" s="88">
        <v>851</v>
      </c>
      <c r="EV41" s="88">
        <v>717.2</v>
      </c>
      <c r="EW41" s="88">
        <v>1142.7719464596521</v>
      </c>
      <c r="EX41" s="88">
        <v>1041.3166081135048</v>
      </c>
      <c r="EY41" s="88">
        <v>1059.4396553706863</v>
      </c>
      <c r="EZ41" s="88">
        <v>917.09905422512998</v>
      </c>
      <c r="FA41" s="88">
        <v>752.20192421957802</v>
      </c>
      <c r="FB41" s="88">
        <v>627.158949395327</v>
      </c>
      <c r="FC41" s="88">
        <v>688.92776033735822</v>
      </c>
      <c r="FD41" s="88">
        <v>529.80008414909639</v>
      </c>
      <c r="FE41" s="51">
        <v>177</v>
      </c>
      <c r="FF41" s="54">
        <v>148</v>
      </c>
      <c r="FG41" s="54">
        <v>151</v>
      </c>
      <c r="FH41" s="54">
        <v>153</v>
      </c>
      <c r="FI41" s="88">
        <v>248.80170000000001</v>
      </c>
      <c r="FJ41" s="88">
        <v>183.5565</v>
      </c>
      <c r="FK41" s="88">
        <v>174.90170000000001</v>
      </c>
      <c r="FL41" s="88">
        <v>164.99850000000001</v>
      </c>
      <c r="FM41" s="54">
        <v>169</v>
      </c>
      <c r="FN41" s="54">
        <v>149</v>
      </c>
      <c r="FO41" s="51">
        <v>155</v>
      </c>
      <c r="FP41" s="54">
        <v>121</v>
      </c>
      <c r="FQ41" s="88">
        <v>248.5899</v>
      </c>
      <c r="FR41" s="88">
        <v>183.3527</v>
      </c>
      <c r="FS41" s="88">
        <v>177.52199999999999</v>
      </c>
      <c r="FT41" s="88">
        <v>129.733</v>
      </c>
      <c r="FU41" s="53">
        <v>51</v>
      </c>
      <c r="FV41" s="53">
        <v>56</v>
      </c>
      <c r="FW41" s="53">
        <v>50</v>
      </c>
      <c r="FX41" s="53">
        <v>31</v>
      </c>
      <c r="FY41" s="88">
        <v>77.900840000000002</v>
      </c>
      <c r="FZ41" s="88">
        <v>67.613100000000003</v>
      </c>
      <c r="GA41" s="88">
        <v>54.187040000000003</v>
      </c>
      <c r="GB41" s="88">
        <v>29.692959999999999</v>
      </c>
      <c r="GC41" s="55">
        <v>14</v>
      </c>
      <c r="GD41" s="56">
        <v>20</v>
      </c>
      <c r="GE41" s="55">
        <v>29</v>
      </c>
      <c r="GF41" s="55">
        <v>28</v>
      </c>
      <c r="GG41" s="91">
        <v>23.762519999999999</v>
      </c>
      <c r="GH41" s="91">
        <v>31.254180000000002</v>
      </c>
      <c r="GI41" s="91">
        <v>47.06335</v>
      </c>
      <c r="GJ41" s="91">
        <v>35.330060000000003</v>
      </c>
      <c r="GK41" s="55"/>
      <c r="GL41" s="55"/>
      <c r="GM41" s="55"/>
      <c r="GN41" s="56"/>
      <c r="GO41" s="55"/>
      <c r="GP41" s="55"/>
      <c r="GQ41" s="55"/>
      <c r="GR41" s="55"/>
      <c r="GS41" s="56"/>
      <c r="GT41" s="55"/>
      <c r="GU41" s="55"/>
      <c r="GV41" s="55"/>
      <c r="GW41" s="55"/>
      <c r="GX41" s="56"/>
      <c r="GY41" s="56"/>
      <c r="GZ41" s="56"/>
      <c r="HA41" s="56"/>
      <c r="HB41" s="56"/>
      <c r="HC41" s="56"/>
      <c r="HD41" s="57"/>
      <c r="HE41" s="57"/>
      <c r="HF41" s="57"/>
      <c r="HG41" s="57"/>
      <c r="HH41" s="57"/>
      <c r="HI41" s="58"/>
      <c r="HJ41" s="58"/>
      <c r="HK41" s="55"/>
      <c r="HL41" s="56"/>
      <c r="HM41" s="56"/>
      <c r="HN41" s="56"/>
      <c r="HO41" s="56"/>
      <c r="HP41" s="56"/>
      <c r="HQ41" s="56"/>
      <c r="HR41" s="56"/>
      <c r="HS41" s="56"/>
      <c r="HT41" s="56"/>
      <c r="HU41" s="38"/>
    </row>
    <row r="42" spans="1:229" x14ac:dyDescent="0.2">
      <c r="A42" s="36">
        <v>39</v>
      </c>
      <c r="B42" s="70" t="s">
        <v>95</v>
      </c>
      <c r="C42" s="77">
        <v>3985</v>
      </c>
      <c r="D42" s="77">
        <v>3880</v>
      </c>
      <c r="E42" s="77">
        <v>4045</v>
      </c>
      <c r="F42" s="77">
        <v>4007</v>
      </c>
      <c r="G42" s="150">
        <v>3973</v>
      </c>
      <c r="H42" s="41">
        <v>3820</v>
      </c>
      <c r="I42" s="41">
        <v>13</v>
      </c>
      <c r="J42" s="41">
        <v>28</v>
      </c>
      <c r="K42" s="41">
        <v>31</v>
      </c>
      <c r="L42" s="41">
        <v>49</v>
      </c>
      <c r="M42" s="42">
        <v>1888</v>
      </c>
      <c r="N42" s="43">
        <v>1851</v>
      </c>
      <c r="O42" s="43">
        <v>1784</v>
      </c>
      <c r="P42" s="44">
        <v>1777</v>
      </c>
      <c r="Q42" s="44">
        <v>1768</v>
      </c>
      <c r="R42" s="87">
        <v>33.359344518142798</v>
      </c>
      <c r="S42" s="87">
        <v>34.869494290375201</v>
      </c>
      <c r="T42" s="87">
        <v>31.760154738878143</v>
      </c>
      <c r="U42" s="87">
        <v>31.444099378881987</v>
      </c>
      <c r="V42" s="87">
        <v>32.899921197793539</v>
      </c>
      <c r="W42" s="87">
        <v>22.122512680452594</v>
      </c>
      <c r="X42" s="87">
        <v>23.368678629690049</v>
      </c>
      <c r="Y42" s="87">
        <v>24.719535783365572</v>
      </c>
      <c r="Z42" s="87">
        <v>24.107142857142858</v>
      </c>
      <c r="AA42" s="42">
        <v>23.640661938534279</v>
      </c>
      <c r="AB42" s="87">
        <v>55.481857198595399</v>
      </c>
      <c r="AC42" s="87">
        <v>58.238172920065253</v>
      </c>
      <c r="AD42" s="87">
        <v>56.479690522243715</v>
      </c>
      <c r="AE42" s="87">
        <v>55.551242236024848</v>
      </c>
      <c r="AF42" s="87">
        <v>56.540583136327818</v>
      </c>
      <c r="AG42" s="44">
        <v>5.9622972380534849</v>
      </c>
      <c r="AH42" s="44">
        <v>7.8543220710838089</v>
      </c>
      <c r="AI42" s="44">
        <v>6.3867016622922135</v>
      </c>
      <c r="AJ42" s="43">
        <v>6.3596491228070171</v>
      </c>
      <c r="AK42" s="43">
        <v>6.0554371002132195</v>
      </c>
      <c r="AL42" s="47">
        <v>69.833333333333329</v>
      </c>
      <c r="AM42" s="47">
        <v>107.25</v>
      </c>
      <c r="AN42" s="47">
        <v>69.833333333333329</v>
      </c>
      <c r="AO42" s="47">
        <v>153</v>
      </c>
      <c r="AP42" s="47">
        <v>154.41666666666666</v>
      </c>
      <c r="AQ42" s="47">
        <v>40530.271005325863</v>
      </c>
      <c r="AR42" s="47">
        <v>40031.653700587463</v>
      </c>
      <c r="AS42" s="47">
        <v>41683.958161704286</v>
      </c>
      <c r="AT42" s="47">
        <v>43441.946973844519</v>
      </c>
      <c r="AU42" s="47">
        <v>44190.515806988355</v>
      </c>
      <c r="AV42" s="84">
        <v>43118.954147740813</v>
      </c>
      <c r="AW42" s="85">
        <v>42933.810390767547</v>
      </c>
      <c r="AX42" s="85">
        <v>41475.75430327333</v>
      </c>
      <c r="AY42" s="85">
        <v>40599.889577810347</v>
      </c>
      <c r="AZ42" s="85">
        <v>41084</v>
      </c>
      <c r="BA42" s="83">
        <v>12.102720569539791</v>
      </c>
      <c r="BB42" s="83">
        <v>11.680167232819441</v>
      </c>
      <c r="BC42" s="83">
        <v>11.670020120724345</v>
      </c>
      <c r="BD42" s="83">
        <v>12.756784174486432</v>
      </c>
      <c r="BE42" s="83">
        <v>10.96906162106878</v>
      </c>
      <c r="BF42" s="83">
        <v>18.013245033112582</v>
      </c>
      <c r="BG42" s="46">
        <v>16.599190283400809</v>
      </c>
      <c r="BH42" s="46">
        <v>19.101123595505619</v>
      </c>
      <c r="BI42" s="46">
        <v>18.146718146718147</v>
      </c>
      <c r="BJ42" s="46">
        <v>17.997293640054128</v>
      </c>
      <c r="BK42" s="42">
        <v>551</v>
      </c>
      <c r="BL42" s="42">
        <v>523</v>
      </c>
      <c r="BM42" s="40">
        <v>504</v>
      </c>
      <c r="BN42" s="40">
        <v>484</v>
      </c>
      <c r="BO42" s="43">
        <v>48.820326678765881</v>
      </c>
      <c r="BP42" s="43">
        <v>48.948374760994263</v>
      </c>
      <c r="BQ42" s="44">
        <v>50.992063492063494</v>
      </c>
      <c r="BR42" s="44">
        <v>55.785123966942152</v>
      </c>
      <c r="BS42" s="87">
        <v>0</v>
      </c>
      <c r="BT42" s="87">
        <v>0</v>
      </c>
      <c r="BU42" s="87">
        <v>0</v>
      </c>
      <c r="BV42" s="87">
        <v>0</v>
      </c>
      <c r="BW42" s="43">
        <v>15.789473684210526</v>
      </c>
      <c r="BX42" s="43">
        <v>16.061185468451242</v>
      </c>
      <c r="BY42" s="43">
        <v>13.69047619047619</v>
      </c>
      <c r="BZ42" s="43">
        <v>13.636363636363637</v>
      </c>
      <c r="CA42" s="42">
        <v>98.181818181818187</v>
      </c>
      <c r="CB42" s="42">
        <v>85.714285714285708</v>
      </c>
      <c r="CC42" s="42">
        <v>90.91</v>
      </c>
      <c r="CD42" s="44">
        <v>85.37</v>
      </c>
      <c r="CE42" s="43">
        <v>0</v>
      </c>
      <c r="CF42" s="43">
        <v>0</v>
      </c>
      <c r="CG42" s="43">
        <v>3.64</v>
      </c>
      <c r="CH42" s="44">
        <v>12.2</v>
      </c>
      <c r="CI42" s="49">
        <v>222</v>
      </c>
      <c r="CJ42" s="49">
        <v>182</v>
      </c>
      <c r="CK42" s="51">
        <v>219</v>
      </c>
      <c r="CL42" s="51">
        <v>167</v>
      </c>
      <c r="CM42" s="88">
        <v>10</v>
      </c>
      <c r="CN42" s="88">
        <v>8.1</v>
      </c>
      <c r="CO42" s="88">
        <v>10.1</v>
      </c>
      <c r="CP42" s="88">
        <v>8.4</v>
      </c>
      <c r="CQ42" s="53">
        <v>5</v>
      </c>
      <c r="CR42" s="53">
        <v>7</v>
      </c>
      <c r="CS42" s="53">
        <v>13</v>
      </c>
      <c r="CT42" s="53">
        <v>3</v>
      </c>
      <c r="CU42" s="88">
        <v>2.2999999999999998</v>
      </c>
      <c r="CV42" s="88">
        <v>4.0999999999999996</v>
      </c>
      <c r="CW42" s="88">
        <v>5.9</v>
      </c>
      <c r="CX42" s="88">
        <v>1.9</v>
      </c>
      <c r="CY42" s="51">
        <v>12</v>
      </c>
      <c r="CZ42" s="53">
        <v>10</v>
      </c>
      <c r="DA42" s="53">
        <v>17</v>
      </c>
      <c r="DB42" s="53">
        <v>8</v>
      </c>
      <c r="DC42" s="88">
        <v>5.8</v>
      </c>
      <c r="DD42" s="88">
        <v>6.3</v>
      </c>
      <c r="DE42" s="88">
        <v>9.1</v>
      </c>
      <c r="DF42" s="88">
        <v>5.3</v>
      </c>
      <c r="DG42" s="88">
        <v>86.6</v>
      </c>
      <c r="DH42" s="88">
        <v>82.7</v>
      </c>
      <c r="DI42" s="88">
        <v>78</v>
      </c>
      <c r="DJ42" s="88">
        <v>74.7</v>
      </c>
      <c r="DK42" s="88">
        <v>10.6</v>
      </c>
      <c r="DL42" s="88">
        <v>8.1999999999999993</v>
      </c>
      <c r="DM42" s="88">
        <v>14.7</v>
      </c>
      <c r="DN42" s="88">
        <v>17.365269461077844</v>
      </c>
      <c r="DO42" s="88">
        <v>23.9</v>
      </c>
      <c r="DP42" s="88">
        <v>29.1</v>
      </c>
      <c r="DQ42" s="88">
        <v>30.6</v>
      </c>
      <c r="DR42" s="88">
        <v>31.1</v>
      </c>
      <c r="DS42" s="88">
        <v>32.305433186490454</v>
      </c>
      <c r="DT42" s="88">
        <v>27.811366384522369</v>
      </c>
      <c r="DU42" s="88" t="s">
        <v>39</v>
      </c>
      <c r="DV42" s="88" t="s">
        <v>39</v>
      </c>
      <c r="DW42" s="54">
        <v>28</v>
      </c>
      <c r="DX42" s="54">
        <v>0</v>
      </c>
      <c r="DY42" s="51">
        <v>0</v>
      </c>
      <c r="DZ42" s="53">
        <v>1</v>
      </c>
      <c r="EA42" s="53">
        <v>0</v>
      </c>
      <c r="EB42" s="53">
        <v>0</v>
      </c>
      <c r="EC42" s="53">
        <v>1</v>
      </c>
      <c r="ED42" s="51">
        <v>2</v>
      </c>
      <c r="EE42" s="53">
        <v>2</v>
      </c>
      <c r="EF42" s="53">
        <v>208</v>
      </c>
      <c r="EG42" s="53">
        <v>221</v>
      </c>
      <c r="EH42" s="53">
        <v>235</v>
      </c>
      <c r="EI42" s="53">
        <v>225</v>
      </c>
      <c r="EJ42" s="92">
        <v>42</v>
      </c>
      <c r="EK42" s="92">
        <v>0</v>
      </c>
      <c r="EL42" s="92">
        <v>0</v>
      </c>
      <c r="EM42" s="92">
        <v>0</v>
      </c>
      <c r="EN42" s="92">
        <v>0</v>
      </c>
      <c r="EO42" s="88">
        <v>933.65652212945508</v>
      </c>
      <c r="EP42" s="88">
        <v>980.00088687863069</v>
      </c>
      <c r="EQ42" s="88">
        <v>1086.4037723637373</v>
      </c>
      <c r="ER42" s="88">
        <v>1149.7141421122071</v>
      </c>
      <c r="ES42" s="88">
        <v>771.4</v>
      </c>
      <c r="ET42" s="88">
        <v>753.1</v>
      </c>
      <c r="EU42" s="88">
        <v>713.5</v>
      </c>
      <c r="EV42" s="88">
        <v>685.4</v>
      </c>
      <c r="EW42" s="88">
        <v>954.77210466498809</v>
      </c>
      <c r="EX42" s="88">
        <v>825.16892833732265</v>
      </c>
      <c r="EY42" s="88">
        <v>854.17143035026038</v>
      </c>
      <c r="EZ42" s="88">
        <v>837.02032292194372</v>
      </c>
      <c r="FA42" s="88">
        <v>632.43265127292534</v>
      </c>
      <c r="FB42" s="88">
        <v>676.97696404005899</v>
      </c>
      <c r="FC42" s="88">
        <v>582.22481744300899</v>
      </c>
      <c r="FD42" s="88">
        <v>564.19666548340047</v>
      </c>
      <c r="FE42" s="51">
        <v>53</v>
      </c>
      <c r="FF42" s="54">
        <v>57</v>
      </c>
      <c r="FG42" s="54">
        <v>63</v>
      </c>
      <c r="FH42" s="54">
        <v>47</v>
      </c>
      <c r="FI42" s="88">
        <v>193.89169999999999</v>
      </c>
      <c r="FJ42" s="88">
        <v>193.52269999999999</v>
      </c>
      <c r="FK42" s="88">
        <v>194.1979</v>
      </c>
      <c r="FL42" s="88">
        <v>140.68950000000001</v>
      </c>
      <c r="FM42" s="54">
        <v>60</v>
      </c>
      <c r="FN42" s="54">
        <v>52</v>
      </c>
      <c r="FO42" s="51">
        <v>69</v>
      </c>
      <c r="FP42" s="54">
        <v>53</v>
      </c>
      <c r="FQ42" s="88">
        <v>218.81809999999999</v>
      </c>
      <c r="FR42" s="88">
        <v>172.0008</v>
      </c>
      <c r="FS42" s="88">
        <v>194.39660000000001</v>
      </c>
      <c r="FT42" s="88">
        <v>154.44110000000001</v>
      </c>
      <c r="FU42" s="53">
        <v>18</v>
      </c>
      <c r="FV42" s="53">
        <v>28</v>
      </c>
      <c r="FW42" s="53">
        <v>16</v>
      </c>
      <c r="FX42" s="53">
        <v>13</v>
      </c>
      <c r="FY42" s="88">
        <v>66.046419999999998</v>
      </c>
      <c r="FZ42" s="88">
        <v>89.815740000000005</v>
      </c>
      <c r="GA42" s="88">
        <v>47.645780000000002</v>
      </c>
      <c r="GB42" s="88">
        <v>39.619250000000001</v>
      </c>
      <c r="GC42" s="55">
        <v>15</v>
      </c>
      <c r="GD42" s="56">
        <v>13</v>
      </c>
      <c r="GE42" s="55">
        <v>14</v>
      </c>
      <c r="GF42" s="55">
        <v>15</v>
      </c>
      <c r="GG42" s="91">
        <v>67.536100000000005</v>
      </c>
      <c r="GH42" s="91">
        <v>61.306460000000001</v>
      </c>
      <c r="GI42" s="91">
        <v>54.804630000000003</v>
      </c>
      <c r="GJ42" s="91">
        <v>63.890250000000002</v>
      </c>
      <c r="GK42" s="55"/>
      <c r="GL42" s="55"/>
      <c r="GM42" s="55"/>
      <c r="GN42" s="56"/>
      <c r="GO42" s="55"/>
      <c r="GP42" s="55"/>
      <c r="GQ42" s="55"/>
      <c r="GR42" s="55"/>
      <c r="GS42" s="56"/>
      <c r="GT42" s="55"/>
      <c r="GU42" s="55"/>
      <c r="GV42" s="55"/>
      <c r="GW42" s="55"/>
      <c r="GX42" s="56"/>
      <c r="GY42" s="56"/>
      <c r="GZ42" s="56"/>
      <c r="HA42" s="56"/>
      <c r="HB42" s="56"/>
      <c r="HC42" s="56"/>
      <c r="HD42" s="57"/>
      <c r="HE42" s="57"/>
      <c r="HF42" s="57"/>
      <c r="HG42" s="57"/>
      <c r="HH42" s="57"/>
      <c r="HI42" s="58"/>
      <c r="HJ42" s="58"/>
      <c r="HK42" s="55"/>
      <c r="HL42" s="56"/>
      <c r="HM42" s="56"/>
      <c r="HN42" s="56"/>
      <c r="HO42" s="56"/>
      <c r="HP42" s="56"/>
      <c r="HQ42" s="56"/>
      <c r="HR42" s="56"/>
      <c r="HS42" s="56"/>
      <c r="HT42" s="56"/>
      <c r="HU42" s="38"/>
    </row>
    <row r="43" spans="1:229" x14ac:dyDescent="0.2">
      <c r="A43" s="36">
        <v>40</v>
      </c>
      <c r="B43" s="70" t="s">
        <v>96</v>
      </c>
      <c r="C43" s="77">
        <v>28042</v>
      </c>
      <c r="D43" s="77">
        <v>28059</v>
      </c>
      <c r="E43" s="77">
        <v>27703</v>
      </c>
      <c r="F43" s="77">
        <v>27656</v>
      </c>
      <c r="G43" s="150">
        <v>27677</v>
      </c>
      <c r="H43" s="41">
        <v>26997</v>
      </c>
      <c r="I43" s="41">
        <v>135</v>
      </c>
      <c r="J43" s="41">
        <v>103</v>
      </c>
      <c r="K43" s="41">
        <v>181</v>
      </c>
      <c r="L43" s="41">
        <v>1510</v>
      </c>
      <c r="M43" s="42">
        <v>11034</v>
      </c>
      <c r="N43" s="43">
        <v>11055</v>
      </c>
      <c r="O43" s="43">
        <v>10758</v>
      </c>
      <c r="P43" s="44">
        <v>10772</v>
      </c>
      <c r="Q43" s="44">
        <v>10791</v>
      </c>
      <c r="R43" s="87">
        <v>21.305326331582897</v>
      </c>
      <c r="S43" s="87">
        <v>22.24950884086444</v>
      </c>
      <c r="T43" s="87">
        <v>22.238380222607528</v>
      </c>
      <c r="U43" s="87">
        <v>22.153486039123891</v>
      </c>
      <c r="V43" s="87">
        <v>24.080965268380695</v>
      </c>
      <c r="W43" s="87">
        <v>28.957239309827457</v>
      </c>
      <c r="X43" s="87">
        <v>30.877537655533725</v>
      </c>
      <c r="Y43" s="87">
        <v>32.708764472285921</v>
      </c>
      <c r="Z43" s="87">
        <v>31.979044752828401</v>
      </c>
      <c r="AA43" s="42">
        <v>31.968876860622462</v>
      </c>
      <c r="AB43" s="87">
        <v>50.262565641410355</v>
      </c>
      <c r="AC43" s="87">
        <v>53.127046496398165</v>
      </c>
      <c r="AD43" s="87">
        <v>54.947144694893453</v>
      </c>
      <c r="AE43" s="87">
        <v>54.132530791952291</v>
      </c>
      <c r="AF43" s="87">
        <v>56.04984212900316</v>
      </c>
      <c r="AG43" s="44">
        <v>7.2910163024627126</v>
      </c>
      <c r="AH43" s="44">
        <v>11.002208724461623</v>
      </c>
      <c r="AI43" s="44">
        <v>9.6698762035763419</v>
      </c>
      <c r="AJ43" s="43">
        <v>8.4511876973774545</v>
      </c>
      <c r="AK43" s="43">
        <v>7.0550250738476334</v>
      </c>
      <c r="AL43" s="47">
        <v>409.25</v>
      </c>
      <c r="AM43" s="47">
        <v>504.33333333333331</v>
      </c>
      <c r="AN43" s="47">
        <v>409.25</v>
      </c>
      <c r="AO43" s="47">
        <v>777</v>
      </c>
      <c r="AP43" s="47">
        <v>813.08333333333337</v>
      </c>
      <c r="AQ43" s="47">
        <v>37612.86814919857</v>
      </c>
      <c r="AR43" s="47">
        <v>36895.056745936825</v>
      </c>
      <c r="AS43" s="47">
        <v>37549.178551706158</v>
      </c>
      <c r="AT43" s="47">
        <v>39672.260310607686</v>
      </c>
      <c r="AU43" s="47">
        <v>41430.393467500093</v>
      </c>
      <c r="AV43" s="84">
        <v>60522.226849388644</v>
      </c>
      <c r="AW43" s="85">
        <v>56947.924929555651</v>
      </c>
      <c r="AX43" s="85">
        <v>58906.921638215063</v>
      </c>
      <c r="AY43" s="85">
        <v>55594.810707800338</v>
      </c>
      <c r="AZ43" s="85">
        <v>58326</v>
      </c>
      <c r="BA43" s="83">
        <v>7.689810640216411</v>
      </c>
      <c r="BB43" s="83">
        <v>8.3904480196234044</v>
      </c>
      <c r="BC43" s="83">
        <v>9.1701305330708092</v>
      </c>
      <c r="BD43" s="83">
        <v>8.992293363526791</v>
      </c>
      <c r="BE43" s="83">
        <v>8.0372126960963151</v>
      </c>
      <c r="BF43" s="83">
        <v>9.8192401960784306</v>
      </c>
      <c r="BG43" s="46">
        <v>10.730560047038072</v>
      </c>
      <c r="BH43" s="46">
        <v>11.684392066685829</v>
      </c>
      <c r="BI43" s="46">
        <v>11.195445920303605</v>
      </c>
      <c r="BJ43" s="46">
        <v>10.483752389354507</v>
      </c>
      <c r="BK43" s="42">
        <v>4364</v>
      </c>
      <c r="BL43" s="42">
        <v>4314</v>
      </c>
      <c r="BM43" s="40">
        <v>4333</v>
      </c>
      <c r="BN43" s="40">
        <v>4297</v>
      </c>
      <c r="BO43" s="43">
        <v>32.057745187901006</v>
      </c>
      <c r="BP43" s="43">
        <v>32.985628187297173</v>
      </c>
      <c r="BQ43" s="44">
        <v>35.541195476575119</v>
      </c>
      <c r="BR43" s="44">
        <v>35.117523853851523</v>
      </c>
      <c r="BS43" s="87">
        <v>5.3391384051329052</v>
      </c>
      <c r="BT43" s="87">
        <v>4.6824292999536397</v>
      </c>
      <c r="BU43" s="87">
        <v>5.1465497345949691</v>
      </c>
      <c r="BV43" s="87">
        <v>5.026762857807773</v>
      </c>
      <c r="BW43" s="43">
        <v>15.284142988084326</v>
      </c>
      <c r="BX43" s="43">
        <v>15.136764024107556</v>
      </c>
      <c r="BY43" s="43">
        <v>15.231940918532194</v>
      </c>
      <c r="BZ43" s="43">
        <v>15.452641377705376</v>
      </c>
      <c r="CA43" s="42">
        <v>76.811594202898547</v>
      </c>
      <c r="CB43" s="42">
        <v>84.514435695538054</v>
      </c>
      <c r="CC43" s="42">
        <v>85.63</v>
      </c>
      <c r="CD43" s="44">
        <v>82.82</v>
      </c>
      <c r="CE43" s="43">
        <v>5.5072463768115938</v>
      </c>
      <c r="CF43" s="43">
        <v>3.4120734908136483</v>
      </c>
      <c r="CG43" s="43">
        <v>3.74</v>
      </c>
      <c r="CH43" s="44">
        <v>5.07</v>
      </c>
      <c r="CI43" s="49">
        <v>1608</v>
      </c>
      <c r="CJ43" s="49">
        <v>1562</v>
      </c>
      <c r="CK43" s="54">
        <v>1802</v>
      </c>
      <c r="CL43" s="54">
        <v>1669</v>
      </c>
      <c r="CM43" s="88">
        <v>13.2</v>
      </c>
      <c r="CN43" s="88">
        <v>12.2</v>
      </c>
      <c r="CO43" s="88">
        <v>13.1</v>
      </c>
      <c r="CP43" s="88">
        <v>12</v>
      </c>
      <c r="CQ43" s="53">
        <v>63</v>
      </c>
      <c r="CR43" s="53">
        <v>58</v>
      </c>
      <c r="CS43" s="53">
        <v>83</v>
      </c>
      <c r="CT43" s="53">
        <v>69</v>
      </c>
      <c r="CU43" s="88">
        <v>4.0999999999999996</v>
      </c>
      <c r="CV43" s="88">
        <v>3.8</v>
      </c>
      <c r="CW43" s="88">
        <v>4.7</v>
      </c>
      <c r="CX43" s="88">
        <v>4.2</v>
      </c>
      <c r="CY43" s="51">
        <v>108</v>
      </c>
      <c r="CZ43" s="53">
        <v>97</v>
      </c>
      <c r="DA43" s="53">
        <v>149</v>
      </c>
      <c r="DB43" s="53">
        <v>106</v>
      </c>
      <c r="DC43" s="88">
        <v>7.8</v>
      </c>
      <c r="DD43" s="88">
        <v>7</v>
      </c>
      <c r="DE43" s="88">
        <v>9.1</v>
      </c>
      <c r="DF43" s="88">
        <v>6.7</v>
      </c>
      <c r="DG43" s="88">
        <v>82.4</v>
      </c>
      <c r="DH43" s="88">
        <v>82.8</v>
      </c>
      <c r="DI43" s="88">
        <v>87.2</v>
      </c>
      <c r="DJ43" s="88">
        <v>88.3</v>
      </c>
      <c r="DK43" s="88">
        <v>13.4</v>
      </c>
      <c r="DL43" s="88">
        <v>14</v>
      </c>
      <c r="DM43" s="88">
        <v>10.3</v>
      </c>
      <c r="DN43" s="88">
        <v>10.990990990990991</v>
      </c>
      <c r="DO43" s="88">
        <v>22</v>
      </c>
      <c r="DP43" s="88">
        <v>25.9</v>
      </c>
      <c r="DQ43" s="88">
        <v>29.2</v>
      </c>
      <c r="DR43" s="88">
        <v>31</v>
      </c>
      <c r="DS43" s="88">
        <v>31.428571428571427</v>
      </c>
      <c r="DT43" s="88">
        <v>28.781383955909369</v>
      </c>
      <c r="DU43" s="88">
        <v>24.527543224768799</v>
      </c>
      <c r="DV43" s="88">
        <v>21.230502599653381</v>
      </c>
      <c r="DW43" s="54">
        <v>262</v>
      </c>
      <c r="DX43" s="54">
        <v>1</v>
      </c>
      <c r="DY43" s="51">
        <v>0</v>
      </c>
      <c r="DZ43" s="53">
        <v>1</v>
      </c>
      <c r="EA43" s="53">
        <v>26</v>
      </c>
      <c r="EB43" s="53">
        <v>9</v>
      </c>
      <c r="EC43" s="53">
        <v>4</v>
      </c>
      <c r="ED43" s="51">
        <v>5</v>
      </c>
      <c r="EE43" s="53">
        <v>4</v>
      </c>
      <c r="EF43" s="53">
        <v>1049</v>
      </c>
      <c r="EG43" s="53">
        <v>1134</v>
      </c>
      <c r="EH43" s="53">
        <v>989</v>
      </c>
      <c r="EI43" s="53">
        <v>1019</v>
      </c>
      <c r="EJ43" s="92">
        <v>210</v>
      </c>
      <c r="EK43" s="92">
        <v>1</v>
      </c>
      <c r="EL43" s="92">
        <v>1</v>
      </c>
      <c r="EM43" s="92">
        <v>0</v>
      </c>
      <c r="EN43" s="92">
        <v>1</v>
      </c>
      <c r="EO43" s="88">
        <v>859.54720135036587</v>
      </c>
      <c r="EP43" s="88">
        <v>886.15903975994001</v>
      </c>
      <c r="EQ43" s="88">
        <v>720.06873052392461</v>
      </c>
      <c r="ER43" s="88">
        <v>723.12937376637353</v>
      </c>
      <c r="ES43" s="88">
        <v>725.3</v>
      </c>
      <c r="ET43" s="88">
        <v>746.8</v>
      </c>
      <c r="EU43" s="88">
        <v>602.29999999999995</v>
      </c>
      <c r="EV43" s="88">
        <v>612.9</v>
      </c>
      <c r="EW43" s="88">
        <v>901.54139802186671</v>
      </c>
      <c r="EX43" s="88">
        <v>944.39787772857733</v>
      </c>
      <c r="EY43" s="88">
        <v>758.29498710066287</v>
      </c>
      <c r="EZ43" s="88">
        <v>774.76794287030236</v>
      </c>
      <c r="FA43" s="88">
        <v>590.35611794101737</v>
      </c>
      <c r="FB43" s="88">
        <v>585.42508277866636</v>
      </c>
      <c r="FC43" s="88">
        <v>483.44084943298333</v>
      </c>
      <c r="FD43" s="88">
        <v>484.5900238858693</v>
      </c>
      <c r="FE43" s="51">
        <v>260</v>
      </c>
      <c r="FF43" s="54">
        <v>281</v>
      </c>
      <c r="FG43" s="54">
        <v>249</v>
      </c>
      <c r="FH43" s="54">
        <v>276</v>
      </c>
      <c r="FI43" s="88">
        <v>185.1403</v>
      </c>
      <c r="FJ43" s="88">
        <v>192.50049999999999</v>
      </c>
      <c r="FK43" s="88">
        <v>160.43770000000001</v>
      </c>
      <c r="FL43" s="88">
        <v>166.67359999999999</v>
      </c>
      <c r="FM43" s="54">
        <v>324</v>
      </c>
      <c r="FN43" s="54">
        <v>277</v>
      </c>
      <c r="FO43" s="51">
        <v>264</v>
      </c>
      <c r="FP43" s="54">
        <v>228</v>
      </c>
      <c r="FQ43" s="88">
        <v>219.16550000000001</v>
      </c>
      <c r="FR43" s="88">
        <v>177.70849999999999</v>
      </c>
      <c r="FS43" s="88">
        <v>154.86490000000001</v>
      </c>
      <c r="FT43" s="88">
        <v>135.9735</v>
      </c>
      <c r="FU43" s="53">
        <v>85</v>
      </c>
      <c r="FV43" s="53">
        <v>80</v>
      </c>
      <c r="FW43" s="53">
        <v>52</v>
      </c>
      <c r="FX43" s="53">
        <v>53</v>
      </c>
      <c r="FY43" s="88">
        <v>55.989179999999998</v>
      </c>
      <c r="FZ43" s="88">
        <v>49.366750000000003</v>
      </c>
      <c r="GA43" s="88">
        <v>29.508089999999999</v>
      </c>
      <c r="GB43" s="88">
        <v>30.686160000000001</v>
      </c>
      <c r="GC43" s="55">
        <v>54</v>
      </c>
      <c r="GD43" s="56">
        <v>60</v>
      </c>
      <c r="GE43" s="55">
        <v>52</v>
      </c>
      <c r="GF43" s="55">
        <v>38</v>
      </c>
      <c r="GG43" s="91">
        <v>40.954300000000003</v>
      </c>
      <c r="GH43" s="91">
        <v>43.19115</v>
      </c>
      <c r="GI43" s="91">
        <v>34.56091</v>
      </c>
      <c r="GJ43" s="91">
        <v>25.46847</v>
      </c>
      <c r="GK43" s="55"/>
      <c r="GL43" s="55"/>
      <c r="GM43" s="55"/>
      <c r="GN43" s="56"/>
      <c r="GO43" s="55"/>
      <c r="GP43" s="55"/>
      <c r="GQ43" s="55"/>
      <c r="GR43" s="55"/>
      <c r="GS43" s="56"/>
      <c r="GT43" s="55"/>
      <c r="GU43" s="55"/>
      <c r="GV43" s="55"/>
      <c r="GW43" s="55"/>
      <c r="GX43" s="56"/>
      <c r="GY43" s="56"/>
      <c r="GZ43" s="56"/>
      <c r="HA43" s="56"/>
      <c r="HB43" s="56"/>
      <c r="HC43" s="56"/>
      <c r="HD43" s="57"/>
      <c r="HE43" s="57"/>
      <c r="HF43" s="57"/>
      <c r="HG43" s="57"/>
      <c r="HH43" s="57"/>
      <c r="HI43" s="58"/>
      <c r="HJ43" s="58"/>
      <c r="HK43" s="55"/>
      <c r="HL43" s="56"/>
      <c r="HM43" s="56"/>
      <c r="HN43" s="56"/>
      <c r="HO43" s="56"/>
      <c r="HP43" s="56"/>
      <c r="HQ43" s="56"/>
      <c r="HR43" s="56"/>
      <c r="HS43" s="56"/>
      <c r="HT43" s="56"/>
      <c r="HU43" s="38"/>
    </row>
    <row r="44" spans="1:229" x14ac:dyDescent="0.2">
      <c r="A44" s="36">
        <v>41</v>
      </c>
      <c r="B44" s="70" t="s">
        <v>97</v>
      </c>
      <c r="C44" s="77">
        <v>5837</v>
      </c>
      <c r="D44" s="77">
        <v>5723</v>
      </c>
      <c r="E44" s="77">
        <v>5896</v>
      </c>
      <c r="F44" s="77">
        <v>5820</v>
      </c>
      <c r="G44" s="150">
        <v>5818</v>
      </c>
      <c r="H44" s="41">
        <v>5743</v>
      </c>
      <c r="I44" s="41">
        <v>7</v>
      </c>
      <c r="J44" s="41">
        <v>11</v>
      </c>
      <c r="K44" s="41">
        <v>23</v>
      </c>
      <c r="L44" s="41">
        <v>90</v>
      </c>
      <c r="M44" s="42">
        <v>2570</v>
      </c>
      <c r="N44" s="43">
        <v>2556</v>
      </c>
      <c r="O44" s="43">
        <v>2574</v>
      </c>
      <c r="P44" s="44">
        <v>2552</v>
      </c>
      <c r="Q44" s="44">
        <v>2553</v>
      </c>
      <c r="R44" s="87">
        <v>43.465405085748081</v>
      </c>
      <c r="S44" s="87">
        <v>43.8039457459926</v>
      </c>
      <c r="T44" s="87">
        <v>43.078758949880665</v>
      </c>
      <c r="U44" s="87">
        <v>43.275914173466305</v>
      </c>
      <c r="V44" s="87">
        <v>44.572468162522739</v>
      </c>
      <c r="W44" s="87">
        <v>29.124778237729153</v>
      </c>
      <c r="X44" s="87">
        <v>32.614056720098645</v>
      </c>
      <c r="Y44" s="87">
        <v>32.816229116945109</v>
      </c>
      <c r="Z44" s="87">
        <v>32.608038682381384</v>
      </c>
      <c r="AA44" s="42">
        <v>31.837477258944816</v>
      </c>
      <c r="AB44" s="87">
        <v>72.590183323477234</v>
      </c>
      <c r="AC44" s="87">
        <v>76.418002466091252</v>
      </c>
      <c r="AD44" s="87">
        <v>75.894988066825775</v>
      </c>
      <c r="AE44" s="87">
        <v>75.883952855847681</v>
      </c>
      <c r="AF44" s="87">
        <v>76.409945421467555</v>
      </c>
      <c r="AG44" s="44">
        <v>5.0122249388753053</v>
      </c>
      <c r="AH44" s="44">
        <v>6.0579196217494093</v>
      </c>
      <c r="AI44" s="44">
        <v>5.23943661971831</v>
      </c>
      <c r="AJ44" s="43">
        <v>5.0363738108561833</v>
      </c>
      <c r="AK44" s="43">
        <v>4.4395116537180908</v>
      </c>
      <c r="AL44" s="47">
        <v>82.25</v>
      </c>
      <c r="AM44" s="47">
        <v>84.25</v>
      </c>
      <c r="AN44" s="47">
        <v>82.25</v>
      </c>
      <c r="AO44" s="47">
        <v>125.41666666666667</v>
      </c>
      <c r="AP44" s="47">
        <v>150.75</v>
      </c>
      <c r="AQ44" s="47">
        <v>37486.824818995206</v>
      </c>
      <c r="AR44" s="47">
        <v>37885.970207253245</v>
      </c>
      <c r="AS44" s="47">
        <v>40749.61593090729</v>
      </c>
      <c r="AT44" s="47">
        <v>45011.414986663949</v>
      </c>
      <c r="AU44" s="47">
        <v>48750.77346167068</v>
      </c>
      <c r="AV44" s="84">
        <v>45854.21116242995</v>
      </c>
      <c r="AW44" s="85">
        <v>44159.175884995297</v>
      </c>
      <c r="AX44" s="85">
        <v>45652.706330921399</v>
      </c>
      <c r="AY44" s="85">
        <v>44906.17044687493</v>
      </c>
      <c r="AZ44" s="85">
        <v>43959</v>
      </c>
      <c r="BA44" s="83">
        <v>10.049539985845719</v>
      </c>
      <c r="BB44" s="83">
        <v>9.2157571376942542</v>
      </c>
      <c r="BC44" s="83">
        <v>9.9982671980592617</v>
      </c>
      <c r="BD44" s="83">
        <v>9.8104598104598111</v>
      </c>
      <c r="BE44" s="83">
        <v>10.336960336960336</v>
      </c>
      <c r="BF44" s="83">
        <v>13.090306545153272</v>
      </c>
      <c r="BG44" s="46">
        <v>12.678288431061807</v>
      </c>
      <c r="BH44" s="46">
        <v>14.47067783701447</v>
      </c>
      <c r="BI44" s="46">
        <v>12.714508580343214</v>
      </c>
      <c r="BJ44" s="46">
        <v>12.882953652788688</v>
      </c>
      <c r="BK44" s="42">
        <v>950</v>
      </c>
      <c r="BL44" s="42">
        <v>944</v>
      </c>
      <c r="BM44" s="40">
        <v>947</v>
      </c>
      <c r="BN44" s="40">
        <v>968</v>
      </c>
      <c r="BO44" s="43">
        <v>39.368421052631582</v>
      </c>
      <c r="BP44" s="43">
        <v>39.08898305084746</v>
      </c>
      <c r="BQ44" s="44">
        <v>38.542766631467792</v>
      </c>
      <c r="BR44" s="44">
        <v>38.739669421487605</v>
      </c>
      <c r="BS44" s="87">
        <v>0.73684210526315785</v>
      </c>
      <c r="BT44" s="87">
        <v>0</v>
      </c>
      <c r="BU44" s="87">
        <v>0.42238648363252373</v>
      </c>
      <c r="BV44" s="87">
        <v>0.20661157024793389</v>
      </c>
      <c r="BW44" s="43">
        <v>15.473684210526315</v>
      </c>
      <c r="BX44" s="43">
        <v>15.572033898305085</v>
      </c>
      <c r="BY44" s="43">
        <v>14.466737064413939</v>
      </c>
      <c r="BZ44" s="43">
        <v>14.462809917355372</v>
      </c>
      <c r="CA44" s="42">
        <v>73.19587628865979</v>
      </c>
      <c r="CB44" s="42">
        <v>81.17647058823529</v>
      </c>
      <c r="CC44" s="42">
        <v>82.05</v>
      </c>
      <c r="CD44" s="44">
        <v>85.25</v>
      </c>
      <c r="CE44" s="43">
        <v>0</v>
      </c>
      <c r="CF44" s="43">
        <v>4.7058823529411766</v>
      </c>
      <c r="CG44" s="43">
        <v>3.85</v>
      </c>
      <c r="CH44" s="44">
        <v>0</v>
      </c>
      <c r="CI44" s="49">
        <v>353</v>
      </c>
      <c r="CJ44" s="49">
        <v>314</v>
      </c>
      <c r="CK44" s="51">
        <v>366</v>
      </c>
      <c r="CL44" s="51">
        <v>326</v>
      </c>
      <c r="CM44" s="88">
        <v>10.5</v>
      </c>
      <c r="CN44" s="88">
        <v>9.9</v>
      </c>
      <c r="CO44" s="88">
        <v>12.1</v>
      </c>
      <c r="CP44" s="88">
        <v>11.2</v>
      </c>
      <c r="CQ44" s="53">
        <v>17</v>
      </c>
      <c r="CR44" s="53">
        <v>22</v>
      </c>
      <c r="CS44" s="53">
        <v>20</v>
      </c>
      <c r="CT44" s="53">
        <v>14</v>
      </c>
      <c r="CU44" s="88">
        <v>4.9000000000000004</v>
      </c>
      <c r="CV44" s="88">
        <v>7.2</v>
      </c>
      <c r="CW44" s="88">
        <v>5.6</v>
      </c>
      <c r="CX44" s="88">
        <v>4.5999999999999996</v>
      </c>
      <c r="CY44" s="51">
        <v>19</v>
      </c>
      <c r="CZ44" s="53">
        <v>30</v>
      </c>
      <c r="DA44" s="53">
        <v>32</v>
      </c>
      <c r="DB44" s="53">
        <v>31</v>
      </c>
      <c r="DC44" s="88">
        <v>5.9</v>
      </c>
      <c r="DD44" s="88">
        <v>10.9</v>
      </c>
      <c r="DE44" s="88">
        <v>9.6999999999999993</v>
      </c>
      <c r="DF44" s="88">
        <v>10.7</v>
      </c>
      <c r="DG44" s="88">
        <v>85.6</v>
      </c>
      <c r="DH44" s="88">
        <v>80.3</v>
      </c>
      <c r="DI44" s="88">
        <v>83.2</v>
      </c>
      <c r="DJ44" s="88">
        <v>85.8</v>
      </c>
      <c r="DK44" s="88">
        <v>17.8</v>
      </c>
      <c r="DL44" s="88">
        <v>15.1</v>
      </c>
      <c r="DM44" s="88">
        <v>14.2</v>
      </c>
      <c r="DN44" s="88">
        <v>14.110429447852761</v>
      </c>
      <c r="DO44" s="88">
        <v>17.600000000000001</v>
      </c>
      <c r="DP44" s="88">
        <v>15.3</v>
      </c>
      <c r="DQ44" s="88">
        <v>16.7</v>
      </c>
      <c r="DR44" s="88">
        <v>19.600000000000001</v>
      </c>
      <c r="DS44" s="88">
        <v>22.510822510822511</v>
      </c>
      <c r="DT44" s="88" t="s">
        <v>39</v>
      </c>
      <c r="DU44" s="88" t="s">
        <v>39</v>
      </c>
      <c r="DV44" s="88" t="s">
        <v>39</v>
      </c>
      <c r="DW44" s="54">
        <v>60</v>
      </c>
      <c r="DX44" s="54">
        <v>0</v>
      </c>
      <c r="DY44" s="51">
        <v>0</v>
      </c>
      <c r="DZ44" s="53">
        <v>1</v>
      </c>
      <c r="EA44" s="53">
        <v>1</v>
      </c>
      <c r="EB44" s="53">
        <v>1</v>
      </c>
      <c r="EC44" s="53">
        <v>1</v>
      </c>
      <c r="ED44" s="51">
        <v>1</v>
      </c>
      <c r="EE44" s="53">
        <v>0</v>
      </c>
      <c r="EF44" s="53">
        <v>548</v>
      </c>
      <c r="EG44" s="53">
        <v>501</v>
      </c>
      <c r="EH44" s="53">
        <v>474</v>
      </c>
      <c r="EI44" s="53">
        <v>430</v>
      </c>
      <c r="EJ44" s="92">
        <v>76</v>
      </c>
      <c r="EK44" s="92">
        <v>0</v>
      </c>
      <c r="EL44" s="92">
        <v>0</v>
      </c>
      <c r="EM44" s="92">
        <v>0</v>
      </c>
      <c r="EN44" s="92">
        <v>0</v>
      </c>
      <c r="EO44" s="88">
        <v>1627.6583105619579</v>
      </c>
      <c r="EP44" s="88">
        <v>1572.0112958895513</v>
      </c>
      <c r="EQ44" s="88">
        <v>1568.1344493333775</v>
      </c>
      <c r="ER44" s="88">
        <v>1520.8798762673998</v>
      </c>
      <c r="ES44" s="88">
        <v>842.3</v>
      </c>
      <c r="ET44" s="88">
        <v>750.2</v>
      </c>
      <c r="EU44" s="88">
        <v>741.2</v>
      </c>
      <c r="EV44" s="88">
        <v>667.4</v>
      </c>
      <c r="EW44" s="88">
        <v>1073.600706044869</v>
      </c>
      <c r="EX44" s="88">
        <v>922.07650910276084</v>
      </c>
      <c r="EY44" s="88">
        <v>970.94525338686185</v>
      </c>
      <c r="EZ44" s="88">
        <v>817.93926330923421</v>
      </c>
      <c r="FA44" s="88">
        <v>653.14436705755315</v>
      </c>
      <c r="FB44" s="88">
        <v>612.61409940128567</v>
      </c>
      <c r="FC44" s="88">
        <v>574.63984656915329</v>
      </c>
      <c r="FD44" s="88">
        <v>536.77329394204685</v>
      </c>
      <c r="FE44" s="51">
        <v>158</v>
      </c>
      <c r="FF44" s="54">
        <v>99</v>
      </c>
      <c r="FG44" s="54">
        <v>107</v>
      </c>
      <c r="FH44" s="54">
        <v>90</v>
      </c>
      <c r="FI44" s="88">
        <v>264.96370000000002</v>
      </c>
      <c r="FJ44" s="88">
        <v>168.44450000000001</v>
      </c>
      <c r="FK44" s="88">
        <v>185.93199999999999</v>
      </c>
      <c r="FL44" s="88">
        <v>150.9151</v>
      </c>
      <c r="FM44" s="54">
        <v>140</v>
      </c>
      <c r="FN44" s="54">
        <v>135</v>
      </c>
      <c r="FO44" s="51">
        <v>107</v>
      </c>
      <c r="FP44" s="54">
        <v>114</v>
      </c>
      <c r="FQ44" s="88">
        <v>198.70590000000001</v>
      </c>
      <c r="FR44" s="88">
        <v>196.0641</v>
      </c>
      <c r="FS44" s="88">
        <v>150.5231</v>
      </c>
      <c r="FT44" s="88">
        <v>168.36619999999999</v>
      </c>
      <c r="FU44" s="53">
        <v>57</v>
      </c>
      <c r="FV44" s="53">
        <v>64</v>
      </c>
      <c r="FW44" s="53">
        <v>45</v>
      </c>
      <c r="FX44" s="53">
        <v>30</v>
      </c>
      <c r="FY44" s="88">
        <v>71.394689999999997</v>
      </c>
      <c r="FZ44" s="88">
        <v>87.532669999999996</v>
      </c>
      <c r="GA44" s="88">
        <v>60.228810000000003</v>
      </c>
      <c r="GB44" s="88">
        <v>38.50723</v>
      </c>
      <c r="GC44" s="55">
        <v>22</v>
      </c>
      <c r="GD44" s="56">
        <v>22</v>
      </c>
      <c r="GE44" s="55">
        <v>32</v>
      </c>
      <c r="GF44" s="55">
        <v>14</v>
      </c>
      <c r="GG44" s="91">
        <v>57.664360000000002</v>
      </c>
      <c r="GH44" s="91">
        <v>51.226230000000001</v>
      </c>
      <c r="GI44" s="91">
        <v>71.771060000000006</v>
      </c>
      <c r="GJ44" s="91">
        <v>38.705069999999999</v>
      </c>
      <c r="GK44" s="55"/>
      <c r="GL44" s="55"/>
      <c r="GM44" s="55"/>
      <c r="GN44" s="56"/>
      <c r="GO44" s="55"/>
      <c r="GP44" s="55"/>
      <c r="GQ44" s="55"/>
      <c r="GR44" s="55"/>
      <c r="GS44" s="56"/>
      <c r="GT44" s="55"/>
      <c r="GU44" s="55"/>
      <c r="GV44" s="55"/>
      <c r="GW44" s="55"/>
      <c r="GX44" s="56"/>
      <c r="GY44" s="56"/>
      <c r="GZ44" s="56"/>
      <c r="HA44" s="56"/>
      <c r="HB44" s="56"/>
      <c r="HC44" s="56"/>
      <c r="HD44" s="57"/>
      <c r="HE44" s="57"/>
      <c r="HF44" s="57"/>
      <c r="HG44" s="57"/>
      <c r="HH44" s="57"/>
      <c r="HI44" s="58"/>
      <c r="HJ44" s="58"/>
      <c r="HK44" s="55"/>
      <c r="HL44" s="56"/>
      <c r="HM44" s="56"/>
      <c r="HN44" s="56"/>
      <c r="HO44" s="56"/>
      <c r="HP44" s="56"/>
      <c r="HQ44" s="56"/>
      <c r="HR44" s="56"/>
      <c r="HS44" s="56"/>
      <c r="HT44" s="56"/>
      <c r="HU44" s="38"/>
    </row>
    <row r="45" spans="1:229" ht="21" customHeight="1" x14ac:dyDescent="0.2">
      <c r="A45" s="36">
        <v>42</v>
      </c>
      <c r="B45" s="70" t="s">
        <v>98</v>
      </c>
      <c r="C45" s="77">
        <v>24844</v>
      </c>
      <c r="D45" s="77">
        <v>25074</v>
      </c>
      <c r="E45" s="77">
        <v>25857</v>
      </c>
      <c r="F45" s="77">
        <v>25891</v>
      </c>
      <c r="G45" s="150">
        <v>25543</v>
      </c>
      <c r="H45" s="41">
        <v>23713</v>
      </c>
      <c r="I45" s="41">
        <v>613</v>
      </c>
      <c r="J45" s="41">
        <v>169</v>
      </c>
      <c r="K45" s="41">
        <v>705</v>
      </c>
      <c r="L45" s="41">
        <v>1566</v>
      </c>
      <c r="M45" s="42">
        <v>9943</v>
      </c>
      <c r="N45" s="43">
        <v>10055</v>
      </c>
      <c r="O45" s="43">
        <v>10227</v>
      </c>
      <c r="P45" s="44">
        <v>10265</v>
      </c>
      <c r="Q45" s="44">
        <v>10236</v>
      </c>
      <c r="R45" s="87">
        <v>22.565320665083135</v>
      </c>
      <c r="S45" s="87">
        <v>22.135179449808707</v>
      </c>
      <c r="T45" s="87">
        <v>20.563314439315139</v>
      </c>
      <c r="U45" s="87">
        <v>20.806036499766027</v>
      </c>
      <c r="V45" s="87">
        <v>21.54491017964072</v>
      </c>
      <c r="W45" s="87">
        <v>28.747183141482427</v>
      </c>
      <c r="X45" s="87">
        <v>30.132993259245765</v>
      </c>
      <c r="Y45" s="87">
        <v>30.532343832174369</v>
      </c>
      <c r="Z45" s="87">
        <v>30.638745905474966</v>
      </c>
      <c r="AA45" s="42">
        <v>31.407185628742514</v>
      </c>
      <c r="AB45" s="87">
        <v>51.312503806565566</v>
      </c>
      <c r="AC45" s="87">
        <v>52.268172709054475</v>
      </c>
      <c r="AD45" s="87">
        <v>51.095658271489512</v>
      </c>
      <c r="AE45" s="87">
        <v>51.444782405240993</v>
      </c>
      <c r="AF45" s="87">
        <v>52.952095808383234</v>
      </c>
      <c r="AG45" s="44">
        <v>4.3793622553715617</v>
      </c>
      <c r="AH45" s="44">
        <v>6.0298789968228217</v>
      </c>
      <c r="AI45" s="44">
        <v>5.5233139883930358</v>
      </c>
      <c r="AJ45" s="43">
        <v>5.4151866496883585</v>
      </c>
      <c r="AK45" s="43">
        <v>4.5621289935303144</v>
      </c>
      <c r="AL45" s="47">
        <v>531.5</v>
      </c>
      <c r="AM45" s="47">
        <v>704.58333333333337</v>
      </c>
      <c r="AN45" s="47">
        <v>531.5</v>
      </c>
      <c r="AO45" s="47">
        <v>985.16666666666663</v>
      </c>
      <c r="AP45" s="47">
        <v>1057</v>
      </c>
      <c r="AQ45" s="47">
        <v>39960.239099283863</v>
      </c>
      <c r="AR45" s="47">
        <v>38885.775164127866</v>
      </c>
      <c r="AS45" s="47">
        <v>40828.747142789784</v>
      </c>
      <c r="AT45" s="47">
        <v>42811.264024484321</v>
      </c>
      <c r="AU45" s="47">
        <v>45162.157929765497</v>
      </c>
      <c r="AV45" s="84">
        <v>49036.280141701835</v>
      </c>
      <c r="AW45" s="85">
        <v>50066.614774198068</v>
      </c>
      <c r="AX45" s="85">
        <v>51822.844692912251</v>
      </c>
      <c r="AY45" s="85">
        <v>51066.019947895256</v>
      </c>
      <c r="AZ45" s="85">
        <v>48753</v>
      </c>
      <c r="BA45" s="83">
        <v>10.479905036459217</v>
      </c>
      <c r="BB45" s="83">
        <v>11.679200100827627</v>
      </c>
      <c r="BC45" s="83">
        <v>11.39733954908974</v>
      </c>
      <c r="BD45" s="83">
        <v>12.102959482793239</v>
      </c>
      <c r="BE45" s="83">
        <v>12.322179114128678</v>
      </c>
      <c r="BF45" s="83">
        <v>11.475409836065573</v>
      </c>
      <c r="BG45" s="46">
        <v>13.450787735049975</v>
      </c>
      <c r="BH45" s="46">
        <v>13.967382528661393</v>
      </c>
      <c r="BI45" s="46">
        <v>16.27080303764744</v>
      </c>
      <c r="BJ45" s="46">
        <v>15.843987700275125</v>
      </c>
      <c r="BK45" s="42">
        <v>4312</v>
      </c>
      <c r="BL45" s="42">
        <v>4318</v>
      </c>
      <c r="BM45" s="40">
        <v>4325</v>
      </c>
      <c r="BN45" s="40">
        <v>4359</v>
      </c>
      <c r="BO45" s="43">
        <v>38.659554730983302</v>
      </c>
      <c r="BP45" s="43">
        <v>40.134321445113478</v>
      </c>
      <c r="BQ45" s="44">
        <v>40.300578034682083</v>
      </c>
      <c r="BR45" s="44">
        <v>42.417985776554254</v>
      </c>
      <c r="BS45" s="87">
        <v>8.9749536178107601</v>
      </c>
      <c r="BT45" s="87">
        <v>10.3056970819824</v>
      </c>
      <c r="BU45" s="87">
        <v>9.3872832369942198</v>
      </c>
      <c r="BV45" s="87">
        <v>9.7728836889194763</v>
      </c>
      <c r="BW45" s="43">
        <v>16.025046382189238</v>
      </c>
      <c r="BX45" s="43">
        <v>17.438628994905049</v>
      </c>
      <c r="BY45" s="43">
        <v>17.179190751445088</v>
      </c>
      <c r="BZ45" s="43">
        <v>16.976370727231018</v>
      </c>
      <c r="CA45" s="42">
        <v>88.235294117647058</v>
      </c>
      <c r="CB45" s="42">
        <v>84.905660377358487</v>
      </c>
      <c r="CC45" s="42">
        <v>85.11</v>
      </c>
      <c r="CD45" s="44">
        <v>86.44</v>
      </c>
      <c r="CE45" s="43">
        <v>2.5575447570332481</v>
      </c>
      <c r="CF45" s="43">
        <v>3.2345013477088949</v>
      </c>
      <c r="CG45" s="43">
        <v>5.34</v>
      </c>
      <c r="CH45" s="44">
        <v>5.05</v>
      </c>
      <c r="CI45" s="49">
        <v>1751</v>
      </c>
      <c r="CJ45" s="49">
        <v>1691</v>
      </c>
      <c r="CK45" s="54">
        <v>1678</v>
      </c>
      <c r="CL45" s="54">
        <v>1836</v>
      </c>
      <c r="CM45" s="88">
        <v>14.1</v>
      </c>
      <c r="CN45" s="88">
        <v>13.6</v>
      </c>
      <c r="CO45" s="88">
        <v>13.6</v>
      </c>
      <c r="CP45" s="88">
        <v>14.4</v>
      </c>
      <c r="CQ45" s="53">
        <v>57</v>
      </c>
      <c r="CR45" s="53">
        <v>74</v>
      </c>
      <c r="CS45" s="53">
        <v>71</v>
      </c>
      <c r="CT45" s="53">
        <v>81</v>
      </c>
      <c r="CU45" s="88">
        <v>3.4</v>
      </c>
      <c r="CV45" s="88">
        <v>4.5</v>
      </c>
      <c r="CW45" s="88">
        <v>4.3</v>
      </c>
      <c r="CX45" s="88">
        <v>4.5</v>
      </c>
      <c r="CY45" s="51">
        <v>122</v>
      </c>
      <c r="CZ45" s="53">
        <v>150</v>
      </c>
      <c r="DA45" s="53">
        <v>119</v>
      </c>
      <c r="DB45" s="53">
        <v>146</v>
      </c>
      <c r="DC45" s="88">
        <v>8.1</v>
      </c>
      <c r="DD45" s="88">
        <v>10.6</v>
      </c>
      <c r="DE45" s="88">
        <v>8.6</v>
      </c>
      <c r="DF45" s="88">
        <v>8.6999999999999993</v>
      </c>
      <c r="DG45" s="88">
        <v>80.900000000000006</v>
      </c>
      <c r="DH45" s="88">
        <v>80.3</v>
      </c>
      <c r="DI45" s="88">
        <v>82.2</v>
      </c>
      <c r="DJ45" s="88">
        <v>85.1</v>
      </c>
      <c r="DK45" s="88">
        <v>10.5</v>
      </c>
      <c r="DL45" s="88">
        <v>12.2</v>
      </c>
      <c r="DM45" s="88">
        <v>11.4</v>
      </c>
      <c r="DN45" s="88">
        <v>11.771117166212534</v>
      </c>
      <c r="DO45" s="88">
        <v>23.1</v>
      </c>
      <c r="DP45" s="88">
        <v>25.6</v>
      </c>
      <c r="DQ45" s="88">
        <v>26.1</v>
      </c>
      <c r="DR45" s="88">
        <v>33.200000000000003</v>
      </c>
      <c r="DS45" s="88">
        <v>33.416554637987325</v>
      </c>
      <c r="DT45" s="88">
        <v>27.187173231090974</v>
      </c>
      <c r="DU45" s="88">
        <v>21.59373208484617</v>
      </c>
      <c r="DV45" s="88">
        <v>21.364985163204746</v>
      </c>
      <c r="DW45" s="54">
        <v>267</v>
      </c>
      <c r="DX45" s="54">
        <v>17</v>
      </c>
      <c r="DY45" s="51">
        <v>2</v>
      </c>
      <c r="DZ45" s="53">
        <v>21</v>
      </c>
      <c r="EA45" s="53">
        <v>45</v>
      </c>
      <c r="EB45" s="53">
        <v>8</v>
      </c>
      <c r="EC45" s="53">
        <v>11</v>
      </c>
      <c r="ED45" s="51">
        <v>10</v>
      </c>
      <c r="EE45" s="53">
        <v>13</v>
      </c>
      <c r="EF45" s="53">
        <v>1155</v>
      </c>
      <c r="EG45" s="53">
        <v>1185</v>
      </c>
      <c r="EH45" s="53">
        <v>1144</v>
      </c>
      <c r="EI45" s="53">
        <v>1079</v>
      </c>
      <c r="EJ45" s="92">
        <v>200</v>
      </c>
      <c r="EK45" s="92">
        <v>0</v>
      </c>
      <c r="EL45" s="92">
        <v>0</v>
      </c>
      <c r="EM45" s="92">
        <v>2</v>
      </c>
      <c r="EN45" s="92">
        <v>0</v>
      </c>
      <c r="EO45" s="88">
        <v>930.54358247194273</v>
      </c>
      <c r="EP45" s="88">
        <v>951.46332650849092</v>
      </c>
      <c r="EQ45" s="88">
        <v>927.60015892450281</v>
      </c>
      <c r="ER45" s="88">
        <v>862.62860740070425</v>
      </c>
      <c r="ES45" s="88">
        <v>746</v>
      </c>
      <c r="ET45" s="88">
        <v>732.4</v>
      </c>
      <c r="EU45" s="88">
        <v>693.9</v>
      </c>
      <c r="EV45" s="88">
        <v>653.6</v>
      </c>
      <c r="EW45" s="88">
        <v>956.94490610641083</v>
      </c>
      <c r="EX45" s="88">
        <v>964.85454810795852</v>
      </c>
      <c r="EY45" s="88">
        <v>822.83965685111684</v>
      </c>
      <c r="EZ45" s="88">
        <v>775.84243416874847</v>
      </c>
      <c r="FA45" s="88">
        <v>601.19537944672868</v>
      </c>
      <c r="FB45" s="88">
        <v>565.55672783649948</v>
      </c>
      <c r="FC45" s="88">
        <v>594.99420724344589</v>
      </c>
      <c r="FD45" s="88">
        <v>560.6905080376057</v>
      </c>
      <c r="FE45" s="51">
        <v>251</v>
      </c>
      <c r="FF45" s="54">
        <v>256</v>
      </c>
      <c r="FG45" s="54">
        <v>276</v>
      </c>
      <c r="FH45" s="54">
        <v>252</v>
      </c>
      <c r="FI45" s="88">
        <v>174.99629999999999</v>
      </c>
      <c r="FJ45" s="88">
        <v>171.11019999999999</v>
      </c>
      <c r="FK45" s="88">
        <v>182.50030000000001</v>
      </c>
      <c r="FL45" s="88">
        <v>163.84100000000001</v>
      </c>
      <c r="FM45" s="54">
        <v>380</v>
      </c>
      <c r="FN45" s="54">
        <v>381</v>
      </c>
      <c r="FO45" s="51">
        <v>274</v>
      </c>
      <c r="FP45" s="54">
        <v>231</v>
      </c>
      <c r="FQ45" s="88">
        <v>235.23679999999999</v>
      </c>
      <c r="FR45" s="88">
        <v>225.11080000000001</v>
      </c>
      <c r="FS45" s="88">
        <v>157.904</v>
      </c>
      <c r="FT45" s="88">
        <v>132.51560000000001</v>
      </c>
      <c r="FU45" s="53">
        <v>125</v>
      </c>
      <c r="FV45" s="53">
        <v>126</v>
      </c>
      <c r="FW45" s="53">
        <v>86</v>
      </c>
      <c r="FX45" s="53">
        <v>67</v>
      </c>
      <c r="FY45" s="88">
        <v>74.438659999999999</v>
      </c>
      <c r="FZ45" s="88">
        <v>67.523570000000007</v>
      </c>
      <c r="GA45" s="88">
        <v>46.691110000000002</v>
      </c>
      <c r="GB45" s="88">
        <v>38.086010000000002</v>
      </c>
      <c r="GC45" s="55">
        <v>77</v>
      </c>
      <c r="GD45" s="56">
        <v>52</v>
      </c>
      <c r="GE45" s="55">
        <v>57</v>
      </c>
      <c r="GF45" s="55">
        <v>51</v>
      </c>
      <c r="GG45" s="91">
        <v>58.451500000000003</v>
      </c>
      <c r="GH45" s="91">
        <v>37.258629999999997</v>
      </c>
      <c r="GI45" s="91">
        <v>38.674970000000002</v>
      </c>
      <c r="GJ45" s="91">
        <v>35.568429999999999</v>
      </c>
      <c r="GK45" s="55"/>
      <c r="GL45" s="55"/>
      <c r="GM45" s="55"/>
      <c r="GN45" s="56"/>
      <c r="GO45" s="55"/>
      <c r="GP45" s="55"/>
      <c r="GQ45" s="55"/>
      <c r="GR45" s="55"/>
      <c r="GS45" s="56"/>
      <c r="GT45" s="55"/>
      <c r="GU45" s="55"/>
      <c r="GV45" s="55"/>
      <c r="GW45" s="55"/>
      <c r="GX45" s="56"/>
      <c r="GY45" s="56"/>
      <c r="GZ45" s="56"/>
      <c r="HA45" s="56"/>
      <c r="HB45" s="56"/>
      <c r="HC45" s="56"/>
      <c r="HD45" s="57"/>
      <c r="HE45" s="57"/>
      <c r="HF45" s="57"/>
      <c r="HG45" s="57"/>
      <c r="HH45" s="57"/>
      <c r="HI45" s="58"/>
      <c r="HJ45" s="58"/>
      <c r="HK45" s="55"/>
      <c r="HL45" s="56"/>
      <c r="HM45" s="56"/>
      <c r="HN45" s="56"/>
      <c r="HO45" s="56"/>
      <c r="HP45" s="56"/>
      <c r="HQ45" s="56"/>
      <c r="HR45" s="56"/>
      <c r="HS45" s="56"/>
      <c r="HT45" s="56"/>
      <c r="HU45" s="38"/>
    </row>
    <row r="46" spans="1:229" x14ac:dyDescent="0.2">
      <c r="A46" s="36">
        <v>43</v>
      </c>
      <c r="B46" s="70" t="s">
        <v>99</v>
      </c>
      <c r="C46" s="77">
        <v>37165</v>
      </c>
      <c r="D46" s="77">
        <v>36939</v>
      </c>
      <c r="E46" s="77">
        <v>36651</v>
      </c>
      <c r="F46" s="77">
        <v>36432</v>
      </c>
      <c r="G46" s="150">
        <v>36053</v>
      </c>
      <c r="H46" s="41">
        <v>35090</v>
      </c>
      <c r="I46" s="41">
        <v>227</v>
      </c>
      <c r="J46" s="41">
        <v>118</v>
      </c>
      <c r="K46" s="41">
        <v>276</v>
      </c>
      <c r="L46" s="41">
        <v>1864</v>
      </c>
      <c r="M46" s="42">
        <v>14791</v>
      </c>
      <c r="N46" s="43">
        <v>14729</v>
      </c>
      <c r="O46" s="43">
        <v>14639</v>
      </c>
      <c r="P46" s="44">
        <v>14628</v>
      </c>
      <c r="Q46" s="44">
        <v>14548</v>
      </c>
      <c r="R46" s="87">
        <v>21.991615125980658</v>
      </c>
      <c r="S46" s="87">
        <v>22.552078940710128</v>
      </c>
      <c r="T46" s="87">
        <v>23.982365278431708</v>
      </c>
      <c r="U46" s="87">
        <v>24.83490871423022</v>
      </c>
      <c r="V46" s="87">
        <v>26.023545949745213</v>
      </c>
      <c r="W46" s="87">
        <v>32.277614046739444</v>
      </c>
      <c r="X46" s="87">
        <v>33.216665261027238</v>
      </c>
      <c r="Y46" s="87">
        <v>32.893892051534479</v>
      </c>
      <c r="Z46" s="87">
        <v>32.409685355431826</v>
      </c>
      <c r="AA46" s="42">
        <v>32.353716394306801</v>
      </c>
      <c r="AB46" s="87">
        <v>54.269229172720102</v>
      </c>
      <c r="AC46" s="87">
        <v>55.76874420173737</v>
      </c>
      <c r="AD46" s="87">
        <v>56.876257329966187</v>
      </c>
      <c r="AE46" s="87">
        <v>57.24459406966205</v>
      </c>
      <c r="AF46" s="87">
        <v>58.377262344052014</v>
      </c>
      <c r="AG46" s="44">
        <v>5.9855220327454699</v>
      </c>
      <c r="AH46" s="44">
        <v>9.8754448398576518</v>
      </c>
      <c r="AI46" s="44">
        <v>9.0165559631208492</v>
      </c>
      <c r="AJ46" s="43">
        <v>8.0214173864726988</v>
      </c>
      <c r="AK46" s="43">
        <v>6.9038714242393615</v>
      </c>
      <c r="AL46" s="47">
        <v>548.08333333333337</v>
      </c>
      <c r="AM46" s="47">
        <v>769.5</v>
      </c>
      <c r="AN46" s="47">
        <v>548.08333333333337</v>
      </c>
      <c r="AO46" s="47">
        <v>1119</v>
      </c>
      <c r="AP46" s="47">
        <v>1160.5</v>
      </c>
      <c r="AQ46" s="47">
        <v>37228.131971080555</v>
      </c>
      <c r="AR46" s="47">
        <v>36368.24236085228</v>
      </c>
      <c r="AS46" s="47">
        <v>36702.001946448225</v>
      </c>
      <c r="AT46" s="47">
        <v>38259.447925644883</v>
      </c>
      <c r="AU46" s="47">
        <v>39943.19474107564</v>
      </c>
      <c r="AV46" s="84">
        <v>59696.851048464909</v>
      </c>
      <c r="AW46" s="85">
        <v>57057.084126421352</v>
      </c>
      <c r="AX46" s="85">
        <v>56253.551557631967</v>
      </c>
      <c r="AY46" s="85">
        <v>53198.23628718796</v>
      </c>
      <c r="AZ46" s="85">
        <v>54231</v>
      </c>
      <c r="BA46" s="83">
        <v>6.5523342861031715</v>
      </c>
      <c r="BB46" s="83">
        <v>8.0058104478430074</v>
      </c>
      <c r="BC46" s="83">
        <v>8.5340617498551445</v>
      </c>
      <c r="BD46" s="83">
        <v>8.2463349622390041</v>
      </c>
      <c r="BE46" s="83">
        <v>8.0250203360354551</v>
      </c>
      <c r="BF46" s="83">
        <v>8.0596369922212627</v>
      </c>
      <c r="BG46" s="46">
        <v>10.391145497528477</v>
      </c>
      <c r="BH46" s="46">
        <v>11.71960569550931</v>
      </c>
      <c r="BI46" s="46">
        <v>11.221527467619474</v>
      </c>
      <c r="BJ46" s="46">
        <v>11.26967946539812</v>
      </c>
      <c r="BK46" s="42">
        <v>5450</v>
      </c>
      <c r="BL46" s="42">
        <v>5446</v>
      </c>
      <c r="BM46" s="40">
        <v>5357</v>
      </c>
      <c r="BN46" s="40">
        <v>5333</v>
      </c>
      <c r="BO46" s="43">
        <v>32</v>
      </c>
      <c r="BP46" s="43">
        <v>33.217040029379362</v>
      </c>
      <c r="BQ46" s="44">
        <v>32.480866156430835</v>
      </c>
      <c r="BR46" s="44">
        <v>33.395837239827486</v>
      </c>
      <c r="BS46" s="87">
        <v>3.7981651376146788</v>
      </c>
      <c r="BT46" s="87">
        <v>3.5071612192434816</v>
      </c>
      <c r="BU46" s="87">
        <v>3.6027627403397422</v>
      </c>
      <c r="BV46" s="87">
        <v>3.9002437652353272</v>
      </c>
      <c r="BW46" s="43">
        <v>13.834862385321101</v>
      </c>
      <c r="BX46" s="43">
        <v>13.918472273228057</v>
      </c>
      <c r="BY46" s="43">
        <v>14.149710658950905</v>
      </c>
      <c r="BZ46" s="43">
        <v>13.85711606975436</v>
      </c>
      <c r="CA46" s="42">
        <v>79.633401221995925</v>
      </c>
      <c r="CB46" s="42">
        <v>83.920704845814981</v>
      </c>
      <c r="CC46" s="42">
        <v>86.98</v>
      </c>
      <c r="CD46" s="44">
        <v>89.1</v>
      </c>
      <c r="CE46" s="43">
        <v>5.7026476578411405</v>
      </c>
      <c r="CF46" s="43">
        <v>5.9471365638766516</v>
      </c>
      <c r="CG46" s="43">
        <v>3.49</v>
      </c>
      <c r="CH46" s="44">
        <v>4.18</v>
      </c>
      <c r="CI46" s="49">
        <v>2311</v>
      </c>
      <c r="CJ46" s="49">
        <v>2402</v>
      </c>
      <c r="CK46" s="54">
        <v>2639</v>
      </c>
      <c r="CL46" s="54">
        <v>2251</v>
      </c>
      <c r="CM46" s="88">
        <v>13.9</v>
      </c>
      <c r="CN46" s="88">
        <v>13.8</v>
      </c>
      <c r="CO46" s="88">
        <v>14.4</v>
      </c>
      <c r="CP46" s="88">
        <v>12.3</v>
      </c>
      <c r="CQ46" s="53">
        <v>81</v>
      </c>
      <c r="CR46" s="53">
        <v>78</v>
      </c>
      <c r="CS46" s="53">
        <v>98</v>
      </c>
      <c r="CT46" s="53">
        <v>97</v>
      </c>
      <c r="CU46" s="88">
        <v>3.6</v>
      </c>
      <c r="CV46" s="88">
        <v>3.3</v>
      </c>
      <c r="CW46" s="88">
        <v>3.8</v>
      </c>
      <c r="CX46" s="88">
        <v>4.4000000000000004</v>
      </c>
      <c r="CY46" s="51">
        <v>168</v>
      </c>
      <c r="CZ46" s="53">
        <v>160</v>
      </c>
      <c r="DA46" s="53">
        <v>189</v>
      </c>
      <c r="DB46" s="53">
        <v>163</v>
      </c>
      <c r="DC46" s="88">
        <v>7.7</v>
      </c>
      <c r="DD46" s="88">
        <v>7.1</v>
      </c>
      <c r="DE46" s="88">
        <v>8</v>
      </c>
      <c r="DF46" s="88">
        <v>8</v>
      </c>
      <c r="DG46" s="88">
        <v>87.2</v>
      </c>
      <c r="DH46" s="88">
        <v>87.5</v>
      </c>
      <c r="DI46" s="88">
        <v>89.2</v>
      </c>
      <c r="DJ46" s="88">
        <v>88.9</v>
      </c>
      <c r="DK46" s="88">
        <v>11</v>
      </c>
      <c r="DL46" s="88">
        <v>10.5</v>
      </c>
      <c r="DM46" s="88">
        <v>11.6</v>
      </c>
      <c r="DN46" s="88">
        <v>12.333036509349956</v>
      </c>
      <c r="DO46" s="88">
        <v>20.9</v>
      </c>
      <c r="DP46" s="88">
        <v>23.8</v>
      </c>
      <c r="DQ46" s="88">
        <v>27.7</v>
      </c>
      <c r="DR46" s="88">
        <v>30.4</v>
      </c>
      <c r="DS46" s="88">
        <v>36.818339701285169</v>
      </c>
      <c r="DT46" s="88">
        <v>32.774390243902438</v>
      </c>
      <c r="DU46" s="88">
        <v>34.178610804851161</v>
      </c>
      <c r="DV46" s="88">
        <v>25.570619529775186</v>
      </c>
      <c r="DW46" s="54">
        <v>386</v>
      </c>
      <c r="DX46" s="54">
        <v>4</v>
      </c>
      <c r="DY46" s="51">
        <v>3</v>
      </c>
      <c r="DZ46" s="53">
        <v>7</v>
      </c>
      <c r="EA46" s="53">
        <v>36</v>
      </c>
      <c r="EB46" s="53">
        <v>13</v>
      </c>
      <c r="EC46" s="53">
        <v>20</v>
      </c>
      <c r="ED46" s="51">
        <v>10</v>
      </c>
      <c r="EE46" s="53">
        <v>6</v>
      </c>
      <c r="EF46" s="53">
        <v>1505</v>
      </c>
      <c r="EG46" s="53">
        <v>1459</v>
      </c>
      <c r="EH46" s="53">
        <v>1462</v>
      </c>
      <c r="EI46" s="53">
        <v>1499</v>
      </c>
      <c r="EJ46" s="92">
        <v>302</v>
      </c>
      <c r="EK46" s="92">
        <v>0</v>
      </c>
      <c r="EL46" s="92">
        <v>1</v>
      </c>
      <c r="EM46" s="92">
        <v>1</v>
      </c>
      <c r="EN46" s="92">
        <v>3</v>
      </c>
      <c r="EO46" s="88">
        <v>904.67545894997534</v>
      </c>
      <c r="EP46" s="88">
        <v>838.31784829836988</v>
      </c>
      <c r="EQ46" s="88">
        <v>798.08285431985541</v>
      </c>
      <c r="ER46" s="88">
        <v>811.89235462370993</v>
      </c>
      <c r="ES46" s="88">
        <v>756.1</v>
      </c>
      <c r="ET46" s="88">
        <v>709</v>
      </c>
      <c r="EU46" s="88">
        <v>648.4</v>
      </c>
      <c r="EV46" s="88">
        <v>628.79999999999995</v>
      </c>
      <c r="EW46" s="88">
        <v>975.33234604467509</v>
      </c>
      <c r="EX46" s="88">
        <v>868.20142904789168</v>
      </c>
      <c r="EY46" s="88">
        <v>820.5946724404655</v>
      </c>
      <c r="EZ46" s="88">
        <v>768.90732094620694</v>
      </c>
      <c r="FA46" s="88">
        <v>597.56022569682239</v>
      </c>
      <c r="FB46" s="88">
        <v>583.74150289673776</v>
      </c>
      <c r="FC46" s="88">
        <v>522.63908344374681</v>
      </c>
      <c r="FD46" s="88">
        <v>519.71606864116006</v>
      </c>
      <c r="FE46" s="51">
        <v>299</v>
      </c>
      <c r="FF46" s="54">
        <v>303</v>
      </c>
      <c r="FG46" s="54">
        <v>314</v>
      </c>
      <c r="FH46" s="54">
        <v>381</v>
      </c>
      <c r="FI46" s="88">
        <v>158.8263</v>
      </c>
      <c r="FJ46" s="88">
        <v>156.3493</v>
      </c>
      <c r="FK46" s="88">
        <v>150.8314</v>
      </c>
      <c r="FL46" s="88">
        <v>168.9273</v>
      </c>
      <c r="FM46" s="54">
        <v>457</v>
      </c>
      <c r="FN46" s="54">
        <v>394</v>
      </c>
      <c r="FO46" s="51">
        <v>343</v>
      </c>
      <c r="FP46" s="54">
        <v>322</v>
      </c>
      <c r="FQ46" s="88">
        <v>224.24770000000001</v>
      </c>
      <c r="FR46" s="88">
        <v>187.1627</v>
      </c>
      <c r="FS46" s="88">
        <v>144.21539999999999</v>
      </c>
      <c r="FT46" s="88">
        <v>128.35</v>
      </c>
      <c r="FU46" s="53">
        <v>166</v>
      </c>
      <c r="FV46" s="53">
        <v>163</v>
      </c>
      <c r="FW46" s="53">
        <v>107</v>
      </c>
      <c r="FX46" s="53">
        <v>95</v>
      </c>
      <c r="FY46" s="88">
        <v>78.472880000000004</v>
      </c>
      <c r="FZ46" s="88">
        <v>73.215549999999993</v>
      </c>
      <c r="GA46" s="88">
        <v>46.681330000000003</v>
      </c>
      <c r="GB46" s="88">
        <v>36.998739999999998</v>
      </c>
      <c r="GC46" s="55">
        <v>71</v>
      </c>
      <c r="GD46" s="56">
        <v>66</v>
      </c>
      <c r="GE46" s="55">
        <v>90</v>
      </c>
      <c r="GF46" s="55">
        <v>81</v>
      </c>
      <c r="GG46" s="91">
        <v>40.275930000000002</v>
      </c>
      <c r="GH46" s="91">
        <v>35.020490000000002</v>
      </c>
      <c r="GI46" s="91">
        <v>42.352029999999999</v>
      </c>
      <c r="GJ46" s="91">
        <v>36.359290000000001</v>
      </c>
      <c r="GK46" s="55"/>
      <c r="GL46" s="55"/>
      <c r="GM46" s="55"/>
      <c r="GN46" s="56"/>
      <c r="GO46" s="55"/>
      <c r="GP46" s="55"/>
      <c r="GQ46" s="55"/>
      <c r="GR46" s="55"/>
      <c r="GS46" s="56"/>
      <c r="GT46" s="55"/>
      <c r="GU46" s="55"/>
      <c r="GV46" s="55"/>
      <c r="GW46" s="55"/>
      <c r="GX46" s="56"/>
      <c r="GY46" s="56"/>
      <c r="GZ46" s="56"/>
      <c r="HA46" s="56"/>
      <c r="HB46" s="56"/>
      <c r="HC46" s="56"/>
      <c r="HD46" s="57"/>
      <c r="HE46" s="57"/>
      <c r="HF46" s="57"/>
      <c r="HG46" s="57"/>
      <c r="HH46" s="57"/>
      <c r="HI46" s="58"/>
      <c r="HJ46" s="58"/>
      <c r="HK46" s="55"/>
      <c r="HL46" s="56"/>
      <c r="HM46" s="56"/>
      <c r="HN46" s="56"/>
      <c r="HO46" s="56"/>
      <c r="HP46" s="56"/>
      <c r="HQ46" s="56"/>
      <c r="HR46" s="56"/>
      <c r="HS46" s="56"/>
      <c r="HT46" s="56"/>
      <c r="HU46" s="38"/>
    </row>
    <row r="47" spans="1:229" x14ac:dyDescent="0.2">
      <c r="A47" s="36">
        <v>44</v>
      </c>
      <c r="B47" s="70" t="s">
        <v>100</v>
      </c>
      <c r="C47" s="77">
        <v>5128</v>
      </c>
      <c r="D47" s="77">
        <v>5025</v>
      </c>
      <c r="E47" s="77">
        <v>5413</v>
      </c>
      <c r="F47" s="77">
        <v>5456</v>
      </c>
      <c r="G47" s="150">
        <v>5536</v>
      </c>
      <c r="H47" s="41">
        <v>2749</v>
      </c>
      <c r="I47" s="41">
        <v>16</v>
      </c>
      <c r="J47" s="41">
        <v>2262</v>
      </c>
      <c r="K47" s="41">
        <v>10</v>
      </c>
      <c r="L47" s="41">
        <v>131</v>
      </c>
      <c r="M47" s="42">
        <v>2014</v>
      </c>
      <c r="N47" s="43">
        <v>1997</v>
      </c>
      <c r="O47" s="43">
        <v>2019</v>
      </c>
      <c r="P47" s="44">
        <v>2031</v>
      </c>
      <c r="Q47" s="44">
        <v>2046</v>
      </c>
      <c r="R47" s="87">
        <v>30.151415404871624</v>
      </c>
      <c r="S47" s="87">
        <v>29.70940170940171</v>
      </c>
      <c r="T47" s="87">
        <v>26.743822333437599</v>
      </c>
      <c r="U47" s="87">
        <v>26.166770379589298</v>
      </c>
      <c r="V47" s="87">
        <v>28.9375</v>
      </c>
      <c r="W47" s="87">
        <v>38.643844634628046</v>
      </c>
      <c r="X47" s="87">
        <v>42.085470085470085</v>
      </c>
      <c r="Y47" s="87">
        <v>42.571160462934003</v>
      </c>
      <c r="Z47" s="87">
        <v>43.590541381456127</v>
      </c>
      <c r="AA47" s="42">
        <v>44.0625</v>
      </c>
      <c r="AB47" s="87">
        <v>68.795260039499667</v>
      </c>
      <c r="AC47" s="87">
        <v>71.794871794871796</v>
      </c>
      <c r="AD47" s="87">
        <v>69.314982796371595</v>
      </c>
      <c r="AE47" s="87">
        <v>69.757311761045429</v>
      </c>
      <c r="AF47" s="87">
        <v>73</v>
      </c>
      <c r="AG47" s="44">
        <v>7.1428571428571432</v>
      </c>
      <c r="AH47" s="44">
        <v>8.0605564648117838</v>
      </c>
      <c r="AI47" s="44">
        <v>8.0870917573872472</v>
      </c>
      <c r="AJ47" s="43">
        <v>7.5604053000779423</v>
      </c>
      <c r="AK47" s="43">
        <v>6.9841269841269842</v>
      </c>
      <c r="AL47" s="47">
        <v>444.66666666666669</v>
      </c>
      <c r="AM47" s="47">
        <v>496.66666666666669</v>
      </c>
      <c r="AN47" s="47">
        <v>444.66666666666669</v>
      </c>
      <c r="AO47" s="47">
        <v>656.41666666666663</v>
      </c>
      <c r="AP47" s="47">
        <v>680.33333333333337</v>
      </c>
      <c r="AQ47" s="47">
        <v>28876.127087434947</v>
      </c>
      <c r="AR47" s="47">
        <v>29366.747446548594</v>
      </c>
      <c r="AS47" s="47">
        <v>32009.646713086469</v>
      </c>
      <c r="AT47" s="47">
        <v>31748.462848625328</v>
      </c>
      <c r="AU47" s="47">
        <v>32615.065028901736</v>
      </c>
      <c r="AV47" s="84">
        <v>36782.541991295264</v>
      </c>
      <c r="AW47" s="85">
        <v>36208.747713276563</v>
      </c>
      <c r="AX47" s="85">
        <v>37882.122523499471</v>
      </c>
      <c r="AY47" s="85">
        <v>38370.707919114677</v>
      </c>
      <c r="AZ47" s="85">
        <v>37754</v>
      </c>
      <c r="BA47" s="83">
        <v>21.795125817317217</v>
      </c>
      <c r="BB47" s="83">
        <v>19.655870445344128</v>
      </c>
      <c r="BC47" s="83">
        <v>22.099343955014056</v>
      </c>
      <c r="BD47" s="83">
        <v>24.273472429210134</v>
      </c>
      <c r="BE47" s="83">
        <v>21.196549825656085</v>
      </c>
      <c r="BF47" s="83">
        <v>36.441893830703016</v>
      </c>
      <c r="BG47" s="46">
        <v>34.9929873772791</v>
      </c>
      <c r="BH47" s="46">
        <v>33.933161953727506</v>
      </c>
      <c r="BI47" s="46">
        <v>37.350157728706627</v>
      </c>
      <c r="BJ47" s="46">
        <v>34.401972872996303</v>
      </c>
      <c r="BK47" s="42">
        <v>1343</v>
      </c>
      <c r="BL47" s="42">
        <v>1355</v>
      </c>
      <c r="BM47" s="40">
        <v>1310</v>
      </c>
      <c r="BN47" s="40">
        <v>1328</v>
      </c>
      <c r="BO47" s="43">
        <v>70.364854802680568</v>
      </c>
      <c r="BP47" s="43">
        <v>73.284132841328415</v>
      </c>
      <c r="BQ47" s="44">
        <v>68.549618320610691</v>
      </c>
      <c r="BR47" s="44">
        <v>71.837349397590359</v>
      </c>
      <c r="BS47" s="87">
        <v>0</v>
      </c>
      <c r="BT47" s="87">
        <v>0</v>
      </c>
      <c r="BU47" s="87">
        <v>0</v>
      </c>
      <c r="BV47" s="87">
        <v>0</v>
      </c>
      <c r="BW47" s="43">
        <v>18.838421444527178</v>
      </c>
      <c r="BX47" s="43">
        <v>17.933579335793358</v>
      </c>
      <c r="BY47" s="43">
        <v>18.015267175572518</v>
      </c>
      <c r="BZ47" s="43">
        <v>17.620481927710845</v>
      </c>
      <c r="CA47" s="42">
        <v>69.387755102040813</v>
      </c>
      <c r="CB47" s="42">
        <v>61.467889908256879</v>
      </c>
      <c r="CC47" s="42">
        <v>50.56</v>
      </c>
      <c r="CD47" s="44">
        <v>65.48</v>
      </c>
      <c r="CE47" s="43">
        <v>16.326530612244898</v>
      </c>
      <c r="CF47" s="43">
        <v>13.761467889908257</v>
      </c>
      <c r="CG47" s="43">
        <v>16.850000000000001</v>
      </c>
      <c r="CH47" s="44">
        <v>20.239999999999998</v>
      </c>
      <c r="CI47" s="49">
        <v>392</v>
      </c>
      <c r="CJ47" s="49">
        <v>373</v>
      </c>
      <c r="CK47" s="51">
        <v>444</v>
      </c>
      <c r="CL47" s="51">
        <v>515</v>
      </c>
      <c r="CM47" s="88">
        <v>15.3</v>
      </c>
      <c r="CN47" s="88">
        <v>14.5</v>
      </c>
      <c r="CO47" s="88">
        <v>17.399999999999999</v>
      </c>
      <c r="CP47" s="88">
        <v>19.399999999999999</v>
      </c>
      <c r="CQ47" s="53">
        <v>14</v>
      </c>
      <c r="CR47" s="53">
        <v>9</v>
      </c>
      <c r="CS47" s="53">
        <v>15</v>
      </c>
      <c r="CT47" s="53">
        <v>24</v>
      </c>
      <c r="CU47" s="88">
        <v>3.8</v>
      </c>
      <c r="CV47" s="88">
        <v>2.5</v>
      </c>
      <c r="CW47" s="88">
        <v>3.5</v>
      </c>
      <c r="CX47" s="88">
        <v>5</v>
      </c>
      <c r="CY47" s="51">
        <v>30</v>
      </c>
      <c r="CZ47" s="53">
        <v>22</v>
      </c>
      <c r="DA47" s="53">
        <v>32</v>
      </c>
      <c r="DB47" s="53">
        <v>52</v>
      </c>
      <c r="DC47" s="88">
        <v>8.6</v>
      </c>
      <c r="DD47" s="88">
        <v>6.8</v>
      </c>
      <c r="DE47" s="88">
        <v>8.9</v>
      </c>
      <c r="DF47" s="88">
        <v>13.2</v>
      </c>
      <c r="DG47" s="88">
        <v>77.900000000000006</v>
      </c>
      <c r="DH47" s="88">
        <v>73.2</v>
      </c>
      <c r="DI47" s="88">
        <v>72</v>
      </c>
      <c r="DJ47" s="88">
        <v>61.9</v>
      </c>
      <c r="DK47" s="88">
        <v>35.299999999999997</v>
      </c>
      <c r="DL47" s="88">
        <v>39.1</v>
      </c>
      <c r="DM47" s="88">
        <v>37.5</v>
      </c>
      <c r="DN47" s="88">
        <v>51.683168316831683</v>
      </c>
      <c r="DO47" s="88">
        <v>50.3</v>
      </c>
      <c r="DP47" s="88">
        <v>61.1</v>
      </c>
      <c r="DQ47" s="88">
        <v>66.400000000000006</v>
      </c>
      <c r="DR47" s="88">
        <v>79</v>
      </c>
      <c r="DS47" s="88">
        <v>55.818353831598863</v>
      </c>
      <c r="DT47" s="88">
        <v>73.28833172613308</v>
      </c>
      <c r="DU47" s="88">
        <v>86.857142857142861</v>
      </c>
      <c r="DV47" s="88">
        <v>102.87610619469027</v>
      </c>
      <c r="DW47" s="54">
        <v>26</v>
      </c>
      <c r="DX47" s="54">
        <v>0</v>
      </c>
      <c r="DY47" s="51">
        <v>61</v>
      </c>
      <c r="DZ47" s="53">
        <v>0</v>
      </c>
      <c r="EA47" s="53">
        <v>4</v>
      </c>
      <c r="EB47" s="53">
        <v>6</v>
      </c>
      <c r="EC47" s="53">
        <v>4</v>
      </c>
      <c r="ED47" s="51">
        <v>2</v>
      </c>
      <c r="EE47" s="53">
        <v>7</v>
      </c>
      <c r="EF47" s="53">
        <v>299</v>
      </c>
      <c r="EG47" s="53">
        <v>274</v>
      </c>
      <c r="EH47" s="53">
        <v>272</v>
      </c>
      <c r="EI47" s="53">
        <v>296</v>
      </c>
      <c r="EJ47" s="92">
        <v>36</v>
      </c>
      <c r="EK47" s="92">
        <v>0</v>
      </c>
      <c r="EL47" s="92">
        <v>24</v>
      </c>
      <c r="EM47" s="92">
        <v>0</v>
      </c>
      <c r="EN47" s="92">
        <v>1</v>
      </c>
      <c r="EO47" s="88">
        <v>1164.1488864662824</v>
      </c>
      <c r="EP47" s="88">
        <v>1065.8990119038356</v>
      </c>
      <c r="EQ47" s="88">
        <v>1066.3321310961267</v>
      </c>
      <c r="ER47" s="88">
        <v>1117.8765103225192</v>
      </c>
      <c r="ES47" s="88">
        <v>929.4</v>
      </c>
      <c r="ET47" s="88">
        <v>823.4</v>
      </c>
      <c r="EU47" s="88">
        <v>762.9</v>
      </c>
      <c r="EV47" s="88">
        <v>887.1</v>
      </c>
      <c r="EW47" s="88">
        <v>1193.2622971082537</v>
      </c>
      <c r="EX47" s="88">
        <v>1072.5050407565634</v>
      </c>
      <c r="EY47" s="88">
        <v>1002.3153434289954</v>
      </c>
      <c r="EZ47" s="88">
        <v>1155.3281113330165</v>
      </c>
      <c r="FA47" s="88">
        <v>708.96394764062836</v>
      </c>
      <c r="FB47" s="88">
        <v>622.52852572147935</v>
      </c>
      <c r="FC47" s="88">
        <v>576.8142985828573</v>
      </c>
      <c r="FD47" s="88">
        <v>645.23516427451216</v>
      </c>
      <c r="FE47" s="51">
        <v>68</v>
      </c>
      <c r="FF47" s="54">
        <v>75</v>
      </c>
      <c r="FG47" s="54">
        <v>58</v>
      </c>
      <c r="FH47" s="54">
        <v>78</v>
      </c>
      <c r="FI47" s="88">
        <v>201.2842</v>
      </c>
      <c r="FJ47" s="88">
        <v>230.60040000000001</v>
      </c>
      <c r="FK47" s="88">
        <v>167.9633</v>
      </c>
      <c r="FL47" s="88">
        <v>228.64670000000001</v>
      </c>
      <c r="FM47" s="54">
        <v>88</v>
      </c>
      <c r="FN47" s="54">
        <v>79</v>
      </c>
      <c r="FO47" s="51">
        <v>69</v>
      </c>
      <c r="FP47" s="54">
        <v>56</v>
      </c>
      <c r="FQ47" s="88">
        <v>252.36969999999999</v>
      </c>
      <c r="FR47" s="88">
        <v>218.7645</v>
      </c>
      <c r="FS47" s="88">
        <v>176.1568</v>
      </c>
      <c r="FT47" s="88">
        <v>160.56989999999999</v>
      </c>
      <c r="FU47" s="53">
        <v>16</v>
      </c>
      <c r="FV47" s="53">
        <v>7</v>
      </c>
      <c r="FW47" s="53">
        <v>11</v>
      </c>
      <c r="FX47" s="53">
        <v>14</v>
      </c>
      <c r="FY47" s="88">
        <v>50.136940000000003</v>
      </c>
      <c r="FZ47" s="88">
        <v>17.98987</v>
      </c>
      <c r="GA47" s="88">
        <v>31.666720000000002</v>
      </c>
      <c r="GB47" s="88">
        <v>37.015560000000001</v>
      </c>
      <c r="GC47" s="55">
        <v>30</v>
      </c>
      <c r="GD47" s="56">
        <v>13</v>
      </c>
      <c r="GE47" s="55">
        <v>14</v>
      </c>
      <c r="GF47" s="55">
        <v>19</v>
      </c>
      <c r="GG47" s="91">
        <v>117.1778</v>
      </c>
      <c r="GH47" s="91">
        <v>48.673180000000002</v>
      </c>
      <c r="GI47" s="91">
        <v>55.81908</v>
      </c>
      <c r="GJ47" s="91">
        <v>75.671009999999995</v>
      </c>
      <c r="GK47" s="55"/>
      <c r="GL47" s="55"/>
      <c r="GM47" s="55"/>
      <c r="GN47" s="56"/>
      <c r="GO47" s="55"/>
      <c r="GP47" s="55"/>
      <c r="GQ47" s="55"/>
      <c r="GR47" s="55"/>
      <c r="GS47" s="56"/>
      <c r="GT47" s="55"/>
      <c r="GU47" s="55"/>
      <c r="GV47" s="55"/>
      <c r="GW47" s="55"/>
      <c r="GX47" s="56"/>
      <c r="GY47" s="56"/>
      <c r="GZ47" s="56"/>
      <c r="HA47" s="56"/>
      <c r="HB47" s="56"/>
      <c r="HC47" s="56"/>
      <c r="HD47" s="57"/>
      <c r="HE47" s="57"/>
      <c r="HF47" s="57"/>
      <c r="HG47" s="57"/>
      <c r="HH47" s="57"/>
      <c r="HI47" s="58"/>
      <c r="HJ47" s="58"/>
      <c r="HK47" s="55"/>
      <c r="HL47" s="56"/>
      <c r="HM47" s="56"/>
      <c r="HN47" s="56"/>
      <c r="HO47" s="56"/>
      <c r="HP47" s="56"/>
      <c r="HQ47" s="56"/>
      <c r="HR47" s="56"/>
      <c r="HS47" s="56"/>
      <c r="HT47" s="56"/>
      <c r="HU47" s="38"/>
    </row>
    <row r="48" spans="1:229" x14ac:dyDescent="0.2">
      <c r="A48" s="36">
        <v>45</v>
      </c>
      <c r="B48" s="70" t="s">
        <v>101</v>
      </c>
      <c r="C48" s="77">
        <v>9502</v>
      </c>
      <c r="D48" s="77">
        <v>9184</v>
      </c>
      <c r="E48" s="77">
        <v>9439</v>
      </c>
      <c r="F48" s="77">
        <v>9481</v>
      </c>
      <c r="G48" s="150">
        <v>9449</v>
      </c>
      <c r="H48" s="41">
        <v>9239</v>
      </c>
      <c r="I48" s="41">
        <v>39</v>
      </c>
      <c r="J48" s="41">
        <v>63</v>
      </c>
      <c r="K48" s="41">
        <v>28</v>
      </c>
      <c r="L48" s="41">
        <v>359</v>
      </c>
      <c r="M48" s="42">
        <v>4135</v>
      </c>
      <c r="N48" s="43">
        <v>4078</v>
      </c>
      <c r="O48" s="43">
        <v>3981</v>
      </c>
      <c r="P48" s="44">
        <v>4000</v>
      </c>
      <c r="Q48" s="44">
        <v>3991</v>
      </c>
      <c r="R48" s="87">
        <v>32.825067024128685</v>
      </c>
      <c r="S48" s="87">
        <v>30.033118354540701</v>
      </c>
      <c r="T48" s="87">
        <v>31.234950120399038</v>
      </c>
      <c r="U48" s="87">
        <v>31.087289433384381</v>
      </c>
      <c r="V48" s="87">
        <v>31.905744754041969</v>
      </c>
      <c r="W48" s="87">
        <v>26.390750670241285</v>
      </c>
      <c r="X48" s="87">
        <v>30.05054906745686</v>
      </c>
      <c r="Y48" s="87">
        <v>31.11455108359133</v>
      </c>
      <c r="Z48" s="87">
        <v>30.236515228858259</v>
      </c>
      <c r="AA48" s="42">
        <v>30.615755073959409</v>
      </c>
      <c r="AB48" s="87">
        <v>59.215817694369974</v>
      </c>
      <c r="AC48" s="87">
        <v>60.083667421997561</v>
      </c>
      <c r="AD48" s="87">
        <v>62.349501203990371</v>
      </c>
      <c r="AE48" s="87">
        <v>61.323804662242644</v>
      </c>
      <c r="AF48" s="87">
        <v>62.521499828001375</v>
      </c>
      <c r="AG48" s="44">
        <v>7.7887025255446307</v>
      </c>
      <c r="AH48" s="44">
        <v>10.165704710482219</v>
      </c>
      <c r="AI48" s="44">
        <v>9.1252020837075616</v>
      </c>
      <c r="AJ48" s="43">
        <v>8.2261757970759195</v>
      </c>
      <c r="AK48" s="43">
        <v>7.609860664523044</v>
      </c>
      <c r="AL48" s="47">
        <v>158.16666666666666</v>
      </c>
      <c r="AM48" s="47">
        <v>188.91666666666666</v>
      </c>
      <c r="AN48" s="47">
        <v>158.16666666666666</v>
      </c>
      <c r="AO48" s="47">
        <v>272.58333333333331</v>
      </c>
      <c r="AP48" s="47">
        <v>282.16666666666669</v>
      </c>
      <c r="AQ48" s="47">
        <v>43486.097221468845</v>
      </c>
      <c r="AR48" s="47">
        <v>37895.931146291565</v>
      </c>
      <c r="AS48" s="47">
        <v>41679.932887002746</v>
      </c>
      <c r="AT48" s="47">
        <v>43365.213246063387</v>
      </c>
      <c r="AU48" s="47">
        <v>49095.883162239392</v>
      </c>
      <c r="AV48" s="84">
        <v>48818.739232931235</v>
      </c>
      <c r="AW48" s="85">
        <v>49487.642955528019</v>
      </c>
      <c r="AX48" s="85">
        <v>50018.131868261691</v>
      </c>
      <c r="AY48" s="85">
        <v>48748.038470377913</v>
      </c>
      <c r="AZ48" s="85">
        <v>52791</v>
      </c>
      <c r="BA48" s="83">
        <v>9.7909556313993171</v>
      </c>
      <c r="BB48" s="83">
        <v>9.6873964431680104</v>
      </c>
      <c r="BC48" s="83">
        <v>8.2288653166184513</v>
      </c>
      <c r="BD48" s="83">
        <v>10.134128166915053</v>
      </c>
      <c r="BE48" s="83">
        <v>9.0656700480512544</v>
      </c>
      <c r="BF48" s="83">
        <v>12.44192049561177</v>
      </c>
      <c r="BG48" s="46">
        <v>11.832611832611832</v>
      </c>
      <c r="BH48" s="46">
        <v>12.925482980680773</v>
      </c>
      <c r="BI48" s="46">
        <v>12.867132867132867</v>
      </c>
      <c r="BJ48" s="46">
        <v>12.97071129707113</v>
      </c>
      <c r="BK48" s="42">
        <v>1366</v>
      </c>
      <c r="BL48" s="42">
        <v>1370</v>
      </c>
      <c r="BM48" s="40">
        <v>1357</v>
      </c>
      <c r="BN48" s="40">
        <v>1330</v>
      </c>
      <c r="BO48" s="43">
        <v>43.411420204978036</v>
      </c>
      <c r="BP48" s="43">
        <v>46.423357664233578</v>
      </c>
      <c r="BQ48" s="44">
        <v>45.394252026529109</v>
      </c>
      <c r="BR48" s="44">
        <v>42.10526315789474</v>
      </c>
      <c r="BS48" s="87">
        <v>3.0746705710102491</v>
      </c>
      <c r="BT48" s="87">
        <v>2.7737226277372264</v>
      </c>
      <c r="BU48" s="87">
        <v>1.7686072218128224</v>
      </c>
      <c r="BV48" s="87">
        <v>2.1052631578947367</v>
      </c>
      <c r="BW48" s="43">
        <v>14.86090775988287</v>
      </c>
      <c r="BX48" s="43">
        <v>14.671532846715328</v>
      </c>
      <c r="BY48" s="43">
        <v>14.664701547531319</v>
      </c>
      <c r="BZ48" s="43">
        <v>14.511278195488721</v>
      </c>
      <c r="CA48" s="42">
        <v>86.538461538461533</v>
      </c>
      <c r="CB48" s="42">
        <v>87.179487179487182</v>
      </c>
      <c r="CC48" s="42">
        <v>91.82</v>
      </c>
      <c r="CD48" s="44">
        <v>91.53</v>
      </c>
      <c r="CE48" s="43">
        <v>3.8461538461538463</v>
      </c>
      <c r="CF48" s="43">
        <v>6.8376068376068373</v>
      </c>
      <c r="CG48" s="43">
        <v>1.82</v>
      </c>
      <c r="CH48" s="44">
        <v>0.85</v>
      </c>
      <c r="CI48" s="49">
        <v>587</v>
      </c>
      <c r="CJ48" s="49">
        <v>527</v>
      </c>
      <c r="CK48" s="51">
        <v>542</v>
      </c>
      <c r="CL48" s="51">
        <v>520</v>
      </c>
      <c r="CM48" s="88">
        <v>11.1</v>
      </c>
      <c r="CN48" s="88">
        <v>10.4</v>
      </c>
      <c r="CO48" s="88">
        <v>10.9</v>
      </c>
      <c r="CP48" s="88">
        <v>11.1</v>
      </c>
      <c r="CQ48" s="53">
        <v>16</v>
      </c>
      <c r="CR48" s="53">
        <v>20</v>
      </c>
      <c r="CS48" s="53">
        <v>25</v>
      </c>
      <c r="CT48" s="53">
        <v>18</v>
      </c>
      <c r="CU48" s="88">
        <v>2.8</v>
      </c>
      <c r="CV48" s="88">
        <v>3.9</v>
      </c>
      <c r="CW48" s="88">
        <v>4.8</v>
      </c>
      <c r="CX48" s="88">
        <v>3.6</v>
      </c>
      <c r="CY48" s="51">
        <v>37</v>
      </c>
      <c r="CZ48" s="53">
        <v>44</v>
      </c>
      <c r="DA48" s="53">
        <v>52</v>
      </c>
      <c r="DB48" s="53">
        <v>33</v>
      </c>
      <c r="DC48" s="88">
        <v>6.7</v>
      </c>
      <c r="DD48" s="88">
        <v>8.9</v>
      </c>
      <c r="DE48" s="88">
        <v>10.5</v>
      </c>
      <c r="DF48" s="88">
        <v>8</v>
      </c>
      <c r="DG48" s="88">
        <v>77.8</v>
      </c>
      <c r="DH48" s="88">
        <v>84.3</v>
      </c>
      <c r="DI48" s="88">
        <v>84.2</v>
      </c>
      <c r="DJ48" s="88">
        <v>88.3</v>
      </c>
      <c r="DK48" s="88">
        <v>12.8</v>
      </c>
      <c r="DL48" s="88">
        <v>15.7</v>
      </c>
      <c r="DM48" s="88">
        <v>12.2</v>
      </c>
      <c r="DN48" s="88">
        <v>16.116504854368934</v>
      </c>
      <c r="DO48" s="88">
        <v>18.100000000000001</v>
      </c>
      <c r="DP48" s="88">
        <v>23</v>
      </c>
      <c r="DQ48" s="88">
        <v>23.1</v>
      </c>
      <c r="DR48" s="88">
        <v>26.7</v>
      </c>
      <c r="DS48" s="88">
        <v>32.359081419624218</v>
      </c>
      <c r="DT48" s="88">
        <v>23.32657200811359</v>
      </c>
      <c r="DU48" s="88">
        <v>22.421524663677129</v>
      </c>
      <c r="DV48" s="88">
        <v>20.710059171597631</v>
      </c>
      <c r="DW48" s="54">
        <v>103</v>
      </c>
      <c r="DX48" s="54">
        <v>0</v>
      </c>
      <c r="DY48" s="51">
        <v>0</v>
      </c>
      <c r="DZ48" s="53">
        <v>0</v>
      </c>
      <c r="EA48" s="53">
        <v>4</v>
      </c>
      <c r="EB48" s="53">
        <v>1</v>
      </c>
      <c r="EC48" s="53">
        <v>5</v>
      </c>
      <c r="ED48" s="51">
        <v>4</v>
      </c>
      <c r="EE48" s="53">
        <v>4</v>
      </c>
      <c r="EF48" s="53">
        <v>587</v>
      </c>
      <c r="EG48" s="53">
        <v>485</v>
      </c>
      <c r="EH48" s="53">
        <v>431</v>
      </c>
      <c r="EI48" s="53">
        <v>419</v>
      </c>
      <c r="EJ48" s="92">
        <v>73</v>
      </c>
      <c r="EK48" s="92">
        <v>0</v>
      </c>
      <c r="EL48" s="92">
        <v>0</v>
      </c>
      <c r="EM48" s="92">
        <v>0</v>
      </c>
      <c r="EN48" s="92">
        <v>0</v>
      </c>
      <c r="EO48" s="88">
        <v>1109.2214663643235</v>
      </c>
      <c r="EP48" s="88">
        <v>961.6147196446982</v>
      </c>
      <c r="EQ48" s="88">
        <v>869.89868001453192</v>
      </c>
      <c r="ER48" s="88">
        <v>920.0659469233633</v>
      </c>
      <c r="ES48" s="88">
        <v>802.4</v>
      </c>
      <c r="ET48" s="88">
        <v>686.7</v>
      </c>
      <c r="EU48" s="88">
        <v>542.1</v>
      </c>
      <c r="EV48" s="88">
        <v>563.5</v>
      </c>
      <c r="EW48" s="88">
        <v>965.99308832871759</v>
      </c>
      <c r="EX48" s="88">
        <v>817.70758137344296</v>
      </c>
      <c r="EY48" s="88">
        <v>736.1691718988809</v>
      </c>
      <c r="EZ48" s="88">
        <v>713.74690568497226</v>
      </c>
      <c r="FA48" s="88">
        <v>653.18324163490229</v>
      </c>
      <c r="FB48" s="88">
        <v>561.2833950164171</v>
      </c>
      <c r="FC48" s="88">
        <v>372.00971008023635</v>
      </c>
      <c r="FD48" s="88">
        <v>437.80326076119434</v>
      </c>
      <c r="FE48" s="51">
        <v>137</v>
      </c>
      <c r="FF48" s="54">
        <v>117</v>
      </c>
      <c r="FG48" s="54">
        <v>94</v>
      </c>
      <c r="FH48" s="54">
        <v>116</v>
      </c>
      <c r="FI48" s="88">
        <v>185.23740000000001</v>
      </c>
      <c r="FJ48" s="88">
        <v>169.6069</v>
      </c>
      <c r="FK48" s="88">
        <v>122.42100000000001</v>
      </c>
      <c r="FL48" s="88">
        <v>158.98269999999999</v>
      </c>
      <c r="FM48" s="54">
        <v>195</v>
      </c>
      <c r="FN48" s="54">
        <v>138</v>
      </c>
      <c r="FO48" s="51">
        <v>124</v>
      </c>
      <c r="FP48" s="54">
        <v>100</v>
      </c>
      <c r="FQ48" s="88">
        <v>261.43900000000002</v>
      </c>
      <c r="FR48" s="88">
        <v>186.38800000000001</v>
      </c>
      <c r="FS48" s="88">
        <v>151.14320000000001</v>
      </c>
      <c r="FT48" s="88">
        <v>123.9701</v>
      </c>
      <c r="FU48" s="53">
        <v>48</v>
      </c>
      <c r="FV48" s="53">
        <v>42</v>
      </c>
      <c r="FW48" s="53">
        <v>27</v>
      </c>
      <c r="FX48" s="53">
        <v>24</v>
      </c>
      <c r="FY48" s="88">
        <v>65.374170000000007</v>
      </c>
      <c r="FZ48" s="88">
        <v>54.933520000000001</v>
      </c>
      <c r="GA48" s="88">
        <v>29.827870000000001</v>
      </c>
      <c r="GB48" s="88">
        <v>28.459900000000001</v>
      </c>
      <c r="GC48" s="55">
        <v>26</v>
      </c>
      <c r="GD48" s="56">
        <v>38</v>
      </c>
      <c r="GE48" s="55">
        <v>13</v>
      </c>
      <c r="GF48" s="55">
        <v>17</v>
      </c>
      <c r="GG48" s="91">
        <v>44.488729999999997</v>
      </c>
      <c r="GH48" s="91">
        <v>67.414510000000007</v>
      </c>
      <c r="GI48" s="91">
        <v>22.873619999999999</v>
      </c>
      <c r="GJ48" s="91">
        <v>32.918100000000003</v>
      </c>
      <c r="GK48" s="55"/>
      <c r="GL48" s="55"/>
      <c r="GM48" s="55"/>
      <c r="GN48" s="56"/>
      <c r="GO48" s="55"/>
      <c r="GP48" s="55"/>
      <c r="GQ48" s="55"/>
      <c r="GR48" s="55"/>
      <c r="GS48" s="56"/>
      <c r="GT48" s="55"/>
      <c r="GU48" s="55"/>
      <c r="GV48" s="55"/>
      <c r="GW48" s="55"/>
      <c r="GX48" s="56"/>
      <c r="GY48" s="56"/>
      <c r="GZ48" s="56"/>
      <c r="HA48" s="56"/>
      <c r="HB48" s="56"/>
      <c r="HC48" s="56"/>
      <c r="HD48" s="57"/>
      <c r="HE48" s="57"/>
      <c r="HF48" s="57"/>
      <c r="HG48" s="57"/>
      <c r="HH48" s="57"/>
      <c r="HI48" s="58"/>
      <c r="HJ48" s="58"/>
      <c r="HK48" s="55"/>
      <c r="HL48" s="56"/>
      <c r="HM48" s="56"/>
      <c r="HN48" s="56"/>
      <c r="HO48" s="56"/>
      <c r="HP48" s="56"/>
      <c r="HQ48" s="56"/>
      <c r="HR48" s="56"/>
      <c r="HS48" s="56"/>
      <c r="HT48" s="56"/>
      <c r="HU48" s="38"/>
    </row>
    <row r="49" spans="1:229" x14ac:dyDescent="0.2">
      <c r="A49" s="36">
        <v>46</v>
      </c>
      <c r="B49" s="70" t="s">
        <v>102</v>
      </c>
      <c r="C49" s="77">
        <v>20435</v>
      </c>
      <c r="D49" s="77">
        <v>20245</v>
      </c>
      <c r="E49" s="77">
        <v>20840</v>
      </c>
      <c r="F49" s="77">
        <v>20689</v>
      </c>
      <c r="G49" s="150">
        <v>20475</v>
      </c>
      <c r="H49" s="41">
        <v>20009</v>
      </c>
      <c r="I49" s="41">
        <v>88</v>
      </c>
      <c r="J49" s="41">
        <v>70</v>
      </c>
      <c r="K49" s="41">
        <v>138</v>
      </c>
      <c r="L49" s="41">
        <v>781</v>
      </c>
      <c r="M49" s="42">
        <v>9042</v>
      </c>
      <c r="N49" s="43">
        <v>9013</v>
      </c>
      <c r="O49" s="43">
        <v>9035</v>
      </c>
      <c r="P49" s="44">
        <v>9017</v>
      </c>
      <c r="Q49" s="44">
        <v>8977</v>
      </c>
      <c r="R49" s="87">
        <v>34.950762388818298</v>
      </c>
      <c r="S49" s="87">
        <v>35.044751830756709</v>
      </c>
      <c r="T49" s="87">
        <v>33.789918597370068</v>
      </c>
      <c r="U49" s="87">
        <v>34.136514457260233</v>
      </c>
      <c r="V49" s="87">
        <v>34.632935713713877</v>
      </c>
      <c r="W49" s="87">
        <v>27.334815756035578</v>
      </c>
      <c r="X49" s="87">
        <v>29.6826688364524</v>
      </c>
      <c r="Y49" s="87">
        <v>29.328428303068254</v>
      </c>
      <c r="Z49" s="87">
        <v>29.309527571496286</v>
      </c>
      <c r="AA49" s="42">
        <v>29.2850852613882</v>
      </c>
      <c r="AB49" s="87">
        <v>62.285578144853872</v>
      </c>
      <c r="AC49" s="87">
        <v>64.727420667209117</v>
      </c>
      <c r="AD49" s="87">
        <v>63.118346900438318</v>
      </c>
      <c r="AE49" s="87">
        <v>63.446042028756516</v>
      </c>
      <c r="AF49" s="87">
        <v>63.918020975102074</v>
      </c>
      <c r="AG49" s="44">
        <v>4.8452804021842768</v>
      </c>
      <c r="AH49" s="44">
        <v>7.7710483664590972</v>
      </c>
      <c r="AI49" s="44">
        <v>7.1006929591924033</v>
      </c>
      <c r="AJ49" s="43">
        <v>6.4190064794816415</v>
      </c>
      <c r="AK49" s="43">
        <v>5.3793586823199577</v>
      </c>
      <c r="AL49" s="47">
        <v>529.33333333333337</v>
      </c>
      <c r="AM49" s="47">
        <v>657.66666666666663</v>
      </c>
      <c r="AN49" s="47">
        <v>529.33333333333337</v>
      </c>
      <c r="AO49" s="47">
        <v>937.83333333333337</v>
      </c>
      <c r="AP49" s="47">
        <v>1023.5</v>
      </c>
      <c r="AQ49" s="47">
        <v>44931.724179913865</v>
      </c>
      <c r="AR49" s="47">
        <v>43310.346767631105</v>
      </c>
      <c r="AS49" s="47">
        <v>45664.235107343404</v>
      </c>
      <c r="AT49" s="47">
        <v>47488.860970650181</v>
      </c>
      <c r="AU49" s="47">
        <v>50213.72405372405</v>
      </c>
      <c r="AV49" s="84">
        <v>47028.292243588912</v>
      </c>
      <c r="AW49" s="85">
        <v>43223.831394204855</v>
      </c>
      <c r="AX49" s="85">
        <v>50445.619270133408</v>
      </c>
      <c r="AY49" s="85">
        <v>45519.603678045307</v>
      </c>
      <c r="AZ49" s="85">
        <v>47212</v>
      </c>
      <c r="BA49" s="83">
        <v>11.284357821089456</v>
      </c>
      <c r="BB49" s="83">
        <v>11.203110011612056</v>
      </c>
      <c r="BC49" s="83">
        <v>11.595190575865258</v>
      </c>
      <c r="BD49" s="83">
        <v>12.49632172633644</v>
      </c>
      <c r="BE49" s="83">
        <v>12.584848634989843</v>
      </c>
      <c r="BF49" s="83">
        <v>14.792899408284024</v>
      </c>
      <c r="BG49" s="46">
        <v>16.237402015677493</v>
      </c>
      <c r="BH49" s="46">
        <v>18.125824901011878</v>
      </c>
      <c r="BI49" s="46">
        <v>18.724650743578188</v>
      </c>
      <c r="BJ49" s="46">
        <v>19.309404815992732</v>
      </c>
      <c r="BK49" s="42">
        <v>3156</v>
      </c>
      <c r="BL49" s="42">
        <v>3100</v>
      </c>
      <c r="BM49" s="40">
        <v>3133</v>
      </c>
      <c r="BN49" s="40">
        <v>3095</v>
      </c>
      <c r="BO49" s="43">
        <v>40.49429657794677</v>
      </c>
      <c r="BP49" s="43">
        <v>40</v>
      </c>
      <c r="BQ49" s="44">
        <v>42.962017235876154</v>
      </c>
      <c r="BR49" s="44">
        <v>42.584814216478193</v>
      </c>
      <c r="BS49" s="87">
        <v>2.249683143219265</v>
      </c>
      <c r="BT49" s="87">
        <v>2.2580645161290325</v>
      </c>
      <c r="BU49" s="87">
        <v>1.947015639961698</v>
      </c>
      <c r="BV49" s="87">
        <v>2.2617124394184169</v>
      </c>
      <c r="BW49" s="43">
        <v>16.476552598225602</v>
      </c>
      <c r="BX49" s="43">
        <v>15.774193548387096</v>
      </c>
      <c r="BY49" s="43">
        <v>15.512288541334184</v>
      </c>
      <c r="BZ49" s="43">
        <v>14.991922455573505</v>
      </c>
      <c r="CA49" s="42">
        <v>81.703470031545734</v>
      </c>
      <c r="CB49" s="42">
        <v>83.962264150943398</v>
      </c>
      <c r="CC49" s="42">
        <v>81.599999999999994</v>
      </c>
      <c r="CD49" s="44">
        <v>85.55</v>
      </c>
      <c r="CE49" s="43">
        <v>5.6782334384858046</v>
      </c>
      <c r="CF49" s="43">
        <v>2.8301886792452828</v>
      </c>
      <c r="CG49" s="43">
        <v>5.9</v>
      </c>
      <c r="CH49" s="44">
        <v>2.73</v>
      </c>
      <c r="CI49" s="49">
        <v>1217</v>
      </c>
      <c r="CJ49" s="49">
        <v>1150</v>
      </c>
      <c r="CK49" s="54">
        <v>1216</v>
      </c>
      <c r="CL49" s="54">
        <v>1083</v>
      </c>
      <c r="CM49" s="88">
        <v>10.8</v>
      </c>
      <c r="CN49" s="88">
        <v>10.6</v>
      </c>
      <c r="CO49" s="88">
        <v>11.6</v>
      </c>
      <c r="CP49" s="88">
        <v>10.5</v>
      </c>
      <c r="CQ49" s="53">
        <v>56</v>
      </c>
      <c r="CR49" s="53">
        <v>47</v>
      </c>
      <c r="CS49" s="53">
        <v>64</v>
      </c>
      <c r="CT49" s="53">
        <v>52</v>
      </c>
      <c r="CU49" s="88">
        <v>4.7</v>
      </c>
      <c r="CV49" s="88">
        <v>4.3</v>
      </c>
      <c r="CW49" s="88">
        <v>5.5</v>
      </c>
      <c r="CX49" s="88">
        <v>4.9000000000000004</v>
      </c>
      <c r="CY49" s="51">
        <v>95</v>
      </c>
      <c r="CZ49" s="53">
        <v>84</v>
      </c>
      <c r="DA49" s="53">
        <v>100</v>
      </c>
      <c r="DB49" s="53">
        <v>75</v>
      </c>
      <c r="DC49" s="88">
        <v>8.5</v>
      </c>
      <c r="DD49" s="88">
        <v>8.1</v>
      </c>
      <c r="DE49" s="88">
        <v>10.7</v>
      </c>
      <c r="DF49" s="88">
        <v>8.4</v>
      </c>
      <c r="DG49" s="88">
        <v>83.4</v>
      </c>
      <c r="DH49" s="88">
        <v>84.6</v>
      </c>
      <c r="DI49" s="88">
        <v>88.3</v>
      </c>
      <c r="DJ49" s="88">
        <v>89.2</v>
      </c>
      <c r="DK49" s="88">
        <v>15.6</v>
      </c>
      <c r="DL49" s="88">
        <v>18</v>
      </c>
      <c r="DM49" s="88">
        <v>19.5</v>
      </c>
      <c r="DN49" s="88">
        <v>19.555143651529193</v>
      </c>
      <c r="DO49" s="88">
        <v>23.2</v>
      </c>
      <c r="DP49" s="88">
        <v>29.4</v>
      </c>
      <c r="DQ49" s="88">
        <v>37.700000000000003</v>
      </c>
      <c r="DR49" s="88">
        <v>40.700000000000003</v>
      </c>
      <c r="DS49" s="88">
        <v>32.258064516129032</v>
      </c>
      <c r="DT49" s="88">
        <v>33.48909657320872</v>
      </c>
      <c r="DU49" s="88">
        <v>33.514752219994271</v>
      </c>
      <c r="DV49" s="88">
        <v>30.888030888030887</v>
      </c>
      <c r="DW49" s="54">
        <v>206</v>
      </c>
      <c r="DX49" s="54">
        <v>3</v>
      </c>
      <c r="DY49" s="51">
        <v>0</v>
      </c>
      <c r="DZ49" s="53">
        <v>1</v>
      </c>
      <c r="EA49" s="53">
        <v>12</v>
      </c>
      <c r="EB49" s="53">
        <v>4</v>
      </c>
      <c r="EC49" s="53">
        <v>6</v>
      </c>
      <c r="ED49" s="51">
        <v>5</v>
      </c>
      <c r="EE49" s="53">
        <v>4</v>
      </c>
      <c r="EF49" s="53">
        <v>1248</v>
      </c>
      <c r="EG49" s="53">
        <v>1296</v>
      </c>
      <c r="EH49" s="53">
        <v>1191</v>
      </c>
      <c r="EI49" s="53">
        <v>1189</v>
      </c>
      <c r="EJ49" s="92">
        <v>229</v>
      </c>
      <c r="EK49" s="92">
        <v>0</v>
      </c>
      <c r="EL49" s="92">
        <v>0</v>
      </c>
      <c r="EM49" s="92">
        <v>1</v>
      </c>
      <c r="EN49" s="92">
        <v>2</v>
      </c>
      <c r="EO49" s="88">
        <v>1109.1460108959375</v>
      </c>
      <c r="EP49" s="88">
        <v>1197.2396973644097</v>
      </c>
      <c r="EQ49" s="88">
        <v>1139.745638630774</v>
      </c>
      <c r="ER49" s="88">
        <v>1162.8897079395199</v>
      </c>
      <c r="ES49" s="88">
        <v>717.6</v>
      </c>
      <c r="ET49" s="88">
        <v>729.3</v>
      </c>
      <c r="EU49" s="88">
        <v>644.1</v>
      </c>
      <c r="EV49" s="88">
        <v>623.1</v>
      </c>
      <c r="EW49" s="88">
        <v>967.89169511135901</v>
      </c>
      <c r="EX49" s="88">
        <v>905.04067291562524</v>
      </c>
      <c r="EY49" s="88">
        <v>844.15059116496138</v>
      </c>
      <c r="EZ49" s="88">
        <v>757.55770716897393</v>
      </c>
      <c r="FA49" s="88">
        <v>556.72624158343706</v>
      </c>
      <c r="FB49" s="88">
        <v>612.94302620552537</v>
      </c>
      <c r="FC49" s="88">
        <v>495.70018196996136</v>
      </c>
      <c r="FD49" s="88">
        <v>519.78114490140842</v>
      </c>
      <c r="FE49" s="51">
        <v>302</v>
      </c>
      <c r="FF49" s="54">
        <v>320</v>
      </c>
      <c r="FG49" s="54">
        <v>283</v>
      </c>
      <c r="FH49" s="54">
        <v>272</v>
      </c>
      <c r="FI49" s="88">
        <v>187.65530000000001</v>
      </c>
      <c r="FJ49" s="88">
        <v>194.37309999999999</v>
      </c>
      <c r="FK49" s="88">
        <v>163.04689999999999</v>
      </c>
      <c r="FL49" s="88">
        <v>154.49</v>
      </c>
      <c r="FM49" s="54">
        <v>419</v>
      </c>
      <c r="FN49" s="54">
        <v>392</v>
      </c>
      <c r="FO49" s="51">
        <v>351</v>
      </c>
      <c r="FP49" s="54">
        <v>336</v>
      </c>
      <c r="FQ49" s="88">
        <v>229.76009999999999</v>
      </c>
      <c r="FR49" s="88">
        <v>202.42189999999999</v>
      </c>
      <c r="FS49" s="88">
        <v>174.44749999999999</v>
      </c>
      <c r="FT49" s="88">
        <v>155.8023</v>
      </c>
      <c r="FU49" s="53">
        <v>91</v>
      </c>
      <c r="FV49" s="53">
        <v>73</v>
      </c>
      <c r="FW49" s="53">
        <v>50</v>
      </c>
      <c r="FX49" s="53">
        <v>59</v>
      </c>
      <c r="FY49" s="88">
        <v>48.60613</v>
      </c>
      <c r="FZ49" s="88">
        <v>36.058430000000001</v>
      </c>
      <c r="GA49" s="88">
        <v>22.542349999999999</v>
      </c>
      <c r="GB49" s="88">
        <v>26.455950000000001</v>
      </c>
      <c r="GC49" s="55">
        <v>41</v>
      </c>
      <c r="GD49" s="56">
        <v>50</v>
      </c>
      <c r="GE49" s="55">
        <v>50</v>
      </c>
      <c r="GF49" s="55">
        <v>48</v>
      </c>
      <c r="GG49" s="91">
        <v>31.40776</v>
      </c>
      <c r="GH49" s="91">
        <v>39.285739999999997</v>
      </c>
      <c r="GI49" s="91">
        <v>36.232939999999999</v>
      </c>
      <c r="GJ49" s="91">
        <v>31.725460000000002</v>
      </c>
      <c r="GK49" s="55"/>
      <c r="GL49" s="55"/>
      <c r="GM49" s="55"/>
      <c r="GN49" s="56"/>
      <c r="GO49" s="55"/>
      <c r="GP49" s="55"/>
      <c r="GQ49" s="55"/>
      <c r="GR49" s="55"/>
      <c r="GS49" s="56"/>
      <c r="GT49" s="55"/>
      <c r="GU49" s="55"/>
      <c r="GV49" s="55"/>
      <c r="GW49" s="55"/>
      <c r="GX49" s="56"/>
      <c r="GY49" s="56"/>
      <c r="GZ49" s="56"/>
      <c r="HA49" s="56"/>
      <c r="HB49" s="56"/>
      <c r="HC49" s="56"/>
      <c r="HD49" s="57"/>
      <c r="HE49" s="57"/>
      <c r="HF49" s="57"/>
      <c r="HG49" s="57"/>
      <c r="HH49" s="57"/>
      <c r="HI49" s="58"/>
      <c r="HJ49" s="58"/>
      <c r="HK49" s="55"/>
      <c r="HL49" s="56"/>
      <c r="HM49" s="56"/>
      <c r="HN49" s="56"/>
      <c r="HO49" s="56"/>
      <c r="HP49" s="56"/>
      <c r="HQ49" s="56"/>
      <c r="HR49" s="56"/>
      <c r="HS49" s="56"/>
      <c r="HT49" s="56"/>
      <c r="HU49" s="38"/>
    </row>
    <row r="50" spans="1:229" ht="21" customHeight="1" x14ac:dyDescent="0.2">
      <c r="A50" s="36">
        <v>47</v>
      </c>
      <c r="B50" s="70" t="s">
        <v>103</v>
      </c>
      <c r="C50" s="77">
        <v>23143</v>
      </c>
      <c r="D50" s="77">
        <v>23154</v>
      </c>
      <c r="E50" s="77">
        <v>23300</v>
      </c>
      <c r="F50" s="77">
        <v>23265</v>
      </c>
      <c r="G50" s="150">
        <v>23061</v>
      </c>
      <c r="H50" s="41">
        <v>22659</v>
      </c>
      <c r="I50" s="41">
        <v>101</v>
      </c>
      <c r="J50" s="41">
        <v>54</v>
      </c>
      <c r="K50" s="41">
        <v>95</v>
      </c>
      <c r="L50" s="41">
        <v>751</v>
      </c>
      <c r="M50" s="42">
        <v>9193</v>
      </c>
      <c r="N50" s="43">
        <v>9218</v>
      </c>
      <c r="O50" s="43">
        <v>9176</v>
      </c>
      <c r="P50" s="44">
        <v>9181</v>
      </c>
      <c r="Q50" s="44">
        <v>9153</v>
      </c>
      <c r="R50" s="87">
        <v>24.974769561999597</v>
      </c>
      <c r="S50" s="87">
        <v>26.888029821897003</v>
      </c>
      <c r="T50" s="87">
        <v>26.34833390587427</v>
      </c>
      <c r="U50" s="87">
        <v>27.179239423010561</v>
      </c>
      <c r="V50" s="87">
        <v>27.976523197316936</v>
      </c>
      <c r="W50" s="87">
        <v>30.734037542891745</v>
      </c>
      <c r="X50" s="87">
        <v>32.949054259284829</v>
      </c>
      <c r="Y50" s="87">
        <v>33.734111989007211</v>
      </c>
      <c r="Z50" s="87">
        <v>33.390848229691493</v>
      </c>
      <c r="AA50" s="42">
        <v>33.153996646171045</v>
      </c>
      <c r="AB50" s="87">
        <v>55.708807104891342</v>
      </c>
      <c r="AC50" s="87">
        <v>59.837084081181828</v>
      </c>
      <c r="AD50" s="87">
        <v>60.082445894881481</v>
      </c>
      <c r="AE50" s="87">
        <v>60.57008765270205</v>
      </c>
      <c r="AF50" s="87">
        <v>61.130519843487981</v>
      </c>
      <c r="AG50" s="44">
        <v>6.544440015942607</v>
      </c>
      <c r="AH50" s="44">
        <v>9.914272106683601</v>
      </c>
      <c r="AI50" s="44">
        <v>8.8559722659943265</v>
      </c>
      <c r="AJ50" s="43">
        <v>8.0282696736282055</v>
      </c>
      <c r="AK50" s="43">
        <v>6.6356320025248543</v>
      </c>
      <c r="AL50" s="47">
        <v>430.83333333333331</v>
      </c>
      <c r="AM50" s="47">
        <v>564.08333333333337</v>
      </c>
      <c r="AN50" s="47">
        <v>430.83333333333331</v>
      </c>
      <c r="AO50" s="47">
        <v>808.16666666666663</v>
      </c>
      <c r="AP50" s="47">
        <v>836.91666666666663</v>
      </c>
      <c r="AQ50" s="47">
        <v>35611.64503712226</v>
      </c>
      <c r="AR50" s="47">
        <v>34303.027592109822</v>
      </c>
      <c r="AS50" s="47">
        <v>35692.794011676269</v>
      </c>
      <c r="AT50" s="47">
        <v>36472.475394685971</v>
      </c>
      <c r="AU50" s="47">
        <v>39463.03282598326</v>
      </c>
      <c r="AV50" s="84">
        <v>55033.584410946161</v>
      </c>
      <c r="AW50" s="85">
        <v>55447.521066754511</v>
      </c>
      <c r="AX50" s="85">
        <v>52418.800036408298</v>
      </c>
      <c r="AY50" s="85">
        <v>52360.251790031754</v>
      </c>
      <c r="AZ50" s="85">
        <v>50174</v>
      </c>
      <c r="BA50" s="83">
        <v>9.0571542235777756</v>
      </c>
      <c r="BB50" s="83">
        <v>9.2404279777168625</v>
      </c>
      <c r="BC50" s="83">
        <v>8.9312178537180724</v>
      </c>
      <c r="BD50" s="83">
        <v>9.2806006635236606</v>
      </c>
      <c r="BE50" s="83">
        <v>11.971117862017348</v>
      </c>
      <c r="BF50" s="83">
        <v>10.832570905763953</v>
      </c>
      <c r="BG50" s="46">
        <v>11.636873466526463</v>
      </c>
      <c r="BH50" s="46">
        <v>12.398968185726568</v>
      </c>
      <c r="BI50" s="46">
        <v>12.849939141018954</v>
      </c>
      <c r="BJ50" s="46">
        <v>14.873979410720624</v>
      </c>
      <c r="BK50" s="42">
        <v>3519</v>
      </c>
      <c r="BL50" s="42">
        <v>3465</v>
      </c>
      <c r="BM50" s="40">
        <v>3416</v>
      </c>
      <c r="BN50" s="40">
        <v>3418</v>
      </c>
      <c r="BO50" s="43">
        <v>40.09661835748792</v>
      </c>
      <c r="BP50" s="43">
        <v>41.18326118326118</v>
      </c>
      <c r="BQ50" s="44">
        <v>40.515222482435597</v>
      </c>
      <c r="BR50" s="44">
        <v>41.574019894675246</v>
      </c>
      <c r="BS50" s="87">
        <v>1.1935208866155158</v>
      </c>
      <c r="BT50" s="87">
        <v>1.1255411255411256</v>
      </c>
      <c r="BU50" s="87">
        <v>0.96604215456674469</v>
      </c>
      <c r="BV50" s="87">
        <v>1.2287887653598595</v>
      </c>
      <c r="BW50" s="43">
        <v>14.151747655583973</v>
      </c>
      <c r="BX50" s="43">
        <v>13.997113997113997</v>
      </c>
      <c r="BY50" s="43">
        <v>13.846604215456674</v>
      </c>
      <c r="BZ50" s="43">
        <v>13.34113516676419</v>
      </c>
      <c r="CA50" s="42">
        <v>89.297658862876247</v>
      </c>
      <c r="CB50" s="42">
        <v>92.682926829268297</v>
      </c>
      <c r="CC50" s="42">
        <v>87.79</v>
      </c>
      <c r="CD50" s="44">
        <v>88.93</v>
      </c>
      <c r="CE50" s="43">
        <v>1.0033444816053512</v>
      </c>
      <c r="CF50" s="43">
        <v>0.34843205574912894</v>
      </c>
      <c r="CG50" s="43">
        <v>3.05</v>
      </c>
      <c r="CH50" s="44">
        <v>2.58</v>
      </c>
      <c r="CI50" s="49">
        <v>1299</v>
      </c>
      <c r="CJ50" s="49">
        <v>1450</v>
      </c>
      <c r="CK50" s="54">
        <v>1587</v>
      </c>
      <c r="CL50" s="54">
        <v>1461</v>
      </c>
      <c r="CM50" s="88">
        <v>12.2</v>
      </c>
      <c r="CN50" s="88">
        <v>13</v>
      </c>
      <c r="CO50" s="88">
        <v>13.6</v>
      </c>
      <c r="CP50" s="88">
        <v>12.6</v>
      </c>
      <c r="CQ50" s="53">
        <v>50</v>
      </c>
      <c r="CR50" s="53">
        <v>62</v>
      </c>
      <c r="CS50" s="53">
        <v>70</v>
      </c>
      <c r="CT50" s="53">
        <v>66</v>
      </c>
      <c r="CU50" s="88">
        <v>3.9</v>
      </c>
      <c r="CV50" s="88">
        <v>4.4000000000000004</v>
      </c>
      <c r="CW50" s="88">
        <v>4.5</v>
      </c>
      <c r="CX50" s="88">
        <v>4.5999999999999996</v>
      </c>
      <c r="CY50" s="51">
        <v>93</v>
      </c>
      <c r="CZ50" s="53">
        <v>94</v>
      </c>
      <c r="DA50" s="53">
        <v>109</v>
      </c>
      <c r="DB50" s="53">
        <v>107</v>
      </c>
      <c r="DC50" s="88">
        <v>7.8</v>
      </c>
      <c r="DD50" s="88">
        <v>7.1</v>
      </c>
      <c r="DE50" s="88">
        <v>7.5</v>
      </c>
      <c r="DF50" s="88">
        <v>7.9</v>
      </c>
      <c r="DG50" s="88">
        <v>83.6</v>
      </c>
      <c r="DH50" s="88">
        <v>81.7</v>
      </c>
      <c r="DI50" s="88">
        <v>83</v>
      </c>
      <c r="DJ50" s="88">
        <v>85.1</v>
      </c>
      <c r="DK50" s="88">
        <v>14.9</v>
      </c>
      <c r="DL50" s="88">
        <v>16.7</v>
      </c>
      <c r="DM50" s="88">
        <v>16.600000000000001</v>
      </c>
      <c r="DN50" s="88">
        <v>15.532646048109966</v>
      </c>
      <c r="DO50" s="88">
        <v>21.6</v>
      </c>
      <c r="DP50" s="88">
        <v>22.8</v>
      </c>
      <c r="DQ50" s="88">
        <v>25.5</v>
      </c>
      <c r="DR50" s="88">
        <v>23.2</v>
      </c>
      <c r="DS50" s="88">
        <v>33.101975440469836</v>
      </c>
      <c r="DT50" s="88">
        <v>30.429732868757259</v>
      </c>
      <c r="DU50" s="88">
        <v>33.782067564135126</v>
      </c>
      <c r="DV50" s="88">
        <v>21.350259665320255</v>
      </c>
      <c r="DW50" s="54">
        <v>258</v>
      </c>
      <c r="DX50" s="54">
        <v>1</v>
      </c>
      <c r="DY50" s="51">
        <v>0</v>
      </c>
      <c r="DZ50" s="53">
        <v>3</v>
      </c>
      <c r="EA50" s="53">
        <v>7</v>
      </c>
      <c r="EB50" s="53">
        <v>4</v>
      </c>
      <c r="EC50" s="53">
        <v>5</v>
      </c>
      <c r="ED50" s="51">
        <v>7</v>
      </c>
      <c r="EE50" s="53">
        <v>7</v>
      </c>
      <c r="EF50" s="53">
        <v>1089</v>
      </c>
      <c r="EG50" s="53">
        <v>1148</v>
      </c>
      <c r="EH50" s="53">
        <v>1130</v>
      </c>
      <c r="EI50" s="53">
        <v>1074</v>
      </c>
      <c r="EJ50" s="92">
        <v>224</v>
      </c>
      <c r="EK50" s="92">
        <v>0</v>
      </c>
      <c r="EL50" s="92">
        <v>1</v>
      </c>
      <c r="EM50" s="92">
        <v>0</v>
      </c>
      <c r="EN50" s="92">
        <v>0</v>
      </c>
      <c r="EO50" s="88">
        <v>1024.2374650828137</v>
      </c>
      <c r="EP50" s="88">
        <v>1026.7417941150165</v>
      </c>
      <c r="EQ50" s="88">
        <v>970.21525040998029</v>
      </c>
      <c r="ER50" s="88">
        <v>914.25986948375009</v>
      </c>
      <c r="ES50" s="88">
        <v>773.5</v>
      </c>
      <c r="ET50" s="88">
        <v>765.9</v>
      </c>
      <c r="EU50" s="88">
        <v>702.6</v>
      </c>
      <c r="EV50" s="88">
        <v>653.20000000000005</v>
      </c>
      <c r="EW50" s="88">
        <v>965.24980291179429</v>
      </c>
      <c r="EX50" s="88">
        <v>944.70235950849496</v>
      </c>
      <c r="EY50" s="88">
        <v>849.94648942805929</v>
      </c>
      <c r="EZ50" s="88">
        <v>786.55740037042051</v>
      </c>
      <c r="FA50" s="88">
        <v>621.49436015439642</v>
      </c>
      <c r="FB50" s="88">
        <v>630.56846807771126</v>
      </c>
      <c r="FC50" s="88">
        <v>576.30826537185396</v>
      </c>
      <c r="FD50" s="88">
        <v>531.94238554413266</v>
      </c>
      <c r="FE50" s="51">
        <v>242</v>
      </c>
      <c r="FF50" s="54">
        <v>262</v>
      </c>
      <c r="FG50" s="54">
        <v>256</v>
      </c>
      <c r="FH50" s="54">
        <v>236</v>
      </c>
      <c r="FI50" s="88">
        <v>175.6721</v>
      </c>
      <c r="FJ50" s="88">
        <v>188.8331</v>
      </c>
      <c r="FK50" s="88">
        <v>172.7432</v>
      </c>
      <c r="FL50" s="88">
        <v>149.36689999999999</v>
      </c>
      <c r="FM50" s="54">
        <v>352</v>
      </c>
      <c r="FN50" s="54">
        <v>314</v>
      </c>
      <c r="FO50" s="51">
        <v>253</v>
      </c>
      <c r="FP50" s="54">
        <v>219</v>
      </c>
      <c r="FQ50" s="88">
        <v>244.5907</v>
      </c>
      <c r="FR50" s="88">
        <v>199.15090000000001</v>
      </c>
      <c r="FS50" s="88">
        <v>149.0916</v>
      </c>
      <c r="FT50" s="88">
        <v>126.9046</v>
      </c>
      <c r="FU50" s="53">
        <v>112</v>
      </c>
      <c r="FV50" s="53">
        <v>103</v>
      </c>
      <c r="FW50" s="53">
        <v>90</v>
      </c>
      <c r="FX50" s="53">
        <v>58</v>
      </c>
      <c r="FY50" s="88">
        <v>75.078270000000003</v>
      </c>
      <c r="FZ50" s="88">
        <v>63.640929999999997</v>
      </c>
      <c r="GA50" s="88">
        <v>50.404730000000001</v>
      </c>
      <c r="GB50" s="88">
        <v>32.161909999999999</v>
      </c>
      <c r="GC50" s="55">
        <v>49</v>
      </c>
      <c r="GD50" s="56">
        <v>57</v>
      </c>
      <c r="GE50" s="55">
        <v>54</v>
      </c>
      <c r="GF50" s="55">
        <v>57</v>
      </c>
      <c r="GG50" s="91">
        <v>43.066160000000004</v>
      </c>
      <c r="GH50" s="91">
        <v>46.262360000000001</v>
      </c>
      <c r="GI50" s="91">
        <v>39.539819999999999</v>
      </c>
      <c r="GJ50" s="91">
        <v>41.158380000000001</v>
      </c>
      <c r="GK50" s="55"/>
      <c r="GL50" s="55"/>
      <c r="GM50" s="55"/>
      <c r="GN50" s="56"/>
      <c r="GO50" s="55"/>
      <c r="GP50" s="55"/>
      <c r="GQ50" s="55"/>
      <c r="GR50" s="55"/>
      <c r="GS50" s="56"/>
      <c r="GT50" s="55"/>
      <c r="GU50" s="55"/>
      <c r="GV50" s="55"/>
      <c r="GW50" s="55"/>
      <c r="GX50" s="56"/>
      <c r="GY50" s="56"/>
      <c r="GZ50" s="56"/>
      <c r="HA50" s="56"/>
      <c r="HB50" s="56"/>
      <c r="HC50" s="56"/>
      <c r="HD50" s="57"/>
      <c r="HE50" s="57"/>
      <c r="HF50" s="57"/>
      <c r="HG50" s="57"/>
      <c r="HH50" s="57"/>
      <c r="HI50" s="58"/>
      <c r="HJ50" s="58"/>
      <c r="HK50" s="55"/>
      <c r="HL50" s="56"/>
      <c r="HM50" s="56"/>
      <c r="HN50" s="56"/>
      <c r="HO50" s="56"/>
      <c r="HP50" s="56"/>
      <c r="HQ50" s="56"/>
      <c r="HR50" s="56"/>
      <c r="HS50" s="56"/>
      <c r="HT50" s="56"/>
      <c r="HU50" s="38"/>
    </row>
    <row r="51" spans="1:229" x14ac:dyDescent="0.2">
      <c r="A51" s="36">
        <v>48</v>
      </c>
      <c r="B51" s="70" t="s">
        <v>104</v>
      </c>
      <c r="C51" s="77">
        <v>26377</v>
      </c>
      <c r="D51" s="77">
        <v>26383</v>
      </c>
      <c r="E51" s="77">
        <v>26097</v>
      </c>
      <c r="F51" s="77">
        <v>25979</v>
      </c>
      <c r="G51" s="150">
        <v>25740</v>
      </c>
      <c r="H51" s="41">
        <v>23520</v>
      </c>
      <c r="I51" s="41">
        <v>109</v>
      </c>
      <c r="J51" s="41">
        <v>1515</v>
      </c>
      <c r="K51" s="41">
        <v>118</v>
      </c>
      <c r="L51" s="41">
        <v>412</v>
      </c>
      <c r="M51" s="42">
        <v>10500</v>
      </c>
      <c r="N51" s="43">
        <v>10521</v>
      </c>
      <c r="O51" s="43">
        <v>10166</v>
      </c>
      <c r="P51" s="44">
        <v>10155</v>
      </c>
      <c r="Q51" s="44">
        <v>10099</v>
      </c>
      <c r="R51" s="87">
        <v>25.563421828908556</v>
      </c>
      <c r="S51" s="87">
        <v>26.286433969053615</v>
      </c>
      <c r="T51" s="87">
        <v>25.597955084900494</v>
      </c>
      <c r="U51" s="87">
        <v>26.050986640519671</v>
      </c>
      <c r="V51" s="87">
        <v>27.003852367341867</v>
      </c>
      <c r="W51" s="87">
        <v>30.053097345132745</v>
      </c>
      <c r="X51" s="87">
        <v>31.941945543960657</v>
      </c>
      <c r="Y51" s="87">
        <v>33.229870366989225</v>
      </c>
      <c r="Z51" s="87">
        <v>33.153572741757571</v>
      </c>
      <c r="AA51" s="42">
        <v>32.931527277246175</v>
      </c>
      <c r="AB51" s="87">
        <v>55.616519174041301</v>
      </c>
      <c r="AC51" s="87">
        <v>58.228379513014275</v>
      </c>
      <c r="AD51" s="87">
        <v>58.827825451889723</v>
      </c>
      <c r="AE51" s="87">
        <v>59.204559382277239</v>
      </c>
      <c r="AF51" s="87">
        <v>59.935379644588046</v>
      </c>
      <c r="AG51" s="44">
        <v>8.963676077987218</v>
      </c>
      <c r="AH51" s="44">
        <v>13.014576325484542</v>
      </c>
      <c r="AI51" s="44">
        <v>12.02145818093148</v>
      </c>
      <c r="AJ51" s="43">
        <v>10.716943686430167</v>
      </c>
      <c r="AK51" s="43">
        <v>8.8493456750718167</v>
      </c>
      <c r="AL51" s="47">
        <v>644.58333333333337</v>
      </c>
      <c r="AM51" s="47">
        <v>789.08333333333337</v>
      </c>
      <c r="AN51" s="47">
        <v>644.58333333333337</v>
      </c>
      <c r="AO51" s="47">
        <v>1142.0833333333333</v>
      </c>
      <c r="AP51" s="47">
        <v>1263.4166666666667</v>
      </c>
      <c r="AQ51" s="47">
        <v>28729.714696855797</v>
      </c>
      <c r="AR51" s="47">
        <v>28692.857036500562</v>
      </c>
      <c r="AS51" s="47">
        <v>28803.176001381482</v>
      </c>
      <c r="AT51" s="47">
        <v>29392.569948223765</v>
      </c>
      <c r="AU51" s="47">
        <v>30839.432789432791</v>
      </c>
      <c r="AV51" s="84">
        <v>49282.613229574425</v>
      </c>
      <c r="AW51" s="85">
        <v>46155.076886510367</v>
      </c>
      <c r="AX51" s="85">
        <v>44163.870896816443</v>
      </c>
      <c r="AY51" s="85">
        <v>44047.772198265469</v>
      </c>
      <c r="AZ51" s="85">
        <v>45101</v>
      </c>
      <c r="BA51" s="83">
        <v>12.256515509429578</v>
      </c>
      <c r="BB51" s="83">
        <v>13.367429966290828</v>
      </c>
      <c r="BC51" s="83">
        <v>13.104070977113022</v>
      </c>
      <c r="BD51" s="83">
        <v>13.157998501636371</v>
      </c>
      <c r="BE51" s="83">
        <v>13.141561231797565</v>
      </c>
      <c r="BF51" s="83">
        <v>14.337628014535843</v>
      </c>
      <c r="BG51" s="46">
        <v>18.030973451327434</v>
      </c>
      <c r="BH51" s="46">
        <v>18.329137822529894</v>
      </c>
      <c r="BI51" s="46">
        <v>18.856505813027553</v>
      </c>
      <c r="BJ51" s="46">
        <v>18.112657818064097</v>
      </c>
      <c r="BK51" s="42">
        <v>6539</v>
      </c>
      <c r="BL51" s="42">
        <v>6514</v>
      </c>
      <c r="BM51" s="40">
        <v>6440</v>
      </c>
      <c r="BN51" s="40">
        <v>6344</v>
      </c>
      <c r="BO51" s="43">
        <v>38.323902737421626</v>
      </c>
      <c r="BP51" s="43">
        <v>40.574147988946883</v>
      </c>
      <c r="BQ51" s="44">
        <v>39.813664596273291</v>
      </c>
      <c r="BR51" s="44">
        <v>40.889029003783101</v>
      </c>
      <c r="BS51" s="87">
        <v>0.29056430646887904</v>
      </c>
      <c r="BT51" s="87">
        <v>0.23027325759901751</v>
      </c>
      <c r="BU51" s="87">
        <v>0.41925465838509318</v>
      </c>
      <c r="BV51" s="87">
        <v>0.31525851197982346</v>
      </c>
      <c r="BW51" s="43">
        <v>15.017586786970485</v>
      </c>
      <c r="BX51" s="43">
        <v>14.860300890389929</v>
      </c>
      <c r="BY51" s="43">
        <v>15.295031055900621</v>
      </c>
      <c r="BZ51" s="43">
        <v>16.156998738965953</v>
      </c>
      <c r="CA51" s="42">
        <v>77.739726027397253</v>
      </c>
      <c r="CB51" s="42">
        <v>77.966101694915253</v>
      </c>
      <c r="CC51" s="42">
        <v>79.89</v>
      </c>
      <c r="CD51" s="44">
        <v>80.790000000000006</v>
      </c>
      <c r="CE51" s="43">
        <v>4.6232876712328768</v>
      </c>
      <c r="CF51" s="43">
        <v>7.1563088512241055</v>
      </c>
      <c r="CG51" s="43">
        <v>5.88</v>
      </c>
      <c r="CH51" s="44">
        <v>6.26</v>
      </c>
      <c r="CI51" s="49">
        <v>1247</v>
      </c>
      <c r="CJ51" s="49">
        <v>1403</v>
      </c>
      <c r="CK51" s="54">
        <v>1798</v>
      </c>
      <c r="CL51" s="54">
        <v>1736</v>
      </c>
      <c r="CM51" s="88">
        <v>12.5</v>
      </c>
      <c r="CN51" s="88">
        <v>12.6</v>
      </c>
      <c r="CO51" s="88">
        <v>14.1</v>
      </c>
      <c r="CP51" s="88">
        <v>13.3</v>
      </c>
      <c r="CQ51" s="53">
        <v>56</v>
      </c>
      <c r="CR51" s="53">
        <v>54</v>
      </c>
      <c r="CS51" s="53">
        <v>82</v>
      </c>
      <c r="CT51" s="53">
        <v>76</v>
      </c>
      <c r="CU51" s="88">
        <v>4.5999999999999996</v>
      </c>
      <c r="CV51" s="88">
        <v>3.9</v>
      </c>
      <c r="CW51" s="88">
        <v>4.7</v>
      </c>
      <c r="CX51" s="88">
        <v>4.5</v>
      </c>
      <c r="CY51" s="51">
        <v>96</v>
      </c>
      <c r="CZ51" s="53">
        <v>101</v>
      </c>
      <c r="DA51" s="53">
        <v>161</v>
      </c>
      <c r="DB51" s="53">
        <v>146</v>
      </c>
      <c r="DC51" s="88">
        <v>8.5</v>
      </c>
      <c r="DD51" s="88">
        <v>7.9</v>
      </c>
      <c r="DE51" s="88">
        <v>10.199999999999999</v>
      </c>
      <c r="DF51" s="88">
        <v>9.6999999999999993</v>
      </c>
      <c r="DG51" s="88">
        <v>82.4</v>
      </c>
      <c r="DH51" s="88">
        <v>83.8</v>
      </c>
      <c r="DI51" s="88">
        <v>86.1</v>
      </c>
      <c r="DJ51" s="88">
        <v>81.8</v>
      </c>
      <c r="DK51" s="88">
        <v>23.7</v>
      </c>
      <c r="DL51" s="88">
        <v>23.4</v>
      </c>
      <c r="DM51" s="88">
        <v>18.399999999999999</v>
      </c>
      <c r="DN51" s="88">
        <v>24.566473988439306</v>
      </c>
      <c r="DO51" s="88">
        <v>37.5</v>
      </c>
      <c r="DP51" s="88">
        <v>33.5</v>
      </c>
      <c r="DQ51" s="88">
        <v>36.200000000000003</v>
      </c>
      <c r="DR51" s="88">
        <v>43.8</v>
      </c>
      <c r="DS51" s="88">
        <v>49.504950495049506</v>
      </c>
      <c r="DT51" s="88">
        <v>40.114613180515761</v>
      </c>
      <c r="DU51" s="88">
        <v>37.169726824899236</v>
      </c>
      <c r="DV51" s="88">
        <v>39.603960396039604</v>
      </c>
      <c r="DW51" s="54">
        <v>324</v>
      </c>
      <c r="DX51" s="54">
        <v>0</v>
      </c>
      <c r="DY51" s="51">
        <v>35</v>
      </c>
      <c r="DZ51" s="53">
        <v>1</v>
      </c>
      <c r="EA51" s="53">
        <v>6</v>
      </c>
      <c r="EB51" s="53">
        <v>2</v>
      </c>
      <c r="EC51" s="53">
        <v>8</v>
      </c>
      <c r="ED51" s="51">
        <v>11</v>
      </c>
      <c r="EE51" s="53">
        <v>13</v>
      </c>
      <c r="EF51" s="53">
        <v>1151</v>
      </c>
      <c r="EG51" s="53">
        <v>1248</v>
      </c>
      <c r="EH51" s="53">
        <v>1231</v>
      </c>
      <c r="EI51" s="53">
        <v>1370</v>
      </c>
      <c r="EJ51" s="92">
        <v>265</v>
      </c>
      <c r="EK51" s="92">
        <v>1</v>
      </c>
      <c r="EL51" s="92">
        <v>10</v>
      </c>
      <c r="EM51" s="92">
        <v>1</v>
      </c>
      <c r="EN51" s="92">
        <v>1</v>
      </c>
      <c r="EO51" s="88">
        <v>1150.5972909481682</v>
      </c>
      <c r="EP51" s="88">
        <v>1121.2938005390836</v>
      </c>
      <c r="EQ51" s="88">
        <v>964.74110298670053</v>
      </c>
      <c r="ER51" s="88">
        <v>1041.6269220496777</v>
      </c>
      <c r="ES51" s="88">
        <v>874.5</v>
      </c>
      <c r="ET51" s="88">
        <v>857.4</v>
      </c>
      <c r="EU51" s="88">
        <v>761.9</v>
      </c>
      <c r="EV51" s="88">
        <v>799.4</v>
      </c>
      <c r="EW51" s="88">
        <v>1082.2778208120837</v>
      </c>
      <c r="EX51" s="88">
        <v>1013.8096086717659</v>
      </c>
      <c r="EY51" s="88">
        <v>946.08016392692707</v>
      </c>
      <c r="EZ51" s="88">
        <v>935.43658721347037</v>
      </c>
      <c r="FA51" s="88">
        <v>704.88104377502668</v>
      </c>
      <c r="FB51" s="88">
        <v>730.56995744118365</v>
      </c>
      <c r="FC51" s="88">
        <v>615.80309702861996</v>
      </c>
      <c r="FD51" s="88">
        <v>683.82823319931219</v>
      </c>
      <c r="FE51" s="51">
        <v>260</v>
      </c>
      <c r="FF51" s="54">
        <v>278</v>
      </c>
      <c r="FG51" s="54">
        <v>283</v>
      </c>
      <c r="FH51" s="54">
        <v>326</v>
      </c>
      <c r="FI51" s="88">
        <v>207.20240000000001</v>
      </c>
      <c r="FJ51" s="88">
        <v>198.24780000000001</v>
      </c>
      <c r="FK51" s="88">
        <v>186.0615</v>
      </c>
      <c r="FL51" s="88">
        <v>197.80090000000001</v>
      </c>
      <c r="FM51" s="54">
        <v>315</v>
      </c>
      <c r="FN51" s="54">
        <v>317</v>
      </c>
      <c r="FO51" s="51">
        <v>254</v>
      </c>
      <c r="FP51" s="54">
        <v>261</v>
      </c>
      <c r="FQ51" s="88">
        <v>236.2525</v>
      </c>
      <c r="FR51" s="88">
        <v>212.73689999999999</v>
      </c>
      <c r="FS51" s="88">
        <v>147.41990000000001</v>
      </c>
      <c r="FT51" s="88">
        <v>146.15729999999999</v>
      </c>
      <c r="FU51" s="53">
        <v>94</v>
      </c>
      <c r="FV51" s="53">
        <v>98</v>
      </c>
      <c r="FW51" s="53">
        <v>74</v>
      </c>
      <c r="FX51" s="53">
        <v>62</v>
      </c>
      <c r="FY51" s="88">
        <v>67.750450000000001</v>
      </c>
      <c r="FZ51" s="88">
        <v>64.483239999999995</v>
      </c>
      <c r="GA51" s="88">
        <v>43.39866</v>
      </c>
      <c r="GB51" s="88">
        <v>34.115690000000001</v>
      </c>
      <c r="GC51" s="55">
        <v>52</v>
      </c>
      <c r="GD51" s="56">
        <v>70</v>
      </c>
      <c r="GE51" s="55">
        <v>78</v>
      </c>
      <c r="GF51" s="55">
        <v>89</v>
      </c>
      <c r="GG51" s="91">
        <v>47.650210000000001</v>
      </c>
      <c r="GH51" s="91">
        <v>54.949390000000001</v>
      </c>
      <c r="GI51" s="91">
        <v>57.060130000000001</v>
      </c>
      <c r="GJ51" s="91">
        <v>60.90663</v>
      </c>
      <c r="GK51" s="55"/>
      <c r="GL51" s="55"/>
      <c r="GM51" s="55"/>
      <c r="GN51" s="56"/>
      <c r="GO51" s="55"/>
      <c r="GP51" s="55"/>
      <c r="GQ51" s="55"/>
      <c r="GR51" s="55"/>
      <c r="GS51" s="56"/>
      <c r="GT51" s="55"/>
      <c r="GU51" s="55"/>
      <c r="GV51" s="55"/>
      <c r="GW51" s="55"/>
      <c r="GX51" s="56"/>
      <c r="GY51" s="56"/>
      <c r="GZ51" s="56"/>
      <c r="HA51" s="56"/>
      <c r="HB51" s="56"/>
      <c r="HC51" s="56"/>
      <c r="HD51" s="57"/>
      <c r="HE51" s="57"/>
      <c r="HF51" s="57"/>
      <c r="HG51" s="57"/>
      <c r="HH51" s="57"/>
      <c r="HI51" s="58"/>
      <c r="HJ51" s="58"/>
      <c r="HK51" s="55"/>
      <c r="HL51" s="56"/>
      <c r="HM51" s="56"/>
      <c r="HN51" s="56"/>
      <c r="HO51" s="56"/>
      <c r="HP51" s="56"/>
      <c r="HQ51" s="56"/>
      <c r="HR51" s="56"/>
      <c r="HS51" s="56"/>
      <c r="HT51" s="56"/>
      <c r="HU51" s="38"/>
    </row>
    <row r="52" spans="1:229" x14ac:dyDescent="0.2">
      <c r="A52" s="36">
        <v>49</v>
      </c>
      <c r="B52" s="70" t="s">
        <v>105</v>
      </c>
      <c r="C52" s="77">
        <v>32893</v>
      </c>
      <c r="D52" s="77">
        <v>32883</v>
      </c>
      <c r="E52" s="77">
        <v>33198</v>
      </c>
      <c r="F52" s="77">
        <v>33229</v>
      </c>
      <c r="G52" s="150">
        <v>33052</v>
      </c>
      <c r="H52" s="41">
        <v>32292</v>
      </c>
      <c r="I52" s="41">
        <v>151</v>
      </c>
      <c r="J52" s="41">
        <v>98</v>
      </c>
      <c r="K52" s="41">
        <v>140</v>
      </c>
      <c r="L52" s="41">
        <v>463</v>
      </c>
      <c r="M52" s="42">
        <v>13023</v>
      </c>
      <c r="N52" s="43">
        <v>13101</v>
      </c>
      <c r="O52" s="43">
        <v>13080</v>
      </c>
      <c r="P52" s="44">
        <v>13142</v>
      </c>
      <c r="Q52" s="44">
        <v>13103</v>
      </c>
      <c r="R52" s="87">
        <v>23.957454783994002</v>
      </c>
      <c r="S52" s="87">
        <v>25.325421133231242</v>
      </c>
      <c r="T52" s="87">
        <v>25.201135825840037</v>
      </c>
      <c r="U52" s="87">
        <v>25.679829746985103</v>
      </c>
      <c r="V52" s="87">
        <v>26.364415658634154</v>
      </c>
      <c r="W52" s="87">
        <v>30.165870115265673</v>
      </c>
      <c r="X52" s="87">
        <v>32.039624808575802</v>
      </c>
      <c r="Y52" s="87">
        <v>31.911973497397067</v>
      </c>
      <c r="Z52" s="87">
        <v>31.468432253487823</v>
      </c>
      <c r="AA52" s="42">
        <v>31.04105152871702</v>
      </c>
      <c r="AB52" s="87">
        <v>54.123324899259678</v>
      </c>
      <c r="AC52" s="87">
        <v>57.365045941807047</v>
      </c>
      <c r="AD52" s="87">
        <v>57.113109323237104</v>
      </c>
      <c r="AE52" s="87">
        <v>57.148262000472926</v>
      </c>
      <c r="AF52" s="87">
        <v>57.405467187351178</v>
      </c>
      <c r="AG52" s="44">
        <v>7.4933799087272526</v>
      </c>
      <c r="AH52" s="44">
        <v>11.442840082510042</v>
      </c>
      <c r="AI52" s="44">
        <v>9.5427760803142725</v>
      </c>
      <c r="AJ52" s="43">
        <v>8.5030661410424884</v>
      </c>
      <c r="AK52" s="43">
        <v>7.1678519020205442</v>
      </c>
      <c r="AL52" s="47">
        <v>694.91666666666663</v>
      </c>
      <c r="AM52" s="47">
        <v>892.5</v>
      </c>
      <c r="AN52" s="47">
        <v>694.91666666666663</v>
      </c>
      <c r="AO52" s="47">
        <v>1337.4166666666667</v>
      </c>
      <c r="AP52" s="47">
        <v>1386</v>
      </c>
      <c r="AQ52" s="47">
        <v>33891.792868003744</v>
      </c>
      <c r="AR52" s="47">
        <v>32768.171263250879</v>
      </c>
      <c r="AS52" s="47">
        <v>33578.058609695239</v>
      </c>
      <c r="AT52" s="47">
        <v>34615.308138071661</v>
      </c>
      <c r="AU52" s="47">
        <v>35874.379765218444</v>
      </c>
      <c r="AV52" s="84">
        <v>48690.773992477945</v>
      </c>
      <c r="AW52" s="85">
        <v>48060.011890637346</v>
      </c>
      <c r="AX52" s="85">
        <v>45168.360998751472</v>
      </c>
      <c r="AY52" s="85">
        <v>45857.451264596712</v>
      </c>
      <c r="AZ52" s="85">
        <v>48387</v>
      </c>
      <c r="BA52" s="83">
        <v>13.27360314197171</v>
      </c>
      <c r="BB52" s="83">
        <v>13.735065573266992</v>
      </c>
      <c r="BC52" s="83">
        <v>13.364616978487415</v>
      </c>
      <c r="BD52" s="83">
        <v>12.129609891281177</v>
      </c>
      <c r="BE52" s="83">
        <v>11.752823432191718</v>
      </c>
      <c r="BF52" s="83">
        <v>15.428203477141018</v>
      </c>
      <c r="BG52" s="46">
        <v>15.91023069207623</v>
      </c>
      <c r="BH52" s="46">
        <v>18.405977584059777</v>
      </c>
      <c r="BI52" s="46">
        <v>16.823721573061942</v>
      </c>
      <c r="BJ52" s="46">
        <v>15.406269993602047</v>
      </c>
      <c r="BK52" s="42">
        <v>5189</v>
      </c>
      <c r="BL52" s="42">
        <v>5190</v>
      </c>
      <c r="BM52" s="40">
        <v>5216</v>
      </c>
      <c r="BN52" s="40">
        <v>5268</v>
      </c>
      <c r="BO52" s="43">
        <v>43.168240508768548</v>
      </c>
      <c r="BP52" s="43">
        <v>41.078998073217726</v>
      </c>
      <c r="BQ52" s="44">
        <v>41.602760736196316</v>
      </c>
      <c r="BR52" s="44">
        <v>42.122247532270315</v>
      </c>
      <c r="BS52" s="87">
        <v>0.52033147041819228</v>
      </c>
      <c r="BT52" s="87">
        <v>0.40462427745664742</v>
      </c>
      <c r="BU52" s="87">
        <v>0.44095092024539878</v>
      </c>
      <c r="BV52" s="87">
        <v>0.5315110098709187</v>
      </c>
      <c r="BW52" s="43">
        <v>15.282328001541723</v>
      </c>
      <c r="BX52" s="43">
        <v>15.722543352601155</v>
      </c>
      <c r="BY52" s="43">
        <v>15.22239263803681</v>
      </c>
      <c r="BZ52" s="43">
        <v>15.394836750189825</v>
      </c>
      <c r="CA52" s="42">
        <v>83.191489361702125</v>
      </c>
      <c r="CB52" s="42">
        <v>81.609195402298852</v>
      </c>
      <c r="CC52" s="42">
        <v>84.88</v>
      </c>
      <c r="CD52" s="44">
        <v>87.74</v>
      </c>
      <c r="CE52" s="43">
        <v>4.8936170212765955</v>
      </c>
      <c r="CF52" s="43">
        <v>4.1379310344827589</v>
      </c>
      <c r="CG52" s="43">
        <v>3.49</v>
      </c>
      <c r="CH52" s="44">
        <v>2.4</v>
      </c>
      <c r="CI52" s="49">
        <v>1992</v>
      </c>
      <c r="CJ52" s="49">
        <v>2020</v>
      </c>
      <c r="CK52" s="54">
        <v>2167</v>
      </c>
      <c r="CL52" s="54">
        <v>2063</v>
      </c>
      <c r="CM52" s="88">
        <v>13.2</v>
      </c>
      <c r="CN52" s="88">
        <v>12.8</v>
      </c>
      <c r="CO52" s="88">
        <v>13.2</v>
      </c>
      <c r="CP52" s="88">
        <v>12.5</v>
      </c>
      <c r="CQ52" s="53">
        <v>66</v>
      </c>
      <c r="CR52" s="53">
        <v>96</v>
      </c>
      <c r="CS52" s="53">
        <v>111</v>
      </c>
      <c r="CT52" s="53">
        <v>90</v>
      </c>
      <c r="CU52" s="88">
        <v>3.4</v>
      </c>
      <c r="CV52" s="88">
        <v>4.9000000000000004</v>
      </c>
      <c r="CW52" s="88">
        <v>5.3</v>
      </c>
      <c r="CX52" s="88">
        <v>4.5</v>
      </c>
      <c r="CY52" s="51">
        <v>123</v>
      </c>
      <c r="CZ52" s="53">
        <v>158</v>
      </c>
      <c r="DA52" s="53">
        <v>183</v>
      </c>
      <c r="DB52" s="53">
        <v>172</v>
      </c>
      <c r="DC52" s="88">
        <v>6.4</v>
      </c>
      <c r="DD52" s="88">
        <v>8.1999999999999993</v>
      </c>
      <c r="DE52" s="88">
        <v>9</v>
      </c>
      <c r="DF52" s="88">
        <v>8.8000000000000007</v>
      </c>
      <c r="DG52" s="88">
        <v>87.3</v>
      </c>
      <c r="DH52" s="88">
        <v>90.3</v>
      </c>
      <c r="DI52" s="88">
        <v>90.4</v>
      </c>
      <c r="DJ52" s="88">
        <v>89.7</v>
      </c>
      <c r="DK52" s="88">
        <v>25.7</v>
      </c>
      <c r="DL52" s="88">
        <v>21.2</v>
      </c>
      <c r="DM52" s="88">
        <v>21.2</v>
      </c>
      <c r="DN52" s="88">
        <v>19.281204468188442</v>
      </c>
      <c r="DO52" s="88">
        <v>25.1</v>
      </c>
      <c r="DP52" s="88">
        <v>29.7</v>
      </c>
      <c r="DQ52" s="88">
        <v>31.7</v>
      </c>
      <c r="DR52" s="88">
        <v>32.4</v>
      </c>
      <c r="DS52" s="88">
        <v>36.870671907168258</v>
      </c>
      <c r="DT52" s="88">
        <v>34.846029173419772</v>
      </c>
      <c r="DU52" s="88">
        <v>29.199530122503777</v>
      </c>
      <c r="DV52" s="88">
        <v>22.842164388691256</v>
      </c>
      <c r="DW52" s="54">
        <v>370</v>
      </c>
      <c r="DX52" s="54">
        <v>2</v>
      </c>
      <c r="DY52" s="51">
        <v>2</v>
      </c>
      <c r="DZ52" s="53">
        <v>1</v>
      </c>
      <c r="EA52" s="53">
        <v>12</v>
      </c>
      <c r="EB52" s="53">
        <v>12</v>
      </c>
      <c r="EC52" s="53">
        <v>13</v>
      </c>
      <c r="ED52" s="51">
        <v>14</v>
      </c>
      <c r="EE52" s="53">
        <v>13</v>
      </c>
      <c r="EF52" s="53">
        <v>1433</v>
      </c>
      <c r="EG52" s="53">
        <v>1508</v>
      </c>
      <c r="EH52" s="53">
        <v>1524</v>
      </c>
      <c r="EI52" s="53">
        <v>1538</v>
      </c>
      <c r="EJ52" s="92">
        <v>385</v>
      </c>
      <c r="EK52" s="92">
        <v>0</v>
      </c>
      <c r="EL52" s="92">
        <v>0</v>
      </c>
      <c r="EM52" s="92">
        <v>1</v>
      </c>
      <c r="EN52" s="92">
        <v>0</v>
      </c>
      <c r="EO52" s="88">
        <v>946.53685086595237</v>
      </c>
      <c r="EP52" s="88">
        <v>959.11669677156738</v>
      </c>
      <c r="EQ52" s="88">
        <v>930.86893316556518</v>
      </c>
      <c r="ER52" s="88">
        <v>871.38718485964762</v>
      </c>
      <c r="ES52" s="88">
        <v>797.8</v>
      </c>
      <c r="ET52" s="88">
        <v>786.9</v>
      </c>
      <c r="EU52" s="88">
        <v>725.1</v>
      </c>
      <c r="EV52" s="88">
        <v>699.2</v>
      </c>
      <c r="EW52" s="88">
        <v>986.40107540305917</v>
      </c>
      <c r="EX52" s="88">
        <v>989.00345761078665</v>
      </c>
      <c r="EY52" s="88">
        <v>926.06139227400104</v>
      </c>
      <c r="EZ52" s="88">
        <v>865.98569014157147</v>
      </c>
      <c r="FA52" s="88">
        <v>648.23510487985016</v>
      </c>
      <c r="FB52" s="88">
        <v>624.31889442375689</v>
      </c>
      <c r="FC52" s="88">
        <v>568.31261792961459</v>
      </c>
      <c r="FD52" s="88">
        <v>566.01955844200006</v>
      </c>
      <c r="FE52" s="51">
        <v>336</v>
      </c>
      <c r="FF52" s="54">
        <v>378</v>
      </c>
      <c r="FG52" s="54">
        <v>348</v>
      </c>
      <c r="FH52" s="54">
        <v>383</v>
      </c>
      <c r="FI52" s="88">
        <v>192.07660000000001</v>
      </c>
      <c r="FJ52" s="88">
        <v>202.3314</v>
      </c>
      <c r="FK52" s="88">
        <v>172.95529999999999</v>
      </c>
      <c r="FL52" s="88">
        <v>179.58619999999999</v>
      </c>
      <c r="FM52" s="54">
        <v>446</v>
      </c>
      <c r="FN52" s="54">
        <v>399</v>
      </c>
      <c r="FO52" s="51">
        <v>375</v>
      </c>
      <c r="FP52" s="54">
        <v>309</v>
      </c>
      <c r="FQ52" s="88">
        <v>244.7996</v>
      </c>
      <c r="FR52" s="88">
        <v>202.30260000000001</v>
      </c>
      <c r="FS52" s="88">
        <v>172.17070000000001</v>
      </c>
      <c r="FT52" s="88">
        <v>133.39099999999999</v>
      </c>
      <c r="FU52" s="53">
        <v>137</v>
      </c>
      <c r="FV52" s="53">
        <v>110</v>
      </c>
      <c r="FW52" s="53">
        <v>113</v>
      </c>
      <c r="FX52" s="53">
        <v>83</v>
      </c>
      <c r="FY52" s="88">
        <v>71.667460000000005</v>
      </c>
      <c r="FZ52" s="88">
        <v>53.922780000000003</v>
      </c>
      <c r="GA52" s="88">
        <v>51.117629999999998</v>
      </c>
      <c r="GB52" s="88">
        <v>35.401820000000001</v>
      </c>
      <c r="GC52" s="55">
        <v>74</v>
      </c>
      <c r="GD52" s="56">
        <v>81</v>
      </c>
      <c r="GE52" s="55">
        <v>82</v>
      </c>
      <c r="GF52" s="55">
        <v>87</v>
      </c>
      <c r="GG52" s="91">
        <v>46.878500000000003</v>
      </c>
      <c r="GH52" s="91">
        <v>49.127839999999999</v>
      </c>
      <c r="GI52" s="91">
        <v>44.273890000000002</v>
      </c>
      <c r="GJ52" s="91">
        <v>46.264249999999997</v>
      </c>
      <c r="GK52" s="55"/>
      <c r="GL52" s="55"/>
      <c r="GM52" s="55"/>
      <c r="GN52" s="56"/>
      <c r="GO52" s="55"/>
      <c r="GP52" s="55"/>
      <c r="GQ52" s="55"/>
      <c r="GR52" s="55"/>
      <c r="GS52" s="56"/>
      <c r="GT52" s="55"/>
      <c r="GU52" s="55"/>
      <c r="GV52" s="55"/>
      <c r="GW52" s="55"/>
      <c r="GX52" s="56"/>
      <c r="GY52" s="56"/>
      <c r="GZ52" s="56"/>
      <c r="HA52" s="56"/>
      <c r="HB52" s="56"/>
      <c r="HC52" s="56"/>
      <c r="HD52" s="57"/>
      <c r="HE52" s="57"/>
      <c r="HF52" s="57"/>
      <c r="HG52" s="57"/>
      <c r="HH52" s="57"/>
      <c r="HI52" s="58"/>
      <c r="HJ52" s="58"/>
      <c r="HK52" s="55"/>
      <c r="HL52" s="56"/>
      <c r="HM52" s="56"/>
      <c r="HN52" s="56"/>
      <c r="HO52" s="56"/>
      <c r="HP52" s="56"/>
      <c r="HQ52" s="56"/>
      <c r="HR52" s="56"/>
      <c r="HS52" s="56"/>
      <c r="HT52" s="56"/>
      <c r="HU52" s="38"/>
    </row>
    <row r="53" spans="1:229" x14ac:dyDescent="0.2">
      <c r="A53" s="36">
        <v>50</v>
      </c>
      <c r="B53" s="70" t="s">
        <v>106</v>
      </c>
      <c r="C53" s="77">
        <v>37859</v>
      </c>
      <c r="D53" s="77">
        <v>38215</v>
      </c>
      <c r="E53" s="77">
        <v>39163</v>
      </c>
      <c r="F53" s="77">
        <v>39349</v>
      </c>
      <c r="G53" s="150">
        <v>39372</v>
      </c>
      <c r="H53" s="41">
        <v>36693</v>
      </c>
      <c r="I53" s="41">
        <v>1183</v>
      </c>
      <c r="J53" s="41">
        <v>145</v>
      </c>
      <c r="K53" s="41">
        <v>794</v>
      </c>
      <c r="L53" s="41">
        <v>4375</v>
      </c>
      <c r="M53" s="42">
        <v>15978</v>
      </c>
      <c r="N53" s="43">
        <v>16034</v>
      </c>
      <c r="O53" s="43">
        <v>15828</v>
      </c>
      <c r="P53" s="44">
        <v>15891</v>
      </c>
      <c r="Q53" s="44">
        <v>15907</v>
      </c>
      <c r="R53" s="87">
        <v>29.957552630450628</v>
      </c>
      <c r="S53" s="87">
        <v>30.290617454294583</v>
      </c>
      <c r="T53" s="87">
        <v>28.22954620735343</v>
      </c>
      <c r="U53" s="87">
        <v>27.580100485956677</v>
      </c>
      <c r="V53" s="87">
        <v>28.14242637035813</v>
      </c>
      <c r="W53" s="87">
        <v>32.367191184667497</v>
      </c>
      <c r="X53" s="87">
        <v>34.486029665401865</v>
      </c>
      <c r="Y53" s="87">
        <v>33.922656508777742</v>
      </c>
      <c r="Z53" s="87">
        <v>34.469977761304669</v>
      </c>
      <c r="AA53" s="42">
        <v>34.491304886612419</v>
      </c>
      <c r="AB53" s="87">
        <v>62.324743815118126</v>
      </c>
      <c r="AC53" s="87">
        <v>64.776647119696449</v>
      </c>
      <c r="AD53" s="87">
        <v>62.152202716131171</v>
      </c>
      <c r="AE53" s="87">
        <v>62.050078247261347</v>
      </c>
      <c r="AF53" s="87">
        <v>62.633731256970549</v>
      </c>
      <c r="AG53" s="44">
        <v>4.549439844130541</v>
      </c>
      <c r="AH53" s="44">
        <v>6.4932599202582111</v>
      </c>
      <c r="AI53" s="44">
        <v>5.8956276445698164</v>
      </c>
      <c r="AJ53" s="43">
        <v>5.5417971122844722</v>
      </c>
      <c r="AK53" s="43">
        <v>4.8956586547419416</v>
      </c>
      <c r="AL53" s="47">
        <v>1066.75</v>
      </c>
      <c r="AM53" s="47">
        <v>1334.6666666666667</v>
      </c>
      <c r="AN53" s="47">
        <v>1066.75</v>
      </c>
      <c r="AO53" s="47">
        <v>2054.8333333333335</v>
      </c>
      <c r="AP53" s="47">
        <v>2245.6666666666665</v>
      </c>
      <c r="AQ53" s="47">
        <v>38798.127222717434</v>
      </c>
      <c r="AR53" s="47">
        <v>38630.741832436244</v>
      </c>
      <c r="AS53" s="47">
        <v>40729.321379864305</v>
      </c>
      <c r="AT53" s="47">
        <v>41741.924055301526</v>
      </c>
      <c r="AU53" s="47">
        <v>42725.134613430862</v>
      </c>
      <c r="AV53" s="84">
        <v>50389.512559495408</v>
      </c>
      <c r="AW53" s="85">
        <v>47338.705040760055</v>
      </c>
      <c r="AX53" s="85">
        <v>45404.21611702552</v>
      </c>
      <c r="AY53" s="85">
        <v>47829.419654981342</v>
      </c>
      <c r="AZ53" s="85">
        <v>46315</v>
      </c>
      <c r="BA53" s="83">
        <v>12.429911580763426</v>
      </c>
      <c r="BB53" s="83">
        <v>13.572230238896905</v>
      </c>
      <c r="BC53" s="83">
        <v>12.259515928837402</v>
      </c>
      <c r="BD53" s="83">
        <v>13.659428689179094</v>
      </c>
      <c r="BE53" s="83">
        <v>14.137203437805569</v>
      </c>
      <c r="BF53" s="83">
        <v>15.998663994655979</v>
      </c>
      <c r="BG53" s="46">
        <v>17.713004484304932</v>
      </c>
      <c r="BH53" s="46">
        <v>16.421314534522082</v>
      </c>
      <c r="BI53" s="46">
        <v>19.612863580499795</v>
      </c>
      <c r="BJ53" s="46">
        <v>18.27140217614453</v>
      </c>
      <c r="BK53" s="42">
        <v>5934</v>
      </c>
      <c r="BL53" s="42">
        <v>5937</v>
      </c>
      <c r="BM53" s="40">
        <v>5937</v>
      </c>
      <c r="BN53" s="40">
        <v>6025</v>
      </c>
      <c r="BO53" s="43">
        <v>47.590158409167508</v>
      </c>
      <c r="BP53" s="43">
        <v>48.408287013643253</v>
      </c>
      <c r="BQ53" s="44">
        <v>50.345292235135588</v>
      </c>
      <c r="BR53" s="44">
        <v>51.385892116182575</v>
      </c>
      <c r="BS53" s="87">
        <v>9.8415908324907306</v>
      </c>
      <c r="BT53" s="87">
        <v>10.224018864746505</v>
      </c>
      <c r="BU53" s="87">
        <v>10.880916287687384</v>
      </c>
      <c r="BV53" s="87">
        <v>10.987551867219917</v>
      </c>
      <c r="BW53" s="43">
        <v>14.627569935962251</v>
      </c>
      <c r="BX53" s="43">
        <v>14.889674919993263</v>
      </c>
      <c r="BY53" s="43">
        <v>14.923361967323563</v>
      </c>
      <c r="BZ53" s="43">
        <v>15.070539419087137</v>
      </c>
      <c r="CA53" s="42">
        <v>79.923518164435947</v>
      </c>
      <c r="CB53" s="42">
        <v>75.569358178053832</v>
      </c>
      <c r="CC53" s="42">
        <v>78.319999999999993</v>
      </c>
      <c r="CD53" s="44">
        <v>73.95</v>
      </c>
      <c r="CE53" s="43">
        <v>5.5449330783938811</v>
      </c>
      <c r="CF53" s="43">
        <v>8.695652173913043</v>
      </c>
      <c r="CG53" s="43">
        <v>7.37</v>
      </c>
      <c r="CH53" s="44">
        <v>8.82</v>
      </c>
      <c r="CI53" s="49">
        <v>2166</v>
      </c>
      <c r="CJ53" s="49">
        <v>2539</v>
      </c>
      <c r="CK53" s="54">
        <v>2707</v>
      </c>
      <c r="CL53" s="54">
        <v>2745</v>
      </c>
      <c r="CM53" s="88">
        <v>11.6</v>
      </c>
      <c r="CN53" s="88">
        <v>13.3</v>
      </c>
      <c r="CO53" s="88">
        <v>14</v>
      </c>
      <c r="CP53" s="88">
        <v>14.2</v>
      </c>
      <c r="CQ53" s="53">
        <v>109</v>
      </c>
      <c r="CR53" s="53">
        <v>119</v>
      </c>
      <c r="CS53" s="53">
        <v>122</v>
      </c>
      <c r="CT53" s="53">
        <v>117</v>
      </c>
      <c r="CU53" s="88">
        <v>5.2</v>
      </c>
      <c r="CV53" s="88">
        <v>4.8</v>
      </c>
      <c r="CW53" s="88">
        <v>4.7</v>
      </c>
      <c r="CX53" s="88">
        <v>4.4000000000000004</v>
      </c>
      <c r="CY53" s="51">
        <v>170</v>
      </c>
      <c r="CZ53" s="53">
        <v>180</v>
      </c>
      <c r="DA53" s="53">
        <v>190</v>
      </c>
      <c r="DB53" s="53">
        <v>195</v>
      </c>
      <c r="DC53" s="88">
        <v>8.9</v>
      </c>
      <c r="DD53" s="88">
        <v>8</v>
      </c>
      <c r="DE53" s="88">
        <v>8.1999999999999993</v>
      </c>
      <c r="DF53" s="88">
        <v>7.9</v>
      </c>
      <c r="DG53" s="88">
        <v>81.3</v>
      </c>
      <c r="DH53" s="88">
        <v>74.2</v>
      </c>
      <c r="DI53" s="88">
        <v>70.099999999999994</v>
      </c>
      <c r="DJ53" s="88">
        <v>68.7</v>
      </c>
      <c r="DK53" s="88">
        <v>21.7</v>
      </c>
      <c r="DL53" s="88">
        <v>18.899999999999999</v>
      </c>
      <c r="DM53" s="88">
        <v>15.5</v>
      </c>
      <c r="DN53" s="88">
        <v>16.660577274388015</v>
      </c>
      <c r="DO53" s="88">
        <v>29</v>
      </c>
      <c r="DP53" s="88">
        <v>35.299999999999997</v>
      </c>
      <c r="DQ53" s="88">
        <v>39.9</v>
      </c>
      <c r="DR53" s="88">
        <v>43.9</v>
      </c>
      <c r="DS53" s="88">
        <v>37.600130783063591</v>
      </c>
      <c r="DT53" s="88">
        <v>43.256233103033942</v>
      </c>
      <c r="DU53" s="88">
        <v>44.776119402985074</v>
      </c>
      <c r="DV53" s="88">
        <v>38.207319039174592</v>
      </c>
      <c r="DW53" s="54">
        <v>393</v>
      </c>
      <c r="DX53" s="54">
        <v>32</v>
      </c>
      <c r="DY53" s="51">
        <v>0</v>
      </c>
      <c r="DZ53" s="53">
        <v>22</v>
      </c>
      <c r="EA53" s="53">
        <v>88</v>
      </c>
      <c r="EB53" s="53">
        <v>17</v>
      </c>
      <c r="EC53" s="53">
        <v>15</v>
      </c>
      <c r="ED53" s="51">
        <v>8</v>
      </c>
      <c r="EE53" s="53">
        <v>16</v>
      </c>
      <c r="EF53" s="53">
        <v>2177</v>
      </c>
      <c r="EG53" s="53">
        <v>2080</v>
      </c>
      <c r="EH53" s="53">
        <v>1941</v>
      </c>
      <c r="EI53" s="53">
        <v>1890</v>
      </c>
      <c r="EJ53" s="92">
        <v>376</v>
      </c>
      <c r="EK53" s="92">
        <v>4</v>
      </c>
      <c r="EL53" s="92">
        <v>0</v>
      </c>
      <c r="EM53" s="92">
        <v>1</v>
      </c>
      <c r="EN53" s="92">
        <v>4</v>
      </c>
      <c r="EO53" s="88">
        <v>1167.1983486582849</v>
      </c>
      <c r="EP53" s="88">
        <v>1092.500091917075</v>
      </c>
      <c r="EQ53" s="88">
        <v>1004.0036001365569</v>
      </c>
      <c r="ER53" s="88">
        <v>975.5087782852263</v>
      </c>
      <c r="ES53" s="88">
        <v>772.1</v>
      </c>
      <c r="ET53" s="88">
        <v>704.1</v>
      </c>
      <c r="EU53" s="88">
        <v>622.9</v>
      </c>
      <c r="EV53" s="88">
        <v>611.79999999999995</v>
      </c>
      <c r="EW53" s="88">
        <v>1055.2158293898228</v>
      </c>
      <c r="EX53" s="88">
        <v>833.4655940967009</v>
      </c>
      <c r="EY53" s="88">
        <v>767.93957319120682</v>
      </c>
      <c r="EZ53" s="88">
        <v>782.25457710226692</v>
      </c>
      <c r="FA53" s="88">
        <v>583.31064935153722</v>
      </c>
      <c r="FB53" s="88">
        <v>603.32546547491006</v>
      </c>
      <c r="FC53" s="88">
        <v>517.58546235145968</v>
      </c>
      <c r="FD53" s="88">
        <v>481.84607671804605</v>
      </c>
      <c r="FE53" s="51">
        <v>539</v>
      </c>
      <c r="FF53" s="54">
        <v>521</v>
      </c>
      <c r="FG53" s="54">
        <v>471</v>
      </c>
      <c r="FH53" s="54">
        <v>471</v>
      </c>
      <c r="FI53" s="88">
        <v>193.85749999999999</v>
      </c>
      <c r="FJ53" s="88">
        <v>186.572</v>
      </c>
      <c r="FK53" s="88">
        <v>169.3314</v>
      </c>
      <c r="FL53" s="88">
        <v>167.06620000000001</v>
      </c>
      <c r="FM53" s="54">
        <v>699</v>
      </c>
      <c r="FN53" s="54">
        <v>523</v>
      </c>
      <c r="FO53" s="51">
        <v>428</v>
      </c>
      <c r="FP53" s="54">
        <v>362</v>
      </c>
      <c r="FQ53" s="88">
        <v>241.06360000000001</v>
      </c>
      <c r="FR53" s="88">
        <v>168.54230000000001</v>
      </c>
      <c r="FS53" s="88">
        <v>127.1677</v>
      </c>
      <c r="FT53" s="88">
        <v>109.2859</v>
      </c>
      <c r="FU53" s="53">
        <v>197</v>
      </c>
      <c r="FV53" s="53">
        <v>158</v>
      </c>
      <c r="FW53" s="53">
        <v>122</v>
      </c>
      <c r="FX53" s="53">
        <v>91</v>
      </c>
      <c r="FY53" s="88">
        <v>64.549279999999996</v>
      </c>
      <c r="FZ53" s="88">
        <v>47.087539999999997</v>
      </c>
      <c r="GA53" s="88">
        <v>35.177549999999997</v>
      </c>
      <c r="GB53" s="88">
        <v>25.79486</v>
      </c>
      <c r="GC53" s="55">
        <v>69</v>
      </c>
      <c r="GD53" s="56">
        <v>87</v>
      </c>
      <c r="GE53" s="55">
        <v>90</v>
      </c>
      <c r="GF53" s="55">
        <v>95</v>
      </c>
      <c r="GG53" s="91">
        <v>29.695080000000001</v>
      </c>
      <c r="GH53" s="91">
        <v>37.052280000000003</v>
      </c>
      <c r="GI53" s="91">
        <v>31.941330000000001</v>
      </c>
      <c r="GJ53" s="91">
        <v>37.414009999999998</v>
      </c>
      <c r="GK53" s="55"/>
      <c r="GL53" s="55"/>
      <c r="GM53" s="55"/>
      <c r="GN53" s="56"/>
      <c r="GO53" s="55"/>
      <c r="GP53" s="55"/>
      <c r="GQ53" s="55"/>
      <c r="GR53" s="55"/>
      <c r="GS53" s="56"/>
      <c r="GT53" s="55"/>
      <c r="GU53" s="55"/>
      <c r="GV53" s="55"/>
      <c r="GW53" s="55"/>
      <c r="GX53" s="56"/>
      <c r="GY53" s="56"/>
      <c r="GZ53" s="56"/>
      <c r="HA53" s="56"/>
      <c r="HB53" s="56"/>
      <c r="HC53" s="56"/>
      <c r="HD53" s="57"/>
      <c r="HE53" s="57"/>
      <c r="HF53" s="57"/>
      <c r="HG53" s="57"/>
      <c r="HH53" s="57"/>
      <c r="HI53" s="58"/>
      <c r="HJ53" s="58"/>
      <c r="HK53" s="55"/>
      <c r="HL53" s="56"/>
      <c r="HM53" s="56"/>
      <c r="HN53" s="56"/>
      <c r="HO53" s="56"/>
      <c r="HP53" s="56"/>
      <c r="HQ53" s="56"/>
      <c r="HR53" s="56"/>
      <c r="HS53" s="56"/>
      <c r="HT53" s="56"/>
      <c r="HU53" s="38"/>
    </row>
    <row r="54" spans="1:229" x14ac:dyDescent="0.2">
      <c r="A54" s="36">
        <v>51</v>
      </c>
      <c r="B54" s="70" t="s">
        <v>107</v>
      </c>
      <c r="C54" s="77">
        <v>8389</v>
      </c>
      <c r="D54" s="77">
        <v>8416</v>
      </c>
      <c r="E54" s="77">
        <v>8725</v>
      </c>
      <c r="F54" s="77">
        <v>8630</v>
      </c>
      <c r="G54" s="150">
        <v>8577</v>
      </c>
      <c r="H54" s="41">
        <v>8356</v>
      </c>
      <c r="I54" s="41">
        <v>34</v>
      </c>
      <c r="J54" s="41">
        <v>21</v>
      </c>
      <c r="K54" s="41">
        <v>91</v>
      </c>
      <c r="L54" s="41">
        <v>258</v>
      </c>
      <c r="M54" s="42">
        <v>3682</v>
      </c>
      <c r="N54" s="43">
        <v>3660</v>
      </c>
      <c r="O54" s="43">
        <v>3717</v>
      </c>
      <c r="P54" s="44">
        <v>3701</v>
      </c>
      <c r="Q54" s="44">
        <v>3690</v>
      </c>
      <c r="R54" s="87">
        <v>35.336166924265839</v>
      </c>
      <c r="S54" s="87">
        <v>36.418786692759298</v>
      </c>
      <c r="T54" s="87">
        <v>37.526447393729562</v>
      </c>
      <c r="U54" s="87">
        <v>37.984043588246742</v>
      </c>
      <c r="V54" s="87">
        <v>38.961038961038959</v>
      </c>
      <c r="W54" s="87">
        <v>26.738794435857805</v>
      </c>
      <c r="X54" s="87">
        <v>28.277886497064578</v>
      </c>
      <c r="Y54" s="87">
        <v>30.294287362954414</v>
      </c>
      <c r="Z54" s="87">
        <v>29.947460595446586</v>
      </c>
      <c r="AA54" s="42">
        <v>29.811097992916174</v>
      </c>
      <c r="AB54" s="87">
        <v>62.074961360123645</v>
      </c>
      <c r="AC54" s="87">
        <v>64.696673189823869</v>
      </c>
      <c r="AD54" s="87">
        <v>67.820734756683976</v>
      </c>
      <c r="AE54" s="87">
        <v>67.93150418369332</v>
      </c>
      <c r="AF54" s="87">
        <v>68.77213695395514</v>
      </c>
      <c r="AG54" s="44">
        <v>5.0430955437373921</v>
      </c>
      <c r="AH54" s="44">
        <v>5.9119278779472957</v>
      </c>
      <c r="AI54" s="44">
        <v>5.5317747777411919</v>
      </c>
      <c r="AJ54" s="43">
        <v>5.0886034791090884</v>
      </c>
      <c r="AK54" s="43">
        <v>4.2507442937479327</v>
      </c>
      <c r="AL54" s="47">
        <v>124.58333333333333</v>
      </c>
      <c r="AM54" s="47">
        <v>161.25</v>
      </c>
      <c r="AN54" s="47">
        <v>124.58333333333333</v>
      </c>
      <c r="AO54" s="47">
        <v>221.58333333333334</v>
      </c>
      <c r="AP54" s="47">
        <v>227.25</v>
      </c>
      <c r="AQ54" s="47">
        <v>46348.971115524633</v>
      </c>
      <c r="AR54" s="47">
        <v>44237.902863067051</v>
      </c>
      <c r="AS54" s="47">
        <v>48048.392214247775</v>
      </c>
      <c r="AT54" s="47">
        <v>53312.848661289674</v>
      </c>
      <c r="AU54" s="47">
        <v>56393.027865220938</v>
      </c>
      <c r="AV54" s="84">
        <v>48627.857749255076</v>
      </c>
      <c r="AW54" s="85">
        <v>47877.009707656609</v>
      </c>
      <c r="AX54" s="85">
        <v>52922.098012010967</v>
      </c>
      <c r="AY54" s="85">
        <v>53362.566986386679</v>
      </c>
      <c r="AZ54" s="85">
        <v>50353</v>
      </c>
      <c r="BA54" s="83">
        <v>8.8937356112928629</v>
      </c>
      <c r="BB54" s="83">
        <v>10.187311178247734</v>
      </c>
      <c r="BC54" s="83">
        <v>8.9166764052822245</v>
      </c>
      <c r="BD54" s="83">
        <v>9.3779453345900095</v>
      </c>
      <c r="BE54" s="83">
        <v>10.037923678596824</v>
      </c>
      <c r="BF54" s="83">
        <v>11.001737116386797</v>
      </c>
      <c r="BG54" s="46">
        <v>13.689482470784641</v>
      </c>
      <c r="BH54" s="46">
        <v>13.31923890063425</v>
      </c>
      <c r="BI54" s="46">
        <v>13.545601726929304</v>
      </c>
      <c r="BJ54" s="46">
        <v>13.442622950819672</v>
      </c>
      <c r="BK54" s="42">
        <v>1140</v>
      </c>
      <c r="BL54" s="42">
        <v>1141</v>
      </c>
      <c r="BM54" s="40">
        <v>1110</v>
      </c>
      <c r="BN54" s="40">
        <v>1038</v>
      </c>
      <c r="BO54" s="43">
        <v>32.982456140350877</v>
      </c>
      <c r="BP54" s="43">
        <v>35.144609991235761</v>
      </c>
      <c r="BQ54" s="44">
        <v>33.783783783783782</v>
      </c>
      <c r="BR54" s="44">
        <v>32.080924855491332</v>
      </c>
      <c r="BS54" s="87">
        <v>2.5438596491228069</v>
      </c>
      <c r="BT54" s="87">
        <v>3.5933391761612619</v>
      </c>
      <c r="BU54" s="87">
        <v>1.6216216216216217</v>
      </c>
      <c r="BV54" s="87">
        <v>1.8304431599229287</v>
      </c>
      <c r="BW54" s="43">
        <v>18.245614035087719</v>
      </c>
      <c r="BX54" s="43">
        <v>18.054338299737072</v>
      </c>
      <c r="BY54" s="43">
        <v>17.207207207207208</v>
      </c>
      <c r="BZ54" s="43">
        <v>15.992292870905588</v>
      </c>
      <c r="CA54" s="42">
        <v>91.743119266055047</v>
      </c>
      <c r="CB54" s="42">
        <v>91.666666666666671</v>
      </c>
      <c r="CC54" s="42">
        <v>92.73</v>
      </c>
      <c r="CD54" s="44">
        <v>91.84</v>
      </c>
      <c r="CE54" s="43">
        <v>0.91743119266055051</v>
      </c>
      <c r="CF54" s="43">
        <v>2.7777777777777777</v>
      </c>
      <c r="CG54" s="43">
        <v>1.82</v>
      </c>
      <c r="CH54" s="44">
        <v>1.02</v>
      </c>
      <c r="CI54" s="49">
        <v>502</v>
      </c>
      <c r="CJ54" s="49">
        <v>443</v>
      </c>
      <c r="CK54" s="51">
        <v>462</v>
      </c>
      <c r="CL54" s="51">
        <v>444</v>
      </c>
      <c r="CM54" s="88">
        <v>10.5</v>
      </c>
      <c r="CN54" s="88">
        <v>9.6</v>
      </c>
      <c r="CO54" s="88">
        <v>10.5</v>
      </c>
      <c r="CP54" s="88">
        <v>10.4</v>
      </c>
      <c r="CQ54" s="53">
        <v>14</v>
      </c>
      <c r="CR54" s="53">
        <v>17</v>
      </c>
      <c r="CS54" s="53">
        <v>17</v>
      </c>
      <c r="CT54" s="53">
        <v>16</v>
      </c>
      <c r="CU54" s="88">
        <v>2.9</v>
      </c>
      <c r="CV54" s="88">
        <v>4</v>
      </c>
      <c r="CW54" s="88">
        <v>3.8</v>
      </c>
      <c r="CX54" s="88">
        <v>3.7</v>
      </c>
      <c r="CY54" s="51">
        <v>36</v>
      </c>
      <c r="CZ54" s="53">
        <v>39</v>
      </c>
      <c r="DA54" s="53">
        <v>36</v>
      </c>
      <c r="DB54" s="53">
        <v>48</v>
      </c>
      <c r="DC54" s="88">
        <v>7.9</v>
      </c>
      <c r="DD54" s="88">
        <v>10.3</v>
      </c>
      <c r="DE54" s="88">
        <v>8.8000000000000007</v>
      </c>
      <c r="DF54" s="88">
        <v>12.4</v>
      </c>
      <c r="DG54" s="88">
        <v>85.2</v>
      </c>
      <c r="DH54" s="88">
        <v>86.7</v>
      </c>
      <c r="DI54" s="88">
        <v>85.2</v>
      </c>
      <c r="DJ54" s="88">
        <v>83</v>
      </c>
      <c r="DK54" s="88">
        <v>7.5</v>
      </c>
      <c r="DL54" s="88">
        <v>12.4</v>
      </c>
      <c r="DM54" s="88">
        <v>13.9</v>
      </c>
      <c r="DN54" s="88">
        <v>16.441441441441441</v>
      </c>
      <c r="DO54" s="88">
        <v>10.8</v>
      </c>
      <c r="DP54" s="88">
        <v>20.5</v>
      </c>
      <c r="DQ54" s="88">
        <v>26.2</v>
      </c>
      <c r="DR54" s="88">
        <v>33.299999999999997</v>
      </c>
      <c r="DS54" s="88">
        <v>19.436997319034852</v>
      </c>
      <c r="DT54" s="88">
        <v>21.033653846153847</v>
      </c>
      <c r="DU54" s="88">
        <v>30.716723549488055</v>
      </c>
      <c r="DV54" s="88">
        <v>27.882441597588546</v>
      </c>
      <c r="DW54" s="54">
        <v>91</v>
      </c>
      <c r="DX54" s="54">
        <v>0</v>
      </c>
      <c r="DY54" s="51">
        <v>0</v>
      </c>
      <c r="DZ54" s="53">
        <v>2</v>
      </c>
      <c r="EA54" s="53">
        <v>6</v>
      </c>
      <c r="EB54" s="53">
        <v>3</v>
      </c>
      <c r="EC54" s="53">
        <v>1</v>
      </c>
      <c r="ED54" s="51">
        <v>5</v>
      </c>
      <c r="EE54" s="53">
        <v>0</v>
      </c>
      <c r="EF54" s="53">
        <v>518</v>
      </c>
      <c r="EG54" s="53">
        <v>504</v>
      </c>
      <c r="EH54" s="53">
        <v>497</v>
      </c>
      <c r="EI54" s="53">
        <v>502</v>
      </c>
      <c r="EJ54" s="92">
        <v>118</v>
      </c>
      <c r="EK54" s="92">
        <v>0</v>
      </c>
      <c r="EL54" s="92">
        <v>0</v>
      </c>
      <c r="EM54" s="92">
        <v>0</v>
      </c>
      <c r="EN54" s="92">
        <v>1</v>
      </c>
      <c r="EO54" s="88">
        <v>1080.2018601159446</v>
      </c>
      <c r="EP54" s="88">
        <v>1088.9056929890894</v>
      </c>
      <c r="EQ54" s="88">
        <v>1126.5498560645556</v>
      </c>
      <c r="ER54" s="88">
        <v>1121.1943793911007</v>
      </c>
      <c r="ES54" s="88">
        <v>703.7</v>
      </c>
      <c r="ET54" s="88">
        <v>657.2</v>
      </c>
      <c r="EU54" s="88">
        <v>628.70000000000005</v>
      </c>
      <c r="EV54" s="88">
        <v>631.79999999999995</v>
      </c>
      <c r="EW54" s="88">
        <v>869.51009293031154</v>
      </c>
      <c r="EX54" s="88">
        <v>894.61151058536916</v>
      </c>
      <c r="EY54" s="88">
        <v>750.19208875819049</v>
      </c>
      <c r="EZ54" s="88">
        <v>757.96698349710266</v>
      </c>
      <c r="FA54" s="88">
        <v>576.08428940263457</v>
      </c>
      <c r="FB54" s="88">
        <v>482.3617477842057</v>
      </c>
      <c r="FC54" s="88">
        <v>523.78288871188738</v>
      </c>
      <c r="FD54" s="88">
        <v>528.33751488595681</v>
      </c>
      <c r="FE54" s="51">
        <v>129</v>
      </c>
      <c r="FF54" s="54">
        <v>125</v>
      </c>
      <c r="FG54" s="54">
        <v>138</v>
      </c>
      <c r="FH54" s="54">
        <v>111</v>
      </c>
      <c r="FI54" s="88">
        <v>174.73490000000001</v>
      </c>
      <c r="FJ54" s="88">
        <v>168.554</v>
      </c>
      <c r="FK54" s="88">
        <v>186.71199999999999</v>
      </c>
      <c r="FL54" s="88">
        <v>141.58000000000001</v>
      </c>
      <c r="FM54" s="54">
        <v>186</v>
      </c>
      <c r="FN54" s="54">
        <v>177</v>
      </c>
      <c r="FO54" s="51">
        <v>134</v>
      </c>
      <c r="FP54" s="54">
        <v>128</v>
      </c>
      <c r="FQ54" s="88">
        <v>248.35169999999999</v>
      </c>
      <c r="FR54" s="88">
        <v>222.64089999999999</v>
      </c>
      <c r="FS54" s="88">
        <v>143.9975</v>
      </c>
      <c r="FT54" s="88">
        <v>150.4195</v>
      </c>
      <c r="FU54" s="53">
        <v>50</v>
      </c>
      <c r="FV54" s="53">
        <v>41</v>
      </c>
      <c r="FW54" s="53">
        <v>26</v>
      </c>
      <c r="FX54" s="53">
        <v>29</v>
      </c>
      <c r="FY54" s="88">
        <v>63.114899999999999</v>
      </c>
      <c r="FZ54" s="88">
        <v>50.20946</v>
      </c>
      <c r="GA54" s="88">
        <v>29.076360000000001</v>
      </c>
      <c r="GB54" s="88">
        <v>32.664639999999999</v>
      </c>
      <c r="GC54" s="55">
        <v>17</v>
      </c>
      <c r="GD54" s="56">
        <v>16</v>
      </c>
      <c r="GE54" s="55">
        <v>27</v>
      </c>
      <c r="GF54" s="55">
        <v>25</v>
      </c>
      <c r="GG54" s="91">
        <v>27.032720000000001</v>
      </c>
      <c r="GH54" s="91">
        <v>25.476520000000001</v>
      </c>
      <c r="GI54" s="91">
        <v>52.450980000000001</v>
      </c>
      <c r="GJ54" s="91">
        <v>41.115099999999998</v>
      </c>
      <c r="GK54" s="55"/>
      <c r="GL54" s="55"/>
      <c r="GM54" s="55"/>
      <c r="GN54" s="56"/>
      <c r="GO54" s="55"/>
      <c r="GP54" s="55"/>
      <c r="GQ54" s="55"/>
      <c r="GR54" s="55"/>
      <c r="GS54" s="56"/>
      <c r="GT54" s="55"/>
      <c r="GU54" s="55"/>
      <c r="GV54" s="55"/>
      <c r="GW54" s="55"/>
      <c r="GX54" s="56"/>
      <c r="GY54" s="56"/>
      <c r="GZ54" s="56"/>
      <c r="HA54" s="56"/>
      <c r="HB54" s="56"/>
      <c r="HC54" s="56"/>
      <c r="HD54" s="57"/>
      <c r="HE54" s="57"/>
      <c r="HF54" s="57"/>
      <c r="HG54" s="57"/>
      <c r="HH54" s="57"/>
      <c r="HI54" s="58"/>
      <c r="HJ54" s="58"/>
      <c r="HK54" s="55"/>
      <c r="HL54" s="56"/>
      <c r="HM54" s="56"/>
      <c r="HN54" s="56"/>
      <c r="HO54" s="56"/>
      <c r="HP54" s="56"/>
      <c r="HQ54" s="56"/>
      <c r="HR54" s="56"/>
      <c r="HS54" s="56"/>
      <c r="HT54" s="56"/>
      <c r="HU54" s="38"/>
    </row>
    <row r="55" spans="1:229" ht="21" customHeight="1" x14ac:dyDescent="0.2">
      <c r="A55" s="36">
        <v>52</v>
      </c>
      <c r="B55" s="70" t="s">
        <v>108</v>
      </c>
      <c r="C55" s="77">
        <v>32027</v>
      </c>
      <c r="D55" s="77">
        <v>32224</v>
      </c>
      <c r="E55" s="77">
        <v>32727</v>
      </c>
      <c r="F55" s="77">
        <v>32820</v>
      </c>
      <c r="G55" s="150">
        <v>32929</v>
      </c>
      <c r="H55" s="41">
        <v>31157</v>
      </c>
      <c r="I55" s="41">
        <v>740</v>
      </c>
      <c r="J55" s="41">
        <v>135</v>
      </c>
      <c r="K55" s="41">
        <v>463</v>
      </c>
      <c r="L55" s="41">
        <v>1268</v>
      </c>
      <c r="M55" s="42">
        <v>12023</v>
      </c>
      <c r="N55" s="43">
        <v>12102</v>
      </c>
      <c r="O55" s="43">
        <v>12201</v>
      </c>
      <c r="P55" s="44">
        <v>12318</v>
      </c>
      <c r="Q55" s="44">
        <v>12353</v>
      </c>
      <c r="R55" s="87">
        <v>18.284738757356575</v>
      </c>
      <c r="S55" s="87">
        <v>18.425175701687632</v>
      </c>
      <c r="T55" s="87">
        <v>17.290544716164916</v>
      </c>
      <c r="U55" s="87">
        <v>17.660782673768544</v>
      </c>
      <c r="V55" s="87">
        <v>18.98650143837132</v>
      </c>
      <c r="W55" s="87">
        <v>25.598634260299203</v>
      </c>
      <c r="X55" s="87">
        <v>25.824790724741483</v>
      </c>
      <c r="Y55" s="87">
        <v>27.174009005032225</v>
      </c>
      <c r="Z55" s="87">
        <v>26.812519258704935</v>
      </c>
      <c r="AA55" s="42">
        <v>26.749280814339457</v>
      </c>
      <c r="AB55" s="87">
        <v>43.883373017655778</v>
      </c>
      <c r="AC55" s="87">
        <v>44.249966426429118</v>
      </c>
      <c r="AD55" s="87">
        <v>44.464553721197142</v>
      </c>
      <c r="AE55" s="87">
        <v>44.473301932473476</v>
      </c>
      <c r="AF55" s="87">
        <v>45.735782252710777</v>
      </c>
      <c r="AG55" s="44">
        <v>4.3072289156626509</v>
      </c>
      <c r="AH55" s="44">
        <v>6.5013002600520107</v>
      </c>
      <c r="AI55" s="44">
        <v>6.0087327577652081</v>
      </c>
      <c r="AJ55" s="43">
        <v>5.1543361097501226</v>
      </c>
      <c r="AK55" s="43">
        <v>4.7251342367680902</v>
      </c>
      <c r="AL55" s="47">
        <v>561.16666666666663</v>
      </c>
      <c r="AM55" s="47">
        <v>769.83333333333337</v>
      </c>
      <c r="AN55" s="47">
        <v>561.16666666666663</v>
      </c>
      <c r="AO55" s="47">
        <v>1102.1666666666667</v>
      </c>
      <c r="AP55" s="47">
        <v>1116.25</v>
      </c>
      <c r="AQ55" s="47">
        <v>39797.139537861789</v>
      </c>
      <c r="AR55" s="47">
        <v>38451.40907158448</v>
      </c>
      <c r="AS55" s="47">
        <v>39350.550050389371</v>
      </c>
      <c r="AT55" s="47">
        <v>40721.145806192704</v>
      </c>
      <c r="AU55" s="47">
        <v>41501.290655653072</v>
      </c>
      <c r="AV55" s="84">
        <v>59221.246904780171</v>
      </c>
      <c r="AW55" s="85">
        <v>61131.29062120305</v>
      </c>
      <c r="AX55" s="85">
        <v>61138.068940102203</v>
      </c>
      <c r="AY55" s="85">
        <v>56505.264022615607</v>
      </c>
      <c r="AZ55" s="85">
        <v>58882</v>
      </c>
      <c r="BA55" s="83">
        <v>10.189532851218425</v>
      </c>
      <c r="BB55" s="83">
        <v>9.0995550422879656</v>
      </c>
      <c r="BC55" s="83">
        <v>9.0112477112215537</v>
      </c>
      <c r="BD55" s="83">
        <v>10.281197948985923</v>
      </c>
      <c r="BE55" s="83">
        <v>10.208937709834089</v>
      </c>
      <c r="BF55" s="83">
        <v>9.5672652340300264</v>
      </c>
      <c r="BG55" s="46">
        <v>9.5636844424856768</v>
      </c>
      <c r="BH55" s="46">
        <v>10.968543046357615</v>
      </c>
      <c r="BI55" s="46">
        <v>12.010078387458007</v>
      </c>
      <c r="BJ55" s="46">
        <v>11.014329867940432</v>
      </c>
      <c r="BK55" s="42">
        <v>2330</v>
      </c>
      <c r="BL55" s="42">
        <v>2377</v>
      </c>
      <c r="BM55" s="40">
        <v>2430</v>
      </c>
      <c r="BN55" s="40">
        <v>2464</v>
      </c>
      <c r="BO55" s="43">
        <v>36.094420600858371</v>
      </c>
      <c r="BP55" s="43">
        <v>38.535969709718131</v>
      </c>
      <c r="BQ55" s="44">
        <v>39.300411522633745</v>
      </c>
      <c r="BR55" s="44">
        <v>39.732142857142854</v>
      </c>
      <c r="BS55" s="87">
        <v>3.7768240343347639</v>
      </c>
      <c r="BT55" s="87">
        <v>3.8283550694152293</v>
      </c>
      <c r="BU55" s="87">
        <v>3.4156378600823047</v>
      </c>
      <c r="BV55" s="87">
        <v>4.4642857142857144</v>
      </c>
      <c r="BW55" s="43">
        <v>20.214592274678111</v>
      </c>
      <c r="BX55" s="43">
        <v>21.75010517458982</v>
      </c>
      <c r="BY55" s="43">
        <v>20.2880658436214</v>
      </c>
      <c r="BZ55" s="43">
        <v>18.871753246753247</v>
      </c>
      <c r="CA55" s="42">
        <v>87.142857142857139</v>
      </c>
      <c r="CB55" s="42">
        <v>82.8125</v>
      </c>
      <c r="CC55" s="42">
        <v>86.63</v>
      </c>
      <c r="CD55" s="44">
        <v>85.07</v>
      </c>
      <c r="CE55" s="43">
        <v>4.7619047619047619</v>
      </c>
      <c r="CF55" s="43">
        <v>5.208333333333333</v>
      </c>
      <c r="CG55" s="43">
        <v>2.91</v>
      </c>
      <c r="CH55" s="44">
        <v>4.9800000000000004</v>
      </c>
      <c r="CI55" s="49">
        <v>1667</v>
      </c>
      <c r="CJ55" s="49">
        <v>1819</v>
      </c>
      <c r="CK55" s="54">
        <v>2001</v>
      </c>
      <c r="CL55" s="54">
        <v>1967</v>
      </c>
      <c r="CM55" s="88">
        <v>11.2</v>
      </c>
      <c r="CN55" s="88">
        <v>12.2</v>
      </c>
      <c r="CO55" s="88">
        <v>12.9</v>
      </c>
      <c r="CP55" s="88">
        <v>12.1</v>
      </c>
      <c r="CQ55" s="53">
        <v>69</v>
      </c>
      <c r="CR55" s="53">
        <v>70</v>
      </c>
      <c r="CS55" s="53">
        <v>84</v>
      </c>
      <c r="CT55" s="53">
        <v>72</v>
      </c>
      <c r="CU55" s="88">
        <v>4.3</v>
      </c>
      <c r="CV55" s="88">
        <v>4</v>
      </c>
      <c r="CW55" s="88">
        <v>4.3</v>
      </c>
      <c r="CX55" s="88">
        <v>3.8</v>
      </c>
      <c r="CY55" s="51">
        <v>99</v>
      </c>
      <c r="CZ55" s="53">
        <v>104</v>
      </c>
      <c r="DA55" s="53">
        <v>156</v>
      </c>
      <c r="DB55" s="53">
        <v>126</v>
      </c>
      <c r="DC55" s="88">
        <v>6.5</v>
      </c>
      <c r="DD55" s="88">
        <v>6.2</v>
      </c>
      <c r="DE55" s="88">
        <v>8.5</v>
      </c>
      <c r="DF55" s="88">
        <v>6.8</v>
      </c>
      <c r="DG55" s="88">
        <v>89.7</v>
      </c>
      <c r="DH55" s="88">
        <v>88.3</v>
      </c>
      <c r="DI55" s="88">
        <v>89.9</v>
      </c>
      <c r="DJ55" s="88">
        <v>89.7</v>
      </c>
      <c r="DK55" s="88">
        <v>10.9</v>
      </c>
      <c r="DL55" s="88">
        <v>11.4</v>
      </c>
      <c r="DM55" s="88">
        <v>8.9</v>
      </c>
      <c r="DN55" s="88">
        <v>7.9389312977099236</v>
      </c>
      <c r="DO55" s="88">
        <v>21.3</v>
      </c>
      <c r="DP55" s="88">
        <v>22.3</v>
      </c>
      <c r="DQ55" s="88">
        <v>27.3</v>
      </c>
      <c r="DR55" s="88">
        <v>30.3</v>
      </c>
      <c r="DS55" s="88">
        <v>16.839947283643287</v>
      </c>
      <c r="DT55" s="88">
        <v>15.707480365649543</v>
      </c>
      <c r="DU55" s="88">
        <v>16.315161161957818</v>
      </c>
      <c r="DV55" s="88">
        <v>13.605442176870747</v>
      </c>
      <c r="DW55" s="54">
        <v>320</v>
      </c>
      <c r="DX55" s="54">
        <v>24</v>
      </c>
      <c r="DY55" s="51">
        <v>3</v>
      </c>
      <c r="DZ55" s="53">
        <v>6</v>
      </c>
      <c r="EA55" s="53">
        <v>19</v>
      </c>
      <c r="EB55" s="53">
        <v>15</v>
      </c>
      <c r="EC55" s="53">
        <v>5</v>
      </c>
      <c r="ED55" s="51">
        <v>11</v>
      </c>
      <c r="EE55" s="53">
        <v>14</v>
      </c>
      <c r="EF55" s="53">
        <v>881</v>
      </c>
      <c r="EG55" s="53">
        <v>908</v>
      </c>
      <c r="EH55" s="53">
        <v>984</v>
      </c>
      <c r="EI55" s="53">
        <v>1019</v>
      </c>
      <c r="EJ55" s="92">
        <v>211</v>
      </c>
      <c r="EK55" s="92">
        <v>0</v>
      </c>
      <c r="EL55" s="92">
        <v>0</v>
      </c>
      <c r="EM55" s="92">
        <v>0</v>
      </c>
      <c r="EN55" s="92">
        <v>1</v>
      </c>
      <c r="EO55" s="88">
        <v>593.96595314343506</v>
      </c>
      <c r="EP55" s="88">
        <v>609.00359499919512</v>
      </c>
      <c r="EQ55" s="88">
        <v>633.19240941294572</v>
      </c>
      <c r="ER55" s="88">
        <v>622.5057396878226</v>
      </c>
      <c r="ES55" s="88">
        <v>638.5</v>
      </c>
      <c r="ET55" s="88">
        <v>688.1</v>
      </c>
      <c r="EU55" s="88">
        <v>641.6</v>
      </c>
      <c r="EV55" s="88">
        <v>584.6</v>
      </c>
      <c r="EW55" s="88">
        <v>778.45415519315725</v>
      </c>
      <c r="EX55" s="88">
        <v>877.32844826187011</v>
      </c>
      <c r="EY55" s="88">
        <v>714.593540376904</v>
      </c>
      <c r="EZ55" s="88">
        <v>718.45217466922134</v>
      </c>
      <c r="FA55" s="88">
        <v>538.71750771455868</v>
      </c>
      <c r="FB55" s="88">
        <v>557.10107119089457</v>
      </c>
      <c r="FC55" s="88">
        <v>581.0471914145179</v>
      </c>
      <c r="FD55" s="88">
        <v>482.0592308315363</v>
      </c>
      <c r="FE55" s="51">
        <v>193</v>
      </c>
      <c r="FF55" s="54">
        <v>251</v>
      </c>
      <c r="FG55" s="54">
        <v>259</v>
      </c>
      <c r="FH55" s="54">
        <v>233</v>
      </c>
      <c r="FI55" s="88">
        <v>145.5438</v>
      </c>
      <c r="FJ55" s="88">
        <v>195.81880000000001</v>
      </c>
      <c r="FK55" s="88">
        <v>171.43350000000001</v>
      </c>
      <c r="FL55" s="88">
        <v>135.5102</v>
      </c>
      <c r="FM55" s="54">
        <v>283</v>
      </c>
      <c r="FN55" s="54">
        <v>220</v>
      </c>
      <c r="FO55" s="51">
        <v>218</v>
      </c>
      <c r="FP55" s="54">
        <v>192</v>
      </c>
      <c r="FQ55" s="88">
        <v>205.31299999999999</v>
      </c>
      <c r="FR55" s="88">
        <v>166.46039999999999</v>
      </c>
      <c r="FS55" s="88">
        <v>141.7063</v>
      </c>
      <c r="FT55" s="88">
        <v>108.1867</v>
      </c>
      <c r="FU55" s="53">
        <v>80</v>
      </c>
      <c r="FV55" s="53">
        <v>61</v>
      </c>
      <c r="FW55" s="53">
        <v>67</v>
      </c>
      <c r="FX55" s="53">
        <v>69</v>
      </c>
      <c r="FY55" s="88">
        <v>57.132249999999999</v>
      </c>
      <c r="FZ55" s="88">
        <v>46.499639999999999</v>
      </c>
      <c r="GA55" s="88">
        <v>44.174570000000003</v>
      </c>
      <c r="GB55" s="88">
        <v>38.87191</v>
      </c>
      <c r="GC55" s="55">
        <v>23</v>
      </c>
      <c r="GD55" s="56">
        <v>36</v>
      </c>
      <c r="GE55" s="55">
        <v>43</v>
      </c>
      <c r="GF55" s="55">
        <v>39</v>
      </c>
      <c r="GG55" s="91">
        <v>15.826359999999999</v>
      </c>
      <c r="GH55" s="91">
        <v>24.020289999999999</v>
      </c>
      <c r="GI55" s="91">
        <v>27.326779999999999</v>
      </c>
      <c r="GJ55" s="91">
        <v>22.4315</v>
      </c>
      <c r="GK55" s="55"/>
      <c r="GL55" s="55"/>
      <c r="GM55" s="55"/>
      <c r="GN55" s="56"/>
      <c r="GO55" s="55"/>
      <c r="GP55" s="55"/>
      <c r="GQ55" s="55"/>
      <c r="GR55" s="55"/>
      <c r="GS55" s="56"/>
      <c r="GT55" s="55"/>
      <c r="GU55" s="55"/>
      <c r="GV55" s="55"/>
      <c r="GW55" s="55"/>
      <c r="GX55" s="56"/>
      <c r="GY55" s="56"/>
      <c r="GZ55" s="56"/>
      <c r="HA55" s="56"/>
      <c r="HB55" s="56"/>
      <c r="HC55" s="56"/>
      <c r="HD55" s="57"/>
      <c r="HE55" s="57"/>
      <c r="HF55" s="57"/>
      <c r="HG55" s="57"/>
      <c r="HH55" s="57"/>
      <c r="HI55" s="58"/>
      <c r="HJ55" s="58"/>
      <c r="HK55" s="55"/>
      <c r="HL55" s="56"/>
      <c r="HM55" s="56"/>
      <c r="HN55" s="56"/>
      <c r="HO55" s="56"/>
      <c r="HP55" s="56"/>
      <c r="HQ55" s="56"/>
      <c r="HR55" s="56"/>
      <c r="HS55" s="56"/>
      <c r="HT55" s="56"/>
      <c r="HU55" s="38"/>
    </row>
    <row r="56" spans="1:229" x14ac:dyDescent="0.2">
      <c r="A56" s="36">
        <v>53</v>
      </c>
      <c r="B56" s="70" t="s">
        <v>109</v>
      </c>
      <c r="C56" s="77">
        <v>20365</v>
      </c>
      <c r="D56" s="77">
        <v>20558</v>
      </c>
      <c r="E56" s="77">
        <v>21378</v>
      </c>
      <c r="F56" s="77">
        <v>21397</v>
      </c>
      <c r="G56" s="150">
        <v>21487</v>
      </c>
      <c r="H56" s="41">
        <v>18764</v>
      </c>
      <c r="I56" s="41">
        <v>838</v>
      </c>
      <c r="J56" s="41">
        <v>238</v>
      </c>
      <c r="K56" s="41">
        <v>1341</v>
      </c>
      <c r="L56" s="41">
        <v>5130</v>
      </c>
      <c r="M56" s="42">
        <v>7988</v>
      </c>
      <c r="N56" s="43">
        <v>8065</v>
      </c>
      <c r="O56" s="43">
        <v>7946</v>
      </c>
      <c r="P56" s="44">
        <v>7970</v>
      </c>
      <c r="Q56" s="44">
        <v>8001</v>
      </c>
      <c r="R56" s="87">
        <v>27.507830696329613</v>
      </c>
      <c r="S56" s="87">
        <v>27.058823529411764</v>
      </c>
      <c r="T56" s="87">
        <v>25.541448842419715</v>
      </c>
      <c r="U56" s="87">
        <v>25.412541254125411</v>
      </c>
      <c r="V56" s="87">
        <v>25.826523727415847</v>
      </c>
      <c r="W56" s="87">
        <v>36.053329049875515</v>
      </c>
      <c r="X56" s="87">
        <v>38.597904915390814</v>
      </c>
      <c r="Y56" s="87">
        <v>34.115011202389844</v>
      </c>
      <c r="Z56" s="87">
        <v>35.081008100810081</v>
      </c>
      <c r="AA56" s="42">
        <v>35.257515555888745</v>
      </c>
      <c r="AB56" s="87">
        <v>63.561159746205121</v>
      </c>
      <c r="AC56" s="87">
        <v>65.656728444802582</v>
      </c>
      <c r="AD56" s="87">
        <v>59.656460044809556</v>
      </c>
      <c r="AE56" s="87">
        <v>60.493549354935496</v>
      </c>
      <c r="AF56" s="87">
        <v>61.084039283304598</v>
      </c>
      <c r="AG56" s="44">
        <v>4.1201179730092052</v>
      </c>
      <c r="AH56" s="44">
        <v>5.4314197318666206</v>
      </c>
      <c r="AI56" s="44">
        <v>5.2465986394557822</v>
      </c>
      <c r="AJ56" s="43">
        <v>5.0937876441232142</v>
      </c>
      <c r="AK56" s="43">
        <v>4.2246220302375814</v>
      </c>
      <c r="AL56" s="47">
        <v>502.25</v>
      </c>
      <c r="AM56" s="47">
        <v>676.58333333333337</v>
      </c>
      <c r="AN56" s="47">
        <v>502.25</v>
      </c>
      <c r="AO56" s="47">
        <v>898.33333333333337</v>
      </c>
      <c r="AP56" s="47">
        <v>988.41666666666663</v>
      </c>
      <c r="AQ56" s="47">
        <v>39649.831278907084</v>
      </c>
      <c r="AR56" s="47">
        <v>38240.076572909165</v>
      </c>
      <c r="AS56" s="47">
        <v>40225.347929150099</v>
      </c>
      <c r="AT56" s="47">
        <v>42835.46750087422</v>
      </c>
      <c r="AU56" s="47">
        <v>44372.50430492856</v>
      </c>
      <c r="AV56" s="84">
        <v>48519.087294869772</v>
      </c>
      <c r="AW56" s="85">
        <v>47337.634852555486</v>
      </c>
      <c r="AX56" s="85">
        <v>47146.806388202123</v>
      </c>
      <c r="AY56" s="85">
        <v>45874.802953331979</v>
      </c>
      <c r="AZ56" s="85">
        <v>47713</v>
      </c>
      <c r="BA56" s="83">
        <v>13.3751931031046</v>
      </c>
      <c r="BB56" s="83">
        <v>12.064025293943287</v>
      </c>
      <c r="BC56" s="83">
        <v>13.805402320715237</v>
      </c>
      <c r="BD56" s="83">
        <v>14.522644109680179</v>
      </c>
      <c r="BE56" s="83">
        <v>11.101650820680195</v>
      </c>
      <c r="BF56" s="83">
        <v>15.259009009009009</v>
      </c>
      <c r="BG56" s="46">
        <v>17.181398651047214</v>
      </c>
      <c r="BH56" s="46">
        <v>18.666419019316493</v>
      </c>
      <c r="BI56" s="46">
        <v>20.779934090076896</v>
      </c>
      <c r="BJ56" s="46">
        <v>16.115552325581394</v>
      </c>
      <c r="BK56" s="42">
        <v>3595</v>
      </c>
      <c r="BL56" s="42">
        <v>3583</v>
      </c>
      <c r="BM56" s="40">
        <v>3656</v>
      </c>
      <c r="BN56" s="40">
        <v>3747</v>
      </c>
      <c r="BO56" s="43">
        <v>52.823365785813628</v>
      </c>
      <c r="BP56" s="43">
        <v>56.712252302539774</v>
      </c>
      <c r="BQ56" s="44">
        <v>58.807439824945298</v>
      </c>
      <c r="BR56" s="44">
        <v>59.781158259941286</v>
      </c>
      <c r="BS56" s="87">
        <v>10.542420027816412</v>
      </c>
      <c r="BT56" s="87">
        <v>13.591962042980743</v>
      </c>
      <c r="BU56" s="87">
        <v>15.153172866520787</v>
      </c>
      <c r="BV56" s="87">
        <v>18.681611956231652</v>
      </c>
      <c r="BW56" s="43">
        <v>15.215577190542421</v>
      </c>
      <c r="BX56" s="43">
        <v>17.220206530840077</v>
      </c>
      <c r="BY56" s="43">
        <v>16.657549234135669</v>
      </c>
      <c r="BZ56" s="43">
        <v>16.653322658126502</v>
      </c>
      <c r="CA56" s="42">
        <v>77.377049180327873</v>
      </c>
      <c r="CB56" s="42">
        <v>76</v>
      </c>
      <c r="CC56" s="42">
        <v>79.260000000000005</v>
      </c>
      <c r="CD56" s="44">
        <v>82.52</v>
      </c>
      <c r="CE56" s="43">
        <v>9.5081967213114762</v>
      </c>
      <c r="CF56" s="43">
        <v>9.454545454545455</v>
      </c>
      <c r="CG56" s="43">
        <v>9.36</v>
      </c>
      <c r="CH56" s="44">
        <v>7.12</v>
      </c>
      <c r="CI56" s="49">
        <v>1459</v>
      </c>
      <c r="CJ56" s="49">
        <v>1475</v>
      </c>
      <c r="CK56" s="54">
        <v>1688</v>
      </c>
      <c r="CL56" s="54">
        <v>1788</v>
      </c>
      <c r="CM56" s="88">
        <v>14.5</v>
      </c>
      <c r="CN56" s="88">
        <v>14.7</v>
      </c>
      <c r="CO56" s="88">
        <v>16.5</v>
      </c>
      <c r="CP56" s="88">
        <v>17</v>
      </c>
      <c r="CQ56" s="53">
        <v>67</v>
      </c>
      <c r="CR56" s="53">
        <v>61</v>
      </c>
      <c r="CS56" s="53">
        <v>98</v>
      </c>
      <c r="CT56" s="53">
        <v>65</v>
      </c>
      <c r="CU56" s="88">
        <v>4.7</v>
      </c>
      <c r="CV56" s="88">
        <v>4.3</v>
      </c>
      <c r="CW56" s="88">
        <v>6</v>
      </c>
      <c r="CX56" s="88">
        <v>3.7</v>
      </c>
      <c r="CY56" s="51">
        <v>108</v>
      </c>
      <c r="CZ56" s="53">
        <v>122</v>
      </c>
      <c r="DA56" s="53">
        <v>159</v>
      </c>
      <c r="DB56" s="53">
        <v>164</v>
      </c>
      <c r="DC56" s="88">
        <v>8</v>
      </c>
      <c r="DD56" s="88">
        <v>9.5</v>
      </c>
      <c r="DE56" s="88">
        <v>10.7</v>
      </c>
      <c r="DF56" s="88">
        <v>11</v>
      </c>
      <c r="DG56" s="88">
        <v>80.900000000000006</v>
      </c>
      <c r="DH56" s="88">
        <v>78.7</v>
      </c>
      <c r="DI56" s="88">
        <v>79.2</v>
      </c>
      <c r="DJ56" s="88">
        <v>78.5</v>
      </c>
      <c r="DK56" s="88">
        <v>5.7</v>
      </c>
      <c r="DL56" s="88">
        <v>5.7</v>
      </c>
      <c r="DM56" s="88">
        <v>6.7</v>
      </c>
      <c r="DN56" s="88">
        <v>6.7264573991031389</v>
      </c>
      <c r="DO56" s="88">
        <v>24.8</v>
      </c>
      <c r="DP56" s="88">
        <v>34.4</v>
      </c>
      <c r="DQ56" s="88">
        <v>45.6</v>
      </c>
      <c r="DR56" s="88">
        <v>48.4</v>
      </c>
      <c r="DS56" s="88">
        <v>49.80192416525184</v>
      </c>
      <c r="DT56" s="88">
        <v>41.677657610129252</v>
      </c>
      <c r="DU56" s="88">
        <v>56.689342403628117</v>
      </c>
      <c r="DV56" s="88">
        <v>61.465721040189123</v>
      </c>
      <c r="DW56" s="54">
        <v>271</v>
      </c>
      <c r="DX56" s="54">
        <v>23</v>
      </c>
      <c r="DY56" s="51">
        <v>1</v>
      </c>
      <c r="DZ56" s="53">
        <v>34</v>
      </c>
      <c r="EA56" s="53">
        <v>140</v>
      </c>
      <c r="EB56" s="53">
        <v>6</v>
      </c>
      <c r="EC56" s="53">
        <v>6</v>
      </c>
      <c r="ED56" s="51">
        <v>11</v>
      </c>
      <c r="EE56" s="53">
        <v>8</v>
      </c>
      <c r="EF56" s="53">
        <v>1035</v>
      </c>
      <c r="EG56" s="53">
        <v>976</v>
      </c>
      <c r="EH56" s="53">
        <v>923</v>
      </c>
      <c r="EI56" s="53">
        <v>869</v>
      </c>
      <c r="EJ56" s="92">
        <v>183</v>
      </c>
      <c r="EK56" s="92">
        <v>2</v>
      </c>
      <c r="EL56" s="92">
        <v>0</v>
      </c>
      <c r="EM56" s="92">
        <v>7</v>
      </c>
      <c r="EN56" s="92">
        <v>3</v>
      </c>
      <c r="EO56" s="88">
        <v>1028.4283428889396</v>
      </c>
      <c r="EP56" s="88">
        <v>971.62767546042812</v>
      </c>
      <c r="EQ56" s="88">
        <v>903.31672848628386</v>
      </c>
      <c r="ER56" s="88">
        <v>807.66565509331167</v>
      </c>
      <c r="ES56" s="88">
        <v>705.7</v>
      </c>
      <c r="ET56" s="88">
        <v>656</v>
      </c>
      <c r="EU56" s="88">
        <v>598.79999999999995</v>
      </c>
      <c r="EV56" s="88">
        <v>573.29999999999995</v>
      </c>
      <c r="EW56" s="88">
        <v>891.92186813140802</v>
      </c>
      <c r="EX56" s="88">
        <v>868.12464647011052</v>
      </c>
      <c r="EY56" s="88">
        <v>750.13146371661401</v>
      </c>
      <c r="EZ56" s="88">
        <v>668.67747587478334</v>
      </c>
      <c r="FA56" s="88">
        <v>578.11279443511205</v>
      </c>
      <c r="FB56" s="88">
        <v>509.22082329702931</v>
      </c>
      <c r="FC56" s="88">
        <v>493.41387259132193</v>
      </c>
      <c r="FD56" s="88">
        <v>499.6069361554396</v>
      </c>
      <c r="FE56" s="51">
        <v>255</v>
      </c>
      <c r="FF56" s="54">
        <v>238</v>
      </c>
      <c r="FG56" s="54">
        <v>212</v>
      </c>
      <c r="FH56" s="54">
        <v>187</v>
      </c>
      <c r="FI56" s="88">
        <v>186.47929999999999</v>
      </c>
      <c r="FJ56" s="88">
        <v>172.29159999999999</v>
      </c>
      <c r="FK56" s="88">
        <v>148.81010000000001</v>
      </c>
      <c r="FL56" s="88">
        <v>135.04320000000001</v>
      </c>
      <c r="FM56" s="54">
        <v>346</v>
      </c>
      <c r="FN56" s="54">
        <v>272</v>
      </c>
      <c r="FO56" s="51">
        <v>236</v>
      </c>
      <c r="FP56" s="54">
        <v>162</v>
      </c>
      <c r="FQ56" s="88">
        <v>228.66200000000001</v>
      </c>
      <c r="FR56" s="88">
        <v>173.1549</v>
      </c>
      <c r="FS56" s="88">
        <v>144.4341</v>
      </c>
      <c r="FT56" s="88">
        <v>101.5633</v>
      </c>
      <c r="FU56" s="53">
        <v>86</v>
      </c>
      <c r="FV56" s="53">
        <v>72</v>
      </c>
      <c r="FW56" s="53">
        <v>64</v>
      </c>
      <c r="FX56" s="53">
        <v>33</v>
      </c>
      <c r="FY56" s="88">
        <v>53.669510000000002</v>
      </c>
      <c r="FZ56" s="88">
        <v>44.518090000000001</v>
      </c>
      <c r="GA56" s="88">
        <v>39.097560000000001</v>
      </c>
      <c r="GB56" s="88">
        <v>20.718540000000001</v>
      </c>
      <c r="GC56" s="55">
        <v>42</v>
      </c>
      <c r="GD56" s="56">
        <v>35</v>
      </c>
      <c r="GE56" s="55">
        <v>44</v>
      </c>
      <c r="GF56" s="55">
        <v>40</v>
      </c>
      <c r="GG56" s="91">
        <v>34.62491</v>
      </c>
      <c r="GH56" s="91">
        <v>30.009869999999999</v>
      </c>
      <c r="GI56" s="91">
        <v>37.856569999999998</v>
      </c>
      <c r="GJ56" s="91">
        <v>33.488520000000001</v>
      </c>
      <c r="GK56" s="55"/>
      <c r="GL56" s="55"/>
      <c r="GM56" s="55"/>
      <c r="GN56" s="56"/>
      <c r="GO56" s="55"/>
      <c r="GP56" s="55"/>
      <c r="GQ56" s="55"/>
      <c r="GR56" s="55"/>
      <c r="GS56" s="56"/>
      <c r="GT56" s="55"/>
      <c r="GU56" s="55"/>
      <c r="GV56" s="55"/>
      <c r="GW56" s="55"/>
      <c r="GX56" s="56"/>
      <c r="GY56" s="56"/>
      <c r="GZ56" s="56"/>
      <c r="HA56" s="56"/>
      <c r="HB56" s="56"/>
      <c r="HC56" s="56"/>
      <c r="HD56" s="57"/>
      <c r="HE56" s="57"/>
      <c r="HF56" s="57"/>
      <c r="HG56" s="57"/>
      <c r="HH56" s="57"/>
      <c r="HI56" s="58"/>
      <c r="HJ56" s="58"/>
      <c r="HK56" s="55"/>
      <c r="HL56" s="56"/>
      <c r="HM56" s="56"/>
      <c r="HN56" s="56"/>
      <c r="HO56" s="56"/>
      <c r="HP56" s="56"/>
      <c r="HQ56" s="56"/>
      <c r="HR56" s="56"/>
      <c r="HS56" s="56"/>
      <c r="HT56" s="56"/>
      <c r="HU56" s="38"/>
    </row>
    <row r="57" spans="1:229" x14ac:dyDescent="0.2">
      <c r="A57" s="36">
        <v>54</v>
      </c>
      <c r="B57" s="70" t="s">
        <v>110</v>
      </c>
      <c r="C57" s="77">
        <v>6605</v>
      </c>
      <c r="D57" s="77">
        <v>6455</v>
      </c>
      <c r="E57" s="77">
        <v>6852</v>
      </c>
      <c r="F57" s="77">
        <v>6869</v>
      </c>
      <c r="G57" s="150">
        <v>6634</v>
      </c>
      <c r="H57" s="41">
        <v>6319</v>
      </c>
      <c r="I57" s="41">
        <v>24</v>
      </c>
      <c r="J57" s="41">
        <v>111</v>
      </c>
      <c r="K57" s="41">
        <v>33</v>
      </c>
      <c r="L57" s="41">
        <v>271</v>
      </c>
      <c r="M57" s="42">
        <v>2891</v>
      </c>
      <c r="N57" s="43">
        <v>2861</v>
      </c>
      <c r="O57" s="43">
        <v>2863</v>
      </c>
      <c r="P57" s="44">
        <v>2872</v>
      </c>
      <c r="Q57" s="44">
        <v>2796</v>
      </c>
      <c r="R57" s="87">
        <v>34.94809688581315</v>
      </c>
      <c r="S57" s="87">
        <v>35.600313889615485</v>
      </c>
      <c r="T57" s="87">
        <v>36.388474913065075</v>
      </c>
      <c r="U57" s="87">
        <v>36.289926289926292</v>
      </c>
      <c r="V57" s="87">
        <v>36.469398077895804</v>
      </c>
      <c r="W57" s="87">
        <v>28.299555116164111</v>
      </c>
      <c r="X57" s="87">
        <v>33.246141773476324</v>
      </c>
      <c r="Y57" s="87">
        <v>33.80526577247889</v>
      </c>
      <c r="Z57" s="87">
        <v>32.481572481572485</v>
      </c>
      <c r="AA57" s="42">
        <v>31.310065756196256</v>
      </c>
      <c r="AB57" s="87">
        <v>63.247652001977265</v>
      </c>
      <c r="AC57" s="87">
        <v>68.846455663091817</v>
      </c>
      <c r="AD57" s="87">
        <v>70.193740685543958</v>
      </c>
      <c r="AE57" s="87">
        <v>68.77149877149877</v>
      </c>
      <c r="AF57" s="87">
        <v>67.779463834092056</v>
      </c>
      <c r="AG57" s="44">
        <v>5.577464788732394</v>
      </c>
      <c r="AH57" s="44">
        <v>6.6592674805771361</v>
      </c>
      <c r="AI57" s="44">
        <v>6.2964930924548357</v>
      </c>
      <c r="AJ57" s="43">
        <v>6.1988921128989709</v>
      </c>
      <c r="AK57" s="43">
        <v>5.4779806659505912</v>
      </c>
      <c r="AL57" s="47">
        <v>174.91666666666666</v>
      </c>
      <c r="AM57" s="47">
        <v>219.25</v>
      </c>
      <c r="AN57" s="47">
        <v>174.91666666666666</v>
      </c>
      <c r="AO57" s="47">
        <v>311.91666666666669</v>
      </c>
      <c r="AP57" s="47">
        <v>323.16666666666669</v>
      </c>
      <c r="AQ57" s="47">
        <v>46998.049342892191</v>
      </c>
      <c r="AR57" s="47">
        <v>38889.681445180497</v>
      </c>
      <c r="AS57" s="47">
        <v>43795.208934050221</v>
      </c>
      <c r="AT57" s="47">
        <v>43635.475442329822</v>
      </c>
      <c r="AU57" s="47">
        <v>51150.738619234246</v>
      </c>
      <c r="AV57" s="84">
        <v>44250.380148748678</v>
      </c>
      <c r="AW57" s="85">
        <v>47062.596483982095</v>
      </c>
      <c r="AX57" s="85">
        <v>43564.756779414944</v>
      </c>
      <c r="AY57" s="85">
        <v>45498.169239019386</v>
      </c>
      <c r="AZ57" s="85">
        <v>45043</v>
      </c>
      <c r="BA57" s="83">
        <v>11.969532100108815</v>
      </c>
      <c r="BB57" s="83">
        <v>13.999044433827043</v>
      </c>
      <c r="BC57" s="83">
        <v>11.255411255411255</v>
      </c>
      <c r="BD57" s="83">
        <v>12.544696066746127</v>
      </c>
      <c r="BE57" s="83">
        <v>11.680296250578614</v>
      </c>
      <c r="BF57" s="83">
        <v>15.166548547129695</v>
      </c>
      <c r="BG57" s="46">
        <v>19.61904761904762</v>
      </c>
      <c r="BH57" s="46">
        <v>17.661538461538463</v>
      </c>
      <c r="BI57" s="46">
        <v>18.470149253731343</v>
      </c>
      <c r="BJ57" s="46">
        <v>16.677567037279267</v>
      </c>
      <c r="BK57" s="42">
        <v>1136</v>
      </c>
      <c r="BL57" s="42">
        <v>1119</v>
      </c>
      <c r="BM57" s="40">
        <v>1117</v>
      </c>
      <c r="BN57" s="40">
        <v>1094</v>
      </c>
      <c r="BO57" s="43">
        <v>47.535211267605632</v>
      </c>
      <c r="BP57" s="43">
        <v>45.755138516532618</v>
      </c>
      <c r="BQ57" s="44">
        <v>46.821844225604295</v>
      </c>
      <c r="BR57" s="44">
        <v>50</v>
      </c>
      <c r="BS57" s="87">
        <v>1.6725352112676057</v>
      </c>
      <c r="BT57" s="87">
        <v>1.6979445933869526</v>
      </c>
      <c r="BU57" s="87">
        <v>1.7009847806624887</v>
      </c>
      <c r="BV57" s="87">
        <v>0.63985374771480807</v>
      </c>
      <c r="BW57" s="43">
        <v>16.285211267605632</v>
      </c>
      <c r="BX57" s="43">
        <v>16.443252904378909</v>
      </c>
      <c r="BY57" s="43">
        <v>16.562220232766339</v>
      </c>
      <c r="BZ57" s="43">
        <v>17.550274223034734</v>
      </c>
      <c r="CA57" s="42">
        <v>92.857142857142861</v>
      </c>
      <c r="CB57" s="42">
        <v>82.291666666666671</v>
      </c>
      <c r="CC57" s="42">
        <v>84.26</v>
      </c>
      <c r="CD57" s="44">
        <v>90.59</v>
      </c>
      <c r="CE57" s="43">
        <v>2.0408163265306123</v>
      </c>
      <c r="CF57" s="43">
        <v>3.125</v>
      </c>
      <c r="CG57" s="43">
        <v>0.93</v>
      </c>
      <c r="CH57" s="44">
        <v>2.35</v>
      </c>
      <c r="CI57" s="49">
        <v>455</v>
      </c>
      <c r="CJ57" s="49">
        <v>358</v>
      </c>
      <c r="CK57" s="51">
        <v>374</v>
      </c>
      <c r="CL57" s="51">
        <v>361</v>
      </c>
      <c r="CM57" s="88">
        <v>11.8</v>
      </c>
      <c r="CN57" s="88">
        <v>9.6</v>
      </c>
      <c r="CO57" s="88">
        <v>10.7</v>
      </c>
      <c r="CP57" s="88">
        <v>10.8</v>
      </c>
      <c r="CQ57" s="53">
        <v>24</v>
      </c>
      <c r="CR57" s="53">
        <v>12</v>
      </c>
      <c r="CS57" s="53">
        <v>18</v>
      </c>
      <c r="CT57" s="53">
        <v>18</v>
      </c>
      <c r="CU57" s="88">
        <v>5.4</v>
      </c>
      <c r="CV57" s="88">
        <v>3.4</v>
      </c>
      <c r="CW57" s="88">
        <v>5</v>
      </c>
      <c r="CX57" s="88">
        <v>5.3</v>
      </c>
      <c r="CY57" s="51">
        <v>33</v>
      </c>
      <c r="CZ57" s="53">
        <v>22</v>
      </c>
      <c r="DA57" s="53">
        <v>38</v>
      </c>
      <c r="DB57" s="53">
        <v>24</v>
      </c>
      <c r="DC57" s="88">
        <v>7.6</v>
      </c>
      <c r="DD57" s="88">
        <v>6.8</v>
      </c>
      <c r="DE57" s="88">
        <v>11.5</v>
      </c>
      <c r="DF57" s="88">
        <v>9.1999999999999993</v>
      </c>
      <c r="DG57" s="88">
        <v>77</v>
      </c>
      <c r="DH57" s="88">
        <v>82.6</v>
      </c>
      <c r="DI57" s="88">
        <v>81.900000000000006</v>
      </c>
      <c r="DJ57" s="88">
        <v>82.6</v>
      </c>
      <c r="DK57" s="88">
        <v>18.399999999999999</v>
      </c>
      <c r="DL57" s="88">
        <v>21.8</v>
      </c>
      <c r="DM57" s="88">
        <v>18</v>
      </c>
      <c r="DN57" s="88">
        <v>19.101123595505619</v>
      </c>
      <c r="DO57" s="88">
        <v>19.8</v>
      </c>
      <c r="DP57" s="88">
        <v>22.9</v>
      </c>
      <c r="DQ57" s="88">
        <v>31.3</v>
      </c>
      <c r="DR57" s="88">
        <v>34.6</v>
      </c>
      <c r="DS57" s="88">
        <v>39.603960396039604</v>
      </c>
      <c r="DT57" s="88">
        <v>18.982536066818525</v>
      </c>
      <c r="DU57" s="88">
        <v>21.224489795918366</v>
      </c>
      <c r="DV57" s="88">
        <v>19.830028328611899</v>
      </c>
      <c r="DW57" s="54">
        <v>64</v>
      </c>
      <c r="DX57" s="54">
        <v>1</v>
      </c>
      <c r="DY57" s="51">
        <v>2</v>
      </c>
      <c r="DZ57" s="53">
        <v>3</v>
      </c>
      <c r="EA57" s="53">
        <v>7</v>
      </c>
      <c r="EB57" s="53">
        <v>3</v>
      </c>
      <c r="EC57" s="53">
        <v>1</v>
      </c>
      <c r="ED57" s="51">
        <v>1</v>
      </c>
      <c r="EE57" s="53">
        <v>0</v>
      </c>
      <c r="EF57" s="53">
        <v>607</v>
      </c>
      <c r="EG57" s="53">
        <v>490</v>
      </c>
      <c r="EH57" s="53">
        <v>515</v>
      </c>
      <c r="EI57" s="53">
        <v>469</v>
      </c>
      <c r="EJ57" s="92">
        <v>94</v>
      </c>
      <c r="EK57" s="92">
        <v>0</v>
      </c>
      <c r="EL57" s="92">
        <v>2</v>
      </c>
      <c r="EM57" s="92">
        <v>0</v>
      </c>
      <c r="EN57" s="92">
        <v>1</v>
      </c>
      <c r="EO57" s="88">
        <v>1570.098292809105</v>
      </c>
      <c r="EP57" s="88">
        <v>1318.6931481780505</v>
      </c>
      <c r="EQ57" s="88">
        <v>1479.2899408284025</v>
      </c>
      <c r="ER57" s="88">
        <v>1385.3104813113775</v>
      </c>
      <c r="ES57" s="88">
        <v>894.8</v>
      </c>
      <c r="ET57" s="88">
        <v>768.9</v>
      </c>
      <c r="EU57" s="88">
        <v>868.8</v>
      </c>
      <c r="EV57" s="88">
        <v>775.4</v>
      </c>
      <c r="EW57" s="88">
        <v>1136.8646801352115</v>
      </c>
      <c r="EX57" s="88">
        <v>989.7614354247944</v>
      </c>
      <c r="EY57" s="88">
        <v>1093.8728732014222</v>
      </c>
      <c r="EZ57" s="88">
        <v>942.33793636222754</v>
      </c>
      <c r="FA57" s="88">
        <v>688.52700647479401</v>
      </c>
      <c r="FB57" s="88">
        <v>602.18751512884558</v>
      </c>
      <c r="FC57" s="88">
        <v>683.02854799819897</v>
      </c>
      <c r="FD57" s="88">
        <v>610.93792394547813</v>
      </c>
      <c r="FE57" s="51">
        <v>126</v>
      </c>
      <c r="FF57" s="54">
        <v>112</v>
      </c>
      <c r="FG57" s="54">
        <v>121</v>
      </c>
      <c r="FH57" s="54">
        <v>97</v>
      </c>
      <c r="FI57" s="88">
        <v>198.428</v>
      </c>
      <c r="FJ57" s="88">
        <v>185.0778</v>
      </c>
      <c r="FK57" s="88">
        <v>219.11490000000001</v>
      </c>
      <c r="FL57" s="88">
        <v>169.85390000000001</v>
      </c>
      <c r="FM57" s="54">
        <v>211</v>
      </c>
      <c r="FN57" s="54">
        <v>112</v>
      </c>
      <c r="FO57" s="51">
        <v>111</v>
      </c>
      <c r="FP57" s="54">
        <v>89</v>
      </c>
      <c r="FQ57" s="88">
        <v>288.03519999999997</v>
      </c>
      <c r="FR57" s="88">
        <v>167.1414</v>
      </c>
      <c r="FS57" s="88">
        <v>171.3613</v>
      </c>
      <c r="FT57" s="88">
        <v>142.8407</v>
      </c>
      <c r="FU57" s="53">
        <v>59</v>
      </c>
      <c r="FV57" s="53">
        <v>39</v>
      </c>
      <c r="FW57" s="53">
        <v>27</v>
      </c>
      <c r="FX57" s="53">
        <v>22</v>
      </c>
      <c r="FY57" s="88">
        <v>76.077950000000001</v>
      </c>
      <c r="FZ57" s="88">
        <v>53.58737</v>
      </c>
      <c r="GA57" s="88">
        <v>40.6708</v>
      </c>
      <c r="GB57" s="88">
        <v>31.3675</v>
      </c>
      <c r="GC57" s="55">
        <v>29</v>
      </c>
      <c r="GD57" s="56">
        <v>20</v>
      </c>
      <c r="GE57" s="55">
        <v>23</v>
      </c>
      <c r="GF57" s="55">
        <v>18</v>
      </c>
      <c r="GG57" s="91">
        <v>67.754329999999996</v>
      </c>
      <c r="GH57" s="91">
        <v>48.49315</v>
      </c>
      <c r="GI57" s="91">
        <v>63.6449</v>
      </c>
      <c r="GJ57" s="91">
        <v>43.668880000000001</v>
      </c>
      <c r="GK57" s="55"/>
      <c r="GL57" s="55"/>
      <c r="GM57" s="55"/>
      <c r="GN57" s="56"/>
      <c r="GO57" s="55"/>
      <c r="GP57" s="55"/>
      <c r="GQ57" s="55"/>
      <c r="GR57" s="55"/>
      <c r="GS57" s="56"/>
      <c r="GT57" s="55"/>
      <c r="GU57" s="55"/>
      <c r="GV57" s="55"/>
      <c r="GW57" s="55"/>
      <c r="GX57" s="56"/>
      <c r="GY57" s="56"/>
      <c r="GZ57" s="56"/>
      <c r="HA57" s="56"/>
      <c r="HB57" s="56"/>
      <c r="HC57" s="56"/>
      <c r="HD57" s="57"/>
      <c r="HE57" s="57"/>
      <c r="HF57" s="57"/>
      <c r="HG57" s="57"/>
      <c r="HH57" s="57"/>
      <c r="HI57" s="58"/>
      <c r="HJ57" s="58"/>
      <c r="HK57" s="55"/>
      <c r="HL57" s="56"/>
      <c r="HM57" s="56"/>
      <c r="HN57" s="56"/>
      <c r="HO57" s="56"/>
      <c r="HP57" s="56"/>
      <c r="HQ57" s="56"/>
      <c r="HR57" s="56"/>
      <c r="HS57" s="56"/>
      <c r="HT57" s="56"/>
      <c r="HU57" s="38"/>
    </row>
    <row r="58" spans="1:229" x14ac:dyDescent="0.2">
      <c r="A58" s="36">
        <v>55</v>
      </c>
      <c r="B58" s="70" t="s">
        <v>111</v>
      </c>
      <c r="C58" s="77">
        <v>141360</v>
      </c>
      <c r="D58" s="77">
        <v>143962</v>
      </c>
      <c r="E58" s="77">
        <v>144248</v>
      </c>
      <c r="F58" s="77">
        <v>145769</v>
      </c>
      <c r="G58" s="150">
        <v>147066</v>
      </c>
      <c r="H58" s="41">
        <v>127159</v>
      </c>
      <c r="I58" s="41">
        <v>7853</v>
      </c>
      <c r="J58" s="41">
        <v>480</v>
      </c>
      <c r="K58" s="41">
        <v>8654</v>
      </c>
      <c r="L58" s="41">
        <v>6494</v>
      </c>
      <c r="M58" s="42">
        <v>56383</v>
      </c>
      <c r="N58" s="43">
        <v>57109</v>
      </c>
      <c r="O58" s="43">
        <v>57080</v>
      </c>
      <c r="P58" s="44">
        <v>57595</v>
      </c>
      <c r="Q58" s="44">
        <v>58209</v>
      </c>
      <c r="R58" s="87">
        <v>18.102605517065498</v>
      </c>
      <c r="S58" s="87">
        <v>18.598385564060525</v>
      </c>
      <c r="T58" s="87">
        <v>19.00076493456142</v>
      </c>
      <c r="U58" s="87">
        <v>19.63793372522499</v>
      </c>
      <c r="V58" s="87">
        <v>20.259008892431599</v>
      </c>
      <c r="W58" s="87">
        <v>32.107791048582477</v>
      </c>
      <c r="X58" s="87">
        <v>31.73630183477616</v>
      </c>
      <c r="Y58" s="87">
        <v>32.150304402041222</v>
      </c>
      <c r="Z58" s="87">
        <v>32.023097331321857</v>
      </c>
      <c r="AA58" s="42">
        <v>31.984803155312168</v>
      </c>
      <c r="AB58" s="87">
        <v>50.210396565647976</v>
      </c>
      <c r="AC58" s="87">
        <v>50.334687398836685</v>
      </c>
      <c r="AD58" s="87">
        <v>51.151069336602646</v>
      </c>
      <c r="AE58" s="87">
        <v>51.661031056546847</v>
      </c>
      <c r="AF58" s="87">
        <v>52.243812047743766</v>
      </c>
      <c r="AG58" s="44">
        <v>4.4006277714114894</v>
      </c>
      <c r="AH58" s="44">
        <v>6.3542367696543289</v>
      </c>
      <c r="AI58" s="44">
        <v>5.9122362457969881</v>
      </c>
      <c r="AJ58" s="43">
        <v>5.2371114207466487</v>
      </c>
      <c r="AK58" s="43">
        <v>4.5006826604252002</v>
      </c>
      <c r="AL58" s="47">
        <v>3083.5833333333335</v>
      </c>
      <c r="AM58" s="47">
        <v>4027.8333333333335</v>
      </c>
      <c r="AN58" s="47">
        <v>3083.5833333333335</v>
      </c>
      <c r="AO58" s="47">
        <v>5422.25</v>
      </c>
      <c r="AP58" s="47">
        <v>5763</v>
      </c>
      <c r="AQ58" s="47">
        <v>46089.959844265846</v>
      </c>
      <c r="AR58" s="47">
        <v>45679.560146140378</v>
      </c>
      <c r="AS58" s="47">
        <v>47967.898398199533</v>
      </c>
      <c r="AT58" s="47">
        <v>46678.72583115095</v>
      </c>
      <c r="AU58" s="47">
        <v>47402.37036432622</v>
      </c>
      <c r="AV58" s="84">
        <v>71439.794614062092</v>
      </c>
      <c r="AW58" s="85">
        <v>68545.554502434359</v>
      </c>
      <c r="AX58" s="85">
        <v>64609.56146219842</v>
      </c>
      <c r="AY58" s="85">
        <v>68383.005305693237</v>
      </c>
      <c r="AZ58" s="85">
        <v>64385</v>
      </c>
      <c r="BA58" s="83">
        <v>7.5580309019044201</v>
      </c>
      <c r="BB58" s="83">
        <v>7.6389968209113386</v>
      </c>
      <c r="BC58" s="83">
        <v>8.5429644107597333</v>
      </c>
      <c r="BD58" s="83">
        <v>7.9664029554246678</v>
      </c>
      <c r="BE58" s="83">
        <v>9.7538911983647996</v>
      </c>
      <c r="BF58" s="83">
        <v>9.3177475553557372</v>
      </c>
      <c r="BG58" s="46">
        <v>9.8393517603546119</v>
      </c>
      <c r="BH58" s="46">
        <v>11.083709717642495</v>
      </c>
      <c r="BI58" s="46">
        <v>10.820234669028116</v>
      </c>
      <c r="BJ58" s="46">
        <v>11.429121302100517</v>
      </c>
      <c r="BK58" s="42">
        <v>22353</v>
      </c>
      <c r="BL58" s="42">
        <v>22556</v>
      </c>
      <c r="BM58" s="40">
        <v>22616</v>
      </c>
      <c r="BN58" s="40">
        <v>22863</v>
      </c>
      <c r="BO58" s="43">
        <v>29.450185657406166</v>
      </c>
      <c r="BP58" s="43">
        <v>30.909735768753325</v>
      </c>
      <c r="BQ58" s="44">
        <v>31.681110718075697</v>
      </c>
      <c r="BR58" s="44">
        <v>34.321830031054539</v>
      </c>
      <c r="BS58" s="87">
        <v>10.325235986221088</v>
      </c>
      <c r="BT58" s="87">
        <v>9.9485724419223267</v>
      </c>
      <c r="BU58" s="87">
        <v>9.1439688715953302</v>
      </c>
      <c r="BV58" s="87">
        <v>9.2901194069019812</v>
      </c>
      <c r="BW58" s="43">
        <v>11.483917147586453</v>
      </c>
      <c r="BX58" s="43">
        <v>11.83277176804398</v>
      </c>
      <c r="BY58" s="43">
        <v>12.66802263883976</v>
      </c>
      <c r="BZ58" s="43">
        <v>12.867952587149542</v>
      </c>
      <c r="CA58" s="42">
        <v>79.491341991341997</v>
      </c>
      <c r="CB58" s="42">
        <v>78.311258278145701</v>
      </c>
      <c r="CC58" s="42">
        <v>80.48</v>
      </c>
      <c r="CD58" s="44">
        <v>80.63</v>
      </c>
      <c r="CE58" s="43">
        <v>4.437229437229437</v>
      </c>
      <c r="CF58" s="43">
        <v>5.5739514348785875</v>
      </c>
      <c r="CG58" s="43">
        <v>5.44</v>
      </c>
      <c r="CH58" s="44">
        <v>4.9000000000000004</v>
      </c>
      <c r="CI58" s="49">
        <v>8737</v>
      </c>
      <c r="CJ58" s="49">
        <v>9337</v>
      </c>
      <c r="CK58" s="54">
        <v>10968</v>
      </c>
      <c r="CL58" s="54">
        <v>10915</v>
      </c>
      <c r="CM58" s="88">
        <v>15.4</v>
      </c>
      <c r="CN58" s="88">
        <v>15.2</v>
      </c>
      <c r="CO58" s="88">
        <v>16.2</v>
      </c>
      <c r="CP58" s="88">
        <v>15.1</v>
      </c>
      <c r="CQ58" s="53">
        <v>359</v>
      </c>
      <c r="CR58" s="53">
        <v>409</v>
      </c>
      <c r="CS58" s="53">
        <v>500</v>
      </c>
      <c r="CT58" s="53">
        <v>460</v>
      </c>
      <c r="CU58" s="88">
        <v>4.3</v>
      </c>
      <c r="CV58" s="88">
        <v>4.5999999999999996</v>
      </c>
      <c r="CW58" s="88">
        <v>4.7</v>
      </c>
      <c r="CX58" s="88">
        <v>4.4000000000000004</v>
      </c>
      <c r="CY58" s="51">
        <v>523</v>
      </c>
      <c r="CZ58" s="53">
        <v>695</v>
      </c>
      <c r="DA58" s="53">
        <v>853</v>
      </c>
      <c r="DB58" s="53">
        <v>750</v>
      </c>
      <c r="DC58" s="88">
        <v>6.8</v>
      </c>
      <c r="DD58" s="88">
        <v>8.6</v>
      </c>
      <c r="DE58" s="88">
        <v>8.3000000000000007</v>
      </c>
      <c r="DF58" s="88">
        <v>7.4</v>
      </c>
      <c r="DG58" s="88">
        <v>85.9</v>
      </c>
      <c r="DH58" s="88">
        <v>88.3</v>
      </c>
      <c r="DI58" s="88">
        <v>93</v>
      </c>
      <c r="DJ58" s="88">
        <v>91.1</v>
      </c>
      <c r="DK58" s="88">
        <v>9.9</v>
      </c>
      <c r="DL58" s="88">
        <v>8.3000000000000007</v>
      </c>
      <c r="DM58" s="88">
        <v>7</v>
      </c>
      <c r="DN58" s="88">
        <v>7.2528883183568675</v>
      </c>
      <c r="DO58" s="88">
        <v>17.3</v>
      </c>
      <c r="DP58" s="88">
        <v>20.100000000000001</v>
      </c>
      <c r="DQ58" s="88">
        <v>24.8</v>
      </c>
      <c r="DR58" s="88">
        <v>27.2</v>
      </c>
      <c r="DS58" s="88">
        <v>26.530401569113245</v>
      </c>
      <c r="DT58" s="88">
        <v>25.944365779016124</v>
      </c>
      <c r="DU58" s="88">
        <v>26.186796202252154</v>
      </c>
      <c r="DV58" s="88">
        <v>21.457015694542047</v>
      </c>
      <c r="DW58" s="54">
        <v>1695</v>
      </c>
      <c r="DX58" s="54">
        <v>201</v>
      </c>
      <c r="DY58" s="51">
        <v>0</v>
      </c>
      <c r="DZ58" s="53">
        <v>169</v>
      </c>
      <c r="EA58" s="53">
        <v>98</v>
      </c>
      <c r="EB58" s="53">
        <v>52</v>
      </c>
      <c r="EC58" s="53">
        <v>48</v>
      </c>
      <c r="ED58" s="51">
        <v>50</v>
      </c>
      <c r="EE58" s="53">
        <v>77</v>
      </c>
      <c r="EF58" s="53">
        <v>3498</v>
      </c>
      <c r="EG58" s="53">
        <v>3932</v>
      </c>
      <c r="EH58" s="53">
        <v>4066</v>
      </c>
      <c r="EI58" s="53">
        <v>4511</v>
      </c>
      <c r="EJ58" s="92">
        <v>901</v>
      </c>
      <c r="EK58" s="92">
        <v>15</v>
      </c>
      <c r="EL58" s="92">
        <v>1</v>
      </c>
      <c r="EM58" s="92">
        <v>15</v>
      </c>
      <c r="EN58" s="92">
        <v>12</v>
      </c>
      <c r="EO58" s="88">
        <v>617.72216276926008</v>
      </c>
      <c r="EP58" s="88">
        <v>638.63515286963525</v>
      </c>
      <c r="EQ58" s="88">
        <v>600.48085727281853</v>
      </c>
      <c r="ER58" s="88">
        <v>621.72041179200437</v>
      </c>
      <c r="ES58" s="88">
        <v>710</v>
      </c>
      <c r="ET58" s="88">
        <v>675.2</v>
      </c>
      <c r="EU58" s="88">
        <v>594.70000000000005</v>
      </c>
      <c r="EV58" s="88">
        <v>573.4</v>
      </c>
      <c r="EW58" s="88">
        <v>933.67400661641636</v>
      </c>
      <c r="EX58" s="88">
        <v>832.75415922868342</v>
      </c>
      <c r="EY58" s="88">
        <v>712.01385720915243</v>
      </c>
      <c r="EZ58" s="88">
        <v>677.36723357493543</v>
      </c>
      <c r="FA58" s="88">
        <v>573.67822456441843</v>
      </c>
      <c r="FB58" s="88">
        <v>560.47555748888044</v>
      </c>
      <c r="FC58" s="88">
        <v>496.30547697846544</v>
      </c>
      <c r="FD58" s="88">
        <v>489.80427344776899</v>
      </c>
      <c r="FE58" s="51">
        <v>929</v>
      </c>
      <c r="FF58" s="54">
        <v>995</v>
      </c>
      <c r="FG58" s="54">
        <v>1021</v>
      </c>
      <c r="FH58" s="54">
        <v>1126</v>
      </c>
      <c r="FI58" s="88">
        <v>195.3365</v>
      </c>
      <c r="FJ58" s="88">
        <v>177.66480000000001</v>
      </c>
      <c r="FK58" s="88">
        <v>154.54769999999999</v>
      </c>
      <c r="FL58" s="88">
        <v>148.32490000000001</v>
      </c>
      <c r="FM58" s="54">
        <v>910</v>
      </c>
      <c r="FN58" s="54">
        <v>967</v>
      </c>
      <c r="FO58" s="51">
        <v>888</v>
      </c>
      <c r="FP58" s="54">
        <v>907</v>
      </c>
      <c r="FQ58" s="88">
        <v>186.92150000000001</v>
      </c>
      <c r="FR58" s="88">
        <v>164.70140000000001</v>
      </c>
      <c r="FS58" s="88">
        <v>129.1172</v>
      </c>
      <c r="FT58" s="88">
        <v>112.9464</v>
      </c>
      <c r="FU58" s="53">
        <v>216</v>
      </c>
      <c r="FV58" s="53">
        <v>274</v>
      </c>
      <c r="FW58" s="53">
        <v>215</v>
      </c>
      <c r="FX58" s="53">
        <v>219</v>
      </c>
      <c r="FY58" s="88">
        <v>43.726039999999998</v>
      </c>
      <c r="FZ58" s="88">
        <v>46.474980000000002</v>
      </c>
      <c r="GA58" s="88">
        <v>31.011810000000001</v>
      </c>
      <c r="GB58" s="88">
        <v>27.13768</v>
      </c>
      <c r="GC58" s="55">
        <v>202</v>
      </c>
      <c r="GD58" s="56">
        <v>210</v>
      </c>
      <c r="GE58" s="55">
        <v>233</v>
      </c>
      <c r="GF58" s="55">
        <v>260</v>
      </c>
      <c r="GG58" s="91">
        <v>37.305140000000002</v>
      </c>
      <c r="GH58" s="91">
        <v>34.911180000000002</v>
      </c>
      <c r="GI58" s="91">
        <v>33.333350000000003</v>
      </c>
      <c r="GJ58" s="91">
        <v>33.55189</v>
      </c>
      <c r="GK58" s="55"/>
      <c r="GL58" s="55"/>
      <c r="GM58" s="55"/>
      <c r="GN58" s="56"/>
      <c r="GO58" s="55"/>
      <c r="GP58" s="55"/>
      <c r="GQ58" s="55"/>
      <c r="GR58" s="55"/>
      <c r="GS58" s="56"/>
      <c r="GT58" s="55"/>
      <c r="GU58" s="55"/>
      <c r="GV58" s="55"/>
      <c r="GW58" s="55"/>
      <c r="GX58" s="56"/>
      <c r="GY58" s="56"/>
      <c r="GZ58" s="56"/>
      <c r="HA58" s="56"/>
      <c r="HB58" s="56"/>
      <c r="HC58" s="56"/>
      <c r="HD58" s="57"/>
      <c r="HE58" s="57"/>
      <c r="HF58" s="57"/>
      <c r="HG58" s="57"/>
      <c r="HH58" s="57"/>
      <c r="HI58" s="58"/>
      <c r="HJ58" s="58"/>
      <c r="HK58" s="55"/>
      <c r="HL58" s="56"/>
      <c r="HM58" s="56"/>
      <c r="HN58" s="56"/>
      <c r="HO58" s="56"/>
      <c r="HP58" s="56"/>
      <c r="HQ58" s="56"/>
      <c r="HR58" s="56"/>
      <c r="HS58" s="56"/>
      <c r="HT58" s="56"/>
      <c r="HU58" s="38"/>
    </row>
    <row r="59" spans="1:229" x14ac:dyDescent="0.2">
      <c r="A59" s="36">
        <v>56</v>
      </c>
      <c r="B59" s="70" t="s">
        <v>112</v>
      </c>
      <c r="C59" s="77">
        <v>56786</v>
      </c>
      <c r="D59" s="77">
        <v>56588</v>
      </c>
      <c r="E59" s="77">
        <v>57303</v>
      </c>
      <c r="F59" s="77">
        <v>57252</v>
      </c>
      <c r="G59" s="150">
        <v>57288</v>
      </c>
      <c r="H59" s="41">
        <v>55351</v>
      </c>
      <c r="I59" s="41">
        <v>590</v>
      </c>
      <c r="J59" s="41">
        <v>353</v>
      </c>
      <c r="K59" s="41">
        <v>338</v>
      </c>
      <c r="L59" s="41">
        <v>1637</v>
      </c>
      <c r="M59" s="42">
        <v>23956</v>
      </c>
      <c r="N59" s="43">
        <v>24010</v>
      </c>
      <c r="O59" s="43">
        <v>24055</v>
      </c>
      <c r="P59" s="44">
        <v>24125</v>
      </c>
      <c r="Q59" s="44">
        <v>24183</v>
      </c>
      <c r="R59" s="87">
        <v>32.41712244670164</v>
      </c>
      <c r="S59" s="87">
        <v>34.061546359410201</v>
      </c>
      <c r="T59" s="87">
        <v>34.245054788672263</v>
      </c>
      <c r="U59" s="87">
        <v>34.898792360179293</v>
      </c>
      <c r="V59" s="87">
        <v>35.747241725175527</v>
      </c>
      <c r="W59" s="87">
        <v>26.043643263757115</v>
      </c>
      <c r="X59" s="87">
        <v>27.327952542566237</v>
      </c>
      <c r="Y59" s="87">
        <v>28.848726341255158</v>
      </c>
      <c r="Z59" s="87">
        <v>28.552259685385561</v>
      </c>
      <c r="AA59" s="42">
        <v>28.425275827482448</v>
      </c>
      <c r="AB59" s="87">
        <v>58.460765710458759</v>
      </c>
      <c r="AC59" s="87">
        <v>61.389498901976445</v>
      </c>
      <c r="AD59" s="87">
        <v>63.093781129927422</v>
      </c>
      <c r="AE59" s="87">
        <v>63.45105204556485</v>
      </c>
      <c r="AF59" s="87">
        <v>64.172517552657979</v>
      </c>
      <c r="AG59" s="44">
        <v>6.0389152132271402</v>
      </c>
      <c r="AH59" s="44">
        <v>8.2811160213706216</v>
      </c>
      <c r="AI59" s="44">
        <v>7.2022880915236609</v>
      </c>
      <c r="AJ59" s="43">
        <v>6.5194905940914083</v>
      </c>
      <c r="AK59" s="43">
        <v>5.5811852759944509</v>
      </c>
      <c r="AL59" s="47">
        <v>1211.0833333333333</v>
      </c>
      <c r="AM59" s="47">
        <v>1519.1666666666667</v>
      </c>
      <c r="AN59" s="47">
        <v>1211.0833333333333</v>
      </c>
      <c r="AO59" s="47">
        <v>2045.6666666666667</v>
      </c>
      <c r="AP59" s="47">
        <v>2122.3333333333335</v>
      </c>
      <c r="AQ59" s="47">
        <v>36560.052857367635</v>
      </c>
      <c r="AR59" s="47">
        <v>36112.734062988508</v>
      </c>
      <c r="AS59" s="47">
        <v>37280.583936641611</v>
      </c>
      <c r="AT59" s="47">
        <v>38718.620885842327</v>
      </c>
      <c r="AU59" s="47">
        <v>40170.210166177909</v>
      </c>
      <c r="AV59" s="84">
        <v>45718.781282950215</v>
      </c>
      <c r="AW59" s="85">
        <v>44959.676662010454</v>
      </c>
      <c r="AX59" s="85">
        <v>46429.764711663593</v>
      </c>
      <c r="AY59" s="85">
        <v>48869.500291524797</v>
      </c>
      <c r="AZ59" s="85">
        <v>50645</v>
      </c>
      <c r="BA59" s="83">
        <v>12.517102325916325</v>
      </c>
      <c r="BB59" s="83">
        <v>12.790991902834008</v>
      </c>
      <c r="BC59" s="83">
        <v>13.370676624877746</v>
      </c>
      <c r="BD59" s="83">
        <v>11.444733003664307</v>
      </c>
      <c r="BE59" s="83">
        <v>10.470385442396887</v>
      </c>
      <c r="BF59" s="83">
        <v>15.576539894308238</v>
      </c>
      <c r="BG59" s="46">
        <v>16.569101552557903</v>
      </c>
      <c r="BH59" s="46">
        <v>19.184573903096659</v>
      </c>
      <c r="BI59" s="46">
        <v>15.709894491983052</v>
      </c>
      <c r="BJ59" s="46">
        <v>15.462621521957761</v>
      </c>
      <c r="BK59" s="42">
        <v>7747</v>
      </c>
      <c r="BL59" s="42">
        <v>7714</v>
      </c>
      <c r="BM59" s="40">
        <v>7446</v>
      </c>
      <c r="BN59" s="40">
        <v>7544</v>
      </c>
      <c r="BO59" s="43">
        <v>38.608493610429846</v>
      </c>
      <c r="BP59" s="43">
        <v>40.031112263417164</v>
      </c>
      <c r="BQ59" s="44">
        <v>39.215686274509807</v>
      </c>
      <c r="BR59" s="44">
        <v>40.416224814422058</v>
      </c>
      <c r="BS59" s="87">
        <v>2.0524073835032914</v>
      </c>
      <c r="BT59" s="87">
        <v>2.1778584392014517</v>
      </c>
      <c r="BU59" s="87">
        <v>2.7397260273972601</v>
      </c>
      <c r="BV59" s="87">
        <v>2.1474019088016969</v>
      </c>
      <c r="BW59" s="43">
        <v>15.063895701561895</v>
      </c>
      <c r="BX59" s="43">
        <v>15.595022037853253</v>
      </c>
      <c r="BY59" s="43">
        <v>15.578834273435401</v>
      </c>
      <c r="BZ59" s="43">
        <v>14.740190880169671</v>
      </c>
      <c r="CA59" s="42">
        <v>78.316326530612244</v>
      </c>
      <c r="CB59" s="42">
        <v>80.283505154639172</v>
      </c>
      <c r="CC59" s="42">
        <v>77.08</v>
      </c>
      <c r="CD59" s="44">
        <v>79.23</v>
      </c>
      <c r="CE59" s="43">
        <v>6.3775510204081636</v>
      </c>
      <c r="CF59" s="43">
        <v>4.3814432989690726</v>
      </c>
      <c r="CG59" s="43">
        <v>5.4</v>
      </c>
      <c r="CH59" s="44">
        <v>5.36</v>
      </c>
      <c r="CI59" s="49">
        <v>2797</v>
      </c>
      <c r="CJ59" s="49">
        <v>2902</v>
      </c>
      <c r="CK59" s="54">
        <v>3090</v>
      </c>
      <c r="CL59" s="54">
        <v>3066</v>
      </c>
      <c r="CM59" s="88">
        <v>10.5</v>
      </c>
      <c r="CN59" s="88">
        <v>10.199999999999999</v>
      </c>
      <c r="CO59" s="88">
        <v>10.7</v>
      </c>
      <c r="CP59" s="88">
        <v>10.7</v>
      </c>
      <c r="CQ59" s="53">
        <v>108</v>
      </c>
      <c r="CR59" s="53">
        <v>110</v>
      </c>
      <c r="CS59" s="53">
        <v>140</v>
      </c>
      <c r="CT59" s="53">
        <v>118</v>
      </c>
      <c r="CU59" s="88">
        <v>4</v>
      </c>
      <c r="CV59" s="88">
        <v>3.9</v>
      </c>
      <c r="CW59" s="88">
        <v>4.5999999999999996</v>
      </c>
      <c r="CX59" s="88">
        <v>4</v>
      </c>
      <c r="CY59" s="51">
        <v>180</v>
      </c>
      <c r="CZ59" s="53">
        <v>198</v>
      </c>
      <c r="DA59" s="53">
        <v>187</v>
      </c>
      <c r="DB59" s="53">
        <v>141</v>
      </c>
      <c r="DC59" s="88">
        <v>7.2</v>
      </c>
      <c r="DD59" s="88">
        <v>7.3</v>
      </c>
      <c r="DE59" s="88">
        <v>6.5</v>
      </c>
      <c r="DF59" s="88">
        <v>5.0999999999999996</v>
      </c>
      <c r="DG59" s="88">
        <v>81.900000000000006</v>
      </c>
      <c r="DH59" s="88">
        <v>82.7</v>
      </c>
      <c r="DI59" s="88">
        <v>88.6</v>
      </c>
      <c r="DJ59" s="88">
        <v>88.6</v>
      </c>
      <c r="DK59" s="88">
        <v>17.7</v>
      </c>
      <c r="DL59" s="88">
        <v>18.2</v>
      </c>
      <c r="DM59" s="88">
        <v>12.8</v>
      </c>
      <c r="DN59" s="88">
        <v>10.765706806282722</v>
      </c>
      <c r="DO59" s="88">
        <v>22.6</v>
      </c>
      <c r="DP59" s="88">
        <v>26.6</v>
      </c>
      <c r="DQ59" s="88">
        <v>29.1</v>
      </c>
      <c r="DR59" s="88">
        <v>29.1</v>
      </c>
      <c r="DS59" s="88">
        <v>31.911243280338557</v>
      </c>
      <c r="DT59" s="88">
        <v>26.884752773077647</v>
      </c>
      <c r="DU59" s="88">
        <v>24.20894023103968</v>
      </c>
      <c r="DV59" s="88">
        <v>20.243388719868946</v>
      </c>
      <c r="DW59" s="54">
        <v>595</v>
      </c>
      <c r="DX59" s="54">
        <v>16</v>
      </c>
      <c r="DY59" s="51">
        <v>9</v>
      </c>
      <c r="DZ59" s="53">
        <v>9</v>
      </c>
      <c r="EA59" s="53">
        <v>20</v>
      </c>
      <c r="EB59" s="53">
        <v>18</v>
      </c>
      <c r="EC59" s="53">
        <v>17</v>
      </c>
      <c r="ED59" s="51">
        <v>11</v>
      </c>
      <c r="EE59" s="53">
        <v>7</v>
      </c>
      <c r="EF59" s="53">
        <v>3068</v>
      </c>
      <c r="EG59" s="53">
        <v>3267</v>
      </c>
      <c r="EH59" s="53">
        <v>3108</v>
      </c>
      <c r="EI59" s="53">
        <v>3286</v>
      </c>
      <c r="EJ59" s="92">
        <v>675</v>
      </c>
      <c r="EK59" s="92">
        <v>0</v>
      </c>
      <c r="EL59" s="92">
        <v>0</v>
      </c>
      <c r="EM59" s="92">
        <v>0</v>
      </c>
      <c r="EN59" s="92">
        <v>3</v>
      </c>
      <c r="EO59" s="88">
        <v>1154.9335009768749</v>
      </c>
      <c r="EP59" s="88">
        <v>1153.6587260669667</v>
      </c>
      <c r="EQ59" s="88">
        <v>1074.3767370473306</v>
      </c>
      <c r="ER59" s="88">
        <v>1143.7772288739038</v>
      </c>
      <c r="ES59" s="88">
        <v>768.7</v>
      </c>
      <c r="ET59" s="88">
        <v>770.9</v>
      </c>
      <c r="EU59" s="88">
        <v>673.7</v>
      </c>
      <c r="EV59" s="88">
        <v>679.2</v>
      </c>
      <c r="EW59" s="88">
        <v>983.91182774357969</v>
      </c>
      <c r="EX59" s="88">
        <v>952.46987581508824</v>
      </c>
      <c r="EY59" s="88">
        <v>832.3272506212495</v>
      </c>
      <c r="EZ59" s="88">
        <v>819.30964961883387</v>
      </c>
      <c r="FA59" s="88">
        <v>591.53135846756095</v>
      </c>
      <c r="FB59" s="88">
        <v>620.7076210048117</v>
      </c>
      <c r="FC59" s="88">
        <v>544.92307606025622</v>
      </c>
      <c r="FD59" s="88">
        <v>564.02737200445824</v>
      </c>
      <c r="FE59" s="51">
        <v>691</v>
      </c>
      <c r="FF59" s="54">
        <v>779</v>
      </c>
      <c r="FG59" s="54">
        <v>680</v>
      </c>
      <c r="FH59" s="54">
        <v>732</v>
      </c>
      <c r="FI59" s="88">
        <v>182.7371</v>
      </c>
      <c r="FJ59" s="88">
        <v>193.7276</v>
      </c>
      <c r="FK59" s="88">
        <v>157.70689999999999</v>
      </c>
      <c r="FL59" s="88">
        <v>159.31120000000001</v>
      </c>
      <c r="FM59" s="54">
        <v>952</v>
      </c>
      <c r="FN59" s="54">
        <v>841</v>
      </c>
      <c r="FO59" s="51">
        <v>784</v>
      </c>
      <c r="FP59" s="54">
        <v>759</v>
      </c>
      <c r="FQ59" s="88">
        <v>230.18709999999999</v>
      </c>
      <c r="FR59" s="88">
        <v>191.00540000000001</v>
      </c>
      <c r="FS59" s="88">
        <v>164.69030000000001</v>
      </c>
      <c r="FT59" s="88">
        <v>150.59039999999999</v>
      </c>
      <c r="FU59" s="53">
        <v>227</v>
      </c>
      <c r="FV59" s="53">
        <v>253</v>
      </c>
      <c r="FW59" s="53">
        <v>218</v>
      </c>
      <c r="FX59" s="53">
        <v>212</v>
      </c>
      <c r="FY59" s="88">
        <v>53.141530000000003</v>
      </c>
      <c r="FZ59" s="88">
        <v>54.019060000000003</v>
      </c>
      <c r="GA59" s="88">
        <v>42.021180000000001</v>
      </c>
      <c r="GB59" s="88">
        <v>40.525370000000002</v>
      </c>
      <c r="GC59" s="55">
        <v>109</v>
      </c>
      <c r="GD59" s="56">
        <v>140</v>
      </c>
      <c r="GE59" s="55">
        <v>109</v>
      </c>
      <c r="GF59" s="55">
        <v>142</v>
      </c>
      <c r="GG59" s="91">
        <v>36.198599999999999</v>
      </c>
      <c r="GH59" s="91">
        <v>43.331099999999999</v>
      </c>
      <c r="GI59" s="91">
        <v>30.497140000000002</v>
      </c>
      <c r="GJ59" s="91">
        <v>40.41995</v>
      </c>
      <c r="GK59" s="55"/>
      <c r="GL59" s="55"/>
      <c r="GM59" s="55"/>
      <c r="GN59" s="56"/>
      <c r="GO59" s="55"/>
      <c r="GP59" s="55"/>
      <c r="GQ59" s="55"/>
      <c r="GR59" s="55"/>
      <c r="GS59" s="56"/>
      <c r="GT59" s="55"/>
      <c r="GU59" s="55"/>
      <c r="GV59" s="55"/>
      <c r="GW59" s="55"/>
      <c r="GX59" s="56"/>
      <c r="GY59" s="56"/>
      <c r="GZ59" s="56"/>
      <c r="HA59" s="56"/>
      <c r="HB59" s="56"/>
      <c r="HC59" s="56"/>
      <c r="HD59" s="57"/>
      <c r="HE59" s="57"/>
      <c r="HF59" s="57"/>
      <c r="HG59" s="57"/>
      <c r="HH59" s="57"/>
      <c r="HI59" s="58"/>
      <c r="HJ59" s="58"/>
      <c r="HK59" s="55"/>
      <c r="HL59" s="56"/>
      <c r="HM59" s="56"/>
      <c r="HN59" s="56"/>
      <c r="HO59" s="56"/>
      <c r="HP59" s="56"/>
      <c r="HQ59" s="56"/>
      <c r="HR59" s="56"/>
      <c r="HS59" s="56"/>
      <c r="HT59" s="56"/>
      <c r="HU59" s="38"/>
    </row>
    <row r="60" spans="1:229" ht="21" customHeight="1" x14ac:dyDescent="0.2">
      <c r="A60" s="36">
        <v>57</v>
      </c>
      <c r="B60" s="70" t="s">
        <v>113</v>
      </c>
      <c r="C60" s="77">
        <v>13747</v>
      </c>
      <c r="D60" s="77">
        <v>13842</v>
      </c>
      <c r="E60" s="77">
        <v>13930</v>
      </c>
      <c r="F60" s="77">
        <v>14072</v>
      </c>
      <c r="G60" s="150">
        <v>14074</v>
      </c>
      <c r="H60" s="41">
        <v>13284</v>
      </c>
      <c r="I60" s="41">
        <v>186</v>
      </c>
      <c r="J60" s="41">
        <v>259</v>
      </c>
      <c r="K60" s="41">
        <v>109</v>
      </c>
      <c r="L60" s="41">
        <v>451</v>
      </c>
      <c r="M60" s="42">
        <v>5805</v>
      </c>
      <c r="N60" s="43">
        <v>5852</v>
      </c>
      <c r="O60" s="43">
        <v>5836</v>
      </c>
      <c r="P60" s="44">
        <v>5879</v>
      </c>
      <c r="Q60" s="44">
        <v>5898</v>
      </c>
      <c r="R60" s="87">
        <v>23.452949672258637</v>
      </c>
      <c r="S60" s="87">
        <v>24.00176971573941</v>
      </c>
      <c r="T60" s="87">
        <v>24.723370962333743</v>
      </c>
      <c r="U60" s="87">
        <v>24.917163684559309</v>
      </c>
      <c r="V60" s="87">
        <v>24.806715263971725</v>
      </c>
      <c r="W60" s="87">
        <v>29.274525052771914</v>
      </c>
      <c r="X60" s="87">
        <v>29.10076318991262</v>
      </c>
      <c r="Y60" s="87">
        <v>30.97127528780597</v>
      </c>
      <c r="Z60" s="87">
        <v>30.505853766291143</v>
      </c>
      <c r="AA60" s="42">
        <v>30.638391870996244</v>
      </c>
      <c r="AB60" s="87">
        <v>52.727474725030554</v>
      </c>
      <c r="AC60" s="87">
        <v>53.102532905652026</v>
      </c>
      <c r="AD60" s="87">
        <v>55.694646250139712</v>
      </c>
      <c r="AE60" s="87">
        <v>55.423017450850452</v>
      </c>
      <c r="AF60" s="87">
        <v>55.445107134967969</v>
      </c>
      <c r="AG60" s="44">
        <v>7.0285714285714285</v>
      </c>
      <c r="AH60" s="44">
        <v>9.1807282415630542</v>
      </c>
      <c r="AI60" s="44">
        <v>8.22051337593415</v>
      </c>
      <c r="AJ60" s="43">
        <v>6.9956673359399764</v>
      </c>
      <c r="AK60" s="43">
        <v>5.9911709060332141</v>
      </c>
      <c r="AL60" s="47">
        <v>412.75</v>
      </c>
      <c r="AM60" s="47">
        <v>533.16666666666663</v>
      </c>
      <c r="AN60" s="47">
        <v>412.75</v>
      </c>
      <c r="AO60" s="47">
        <v>659.5</v>
      </c>
      <c r="AP60" s="47">
        <v>656.66666666666663</v>
      </c>
      <c r="AQ60" s="47">
        <v>43127.71581922179</v>
      </c>
      <c r="AR60" s="47">
        <v>42213.227748117562</v>
      </c>
      <c r="AS60" s="47">
        <v>44012.249749354552</v>
      </c>
      <c r="AT60" s="47">
        <v>45974.413016448947</v>
      </c>
      <c r="AU60" s="47">
        <v>49816.967457723462</v>
      </c>
      <c r="AV60" s="84">
        <v>50774.474657859064</v>
      </c>
      <c r="AW60" s="85">
        <v>43906.611468717791</v>
      </c>
      <c r="AX60" s="85">
        <v>45545.308018135896</v>
      </c>
      <c r="AY60" s="85">
        <v>42854.588425822592</v>
      </c>
      <c r="AZ60" s="85">
        <v>46483</v>
      </c>
      <c r="BA60" s="83">
        <v>11.27549876709258</v>
      </c>
      <c r="BB60" s="83">
        <v>12.970524909050413</v>
      </c>
      <c r="BC60" s="83">
        <v>11.465529913273556</v>
      </c>
      <c r="BD60" s="83">
        <v>12.60014566642389</v>
      </c>
      <c r="BE60" s="83">
        <v>10.847408270238789</v>
      </c>
      <c r="BF60" s="83">
        <v>12.942332896461338</v>
      </c>
      <c r="BG60" s="46">
        <v>14.948119325551232</v>
      </c>
      <c r="BH60" s="46">
        <v>15.096094234345939</v>
      </c>
      <c r="BI60" s="46">
        <v>16.465116279069768</v>
      </c>
      <c r="BJ60" s="46">
        <v>15.101914762198888</v>
      </c>
      <c r="BK60" s="42">
        <v>2213</v>
      </c>
      <c r="BL60" s="42">
        <v>2209</v>
      </c>
      <c r="BM60" s="40">
        <v>2170</v>
      </c>
      <c r="BN60" s="40">
        <v>2154</v>
      </c>
      <c r="BO60" s="43">
        <v>38.499774062358789</v>
      </c>
      <c r="BP60" s="43">
        <v>39.112720688094157</v>
      </c>
      <c r="BQ60" s="44">
        <v>38.47926267281106</v>
      </c>
      <c r="BR60" s="44">
        <v>36.49025069637883</v>
      </c>
      <c r="BS60" s="87">
        <v>1.0393131495707184</v>
      </c>
      <c r="BT60" s="87">
        <v>1.2675418741511997</v>
      </c>
      <c r="BU60" s="87">
        <v>1.0138248847926268</v>
      </c>
      <c r="BV60" s="87">
        <v>0.83565459610027859</v>
      </c>
      <c r="BW60" s="43">
        <v>16.041572525982829</v>
      </c>
      <c r="BX60" s="43">
        <v>16.794929832503396</v>
      </c>
      <c r="BY60" s="43">
        <v>17.327188940092167</v>
      </c>
      <c r="BZ60" s="43">
        <v>16.480965645311048</v>
      </c>
      <c r="CA60" s="42">
        <v>85.945945945945951</v>
      </c>
      <c r="CB60" s="42">
        <v>81.25</v>
      </c>
      <c r="CC60" s="42">
        <v>88.5</v>
      </c>
      <c r="CD60" s="44">
        <v>88.55</v>
      </c>
      <c r="CE60" s="43">
        <v>7.0270270270270272</v>
      </c>
      <c r="CF60" s="43">
        <v>5.729166666666667</v>
      </c>
      <c r="CG60" s="43">
        <v>3.5</v>
      </c>
      <c r="CH60" s="44">
        <v>6.02</v>
      </c>
      <c r="CI60" s="49">
        <v>847</v>
      </c>
      <c r="CJ60" s="49">
        <v>826</v>
      </c>
      <c r="CK60" s="51">
        <v>954</v>
      </c>
      <c r="CL60" s="51">
        <v>923</v>
      </c>
      <c r="CM60" s="88">
        <v>12.6</v>
      </c>
      <c r="CN60" s="88">
        <v>12.2</v>
      </c>
      <c r="CO60" s="88">
        <v>14</v>
      </c>
      <c r="CP60" s="88">
        <v>13.2</v>
      </c>
      <c r="CQ60" s="53">
        <v>35</v>
      </c>
      <c r="CR60" s="53">
        <v>35</v>
      </c>
      <c r="CS60" s="53">
        <v>47</v>
      </c>
      <c r="CT60" s="53">
        <v>47</v>
      </c>
      <c r="CU60" s="88">
        <v>4.2</v>
      </c>
      <c r="CV60" s="88">
        <v>4.3</v>
      </c>
      <c r="CW60" s="88">
        <v>5</v>
      </c>
      <c r="CX60" s="88">
        <v>5.3</v>
      </c>
      <c r="CY60" s="51">
        <v>61</v>
      </c>
      <c r="CZ60" s="53">
        <v>57</v>
      </c>
      <c r="DA60" s="53">
        <v>76</v>
      </c>
      <c r="DB60" s="53">
        <v>73</v>
      </c>
      <c r="DC60" s="88">
        <v>7.6</v>
      </c>
      <c r="DD60" s="88">
        <v>7.2</v>
      </c>
      <c r="DE60" s="88">
        <v>8.6999999999999993</v>
      </c>
      <c r="DF60" s="88">
        <v>9.1999999999999993</v>
      </c>
      <c r="DG60" s="88">
        <v>76.8</v>
      </c>
      <c r="DH60" s="88">
        <v>81.7</v>
      </c>
      <c r="DI60" s="88">
        <v>82.2</v>
      </c>
      <c r="DJ60" s="88">
        <v>88.6</v>
      </c>
      <c r="DK60" s="88">
        <v>16.3</v>
      </c>
      <c r="DL60" s="88">
        <v>19.7</v>
      </c>
      <c r="DM60" s="88">
        <v>22.5</v>
      </c>
      <c r="DN60" s="88">
        <v>25.490196078431371</v>
      </c>
      <c r="DO60" s="88">
        <v>31.9</v>
      </c>
      <c r="DP60" s="88">
        <v>31.8</v>
      </c>
      <c r="DQ60" s="88">
        <v>35.700000000000003</v>
      </c>
      <c r="DR60" s="88">
        <v>44</v>
      </c>
      <c r="DS60" s="88">
        <v>35.97122302158273</v>
      </c>
      <c r="DT60" s="88">
        <v>33.119658119658119</v>
      </c>
      <c r="DU60" s="88">
        <v>29.424307036247335</v>
      </c>
      <c r="DV60" s="88">
        <v>27.978774722624216</v>
      </c>
      <c r="DW60" s="54">
        <v>180</v>
      </c>
      <c r="DX60" s="54">
        <v>3</v>
      </c>
      <c r="DY60" s="51">
        <v>3</v>
      </c>
      <c r="DZ60" s="53">
        <v>0</v>
      </c>
      <c r="EA60" s="53">
        <v>7</v>
      </c>
      <c r="EB60" s="53">
        <v>9</v>
      </c>
      <c r="EC60" s="53">
        <v>6</v>
      </c>
      <c r="ED60" s="51">
        <v>2</v>
      </c>
      <c r="EE60" s="53">
        <v>5</v>
      </c>
      <c r="EF60" s="53">
        <v>713</v>
      </c>
      <c r="EG60" s="53">
        <v>751</v>
      </c>
      <c r="EH60" s="53">
        <v>694</v>
      </c>
      <c r="EI60" s="53">
        <v>705</v>
      </c>
      <c r="EJ60" s="92">
        <v>147</v>
      </c>
      <c r="EK60" s="92">
        <v>0</v>
      </c>
      <c r="EL60" s="92">
        <v>2</v>
      </c>
      <c r="EM60" s="92">
        <v>0</v>
      </c>
      <c r="EN60" s="92">
        <v>0</v>
      </c>
      <c r="EO60" s="88">
        <v>1059.7187955173747</v>
      </c>
      <c r="EP60" s="88">
        <v>1111.5057869342568</v>
      </c>
      <c r="EQ60" s="88">
        <v>1016.7902247487327</v>
      </c>
      <c r="ER60" s="88">
        <v>1000.1618967098991</v>
      </c>
      <c r="ES60" s="88">
        <v>775.1</v>
      </c>
      <c r="ET60" s="88">
        <v>822.4</v>
      </c>
      <c r="EU60" s="88">
        <v>735.4</v>
      </c>
      <c r="EV60" s="88">
        <v>747.9</v>
      </c>
      <c r="EW60" s="88">
        <v>970.20314946723738</v>
      </c>
      <c r="EX60" s="88">
        <v>1045.5189766714343</v>
      </c>
      <c r="EY60" s="88">
        <v>949.67349876778053</v>
      </c>
      <c r="EZ60" s="88">
        <v>906.97918553656893</v>
      </c>
      <c r="FA60" s="88">
        <v>621.55285322646159</v>
      </c>
      <c r="FB60" s="88">
        <v>655.69312489380832</v>
      </c>
      <c r="FC60" s="88">
        <v>573.67639656988467</v>
      </c>
      <c r="FD60" s="88">
        <v>635.25818973167497</v>
      </c>
      <c r="FE60" s="51">
        <v>141</v>
      </c>
      <c r="FF60" s="54">
        <v>159</v>
      </c>
      <c r="FG60" s="54">
        <v>154</v>
      </c>
      <c r="FH60" s="54">
        <v>152</v>
      </c>
      <c r="FI60" s="88">
        <v>160.8313</v>
      </c>
      <c r="FJ60" s="88">
        <v>192.94149999999999</v>
      </c>
      <c r="FK60" s="88">
        <v>172.67869999999999</v>
      </c>
      <c r="FL60" s="88">
        <v>173.19130000000001</v>
      </c>
      <c r="FM60" s="54">
        <v>202</v>
      </c>
      <c r="FN60" s="54">
        <v>196</v>
      </c>
      <c r="FO60" s="51">
        <v>169</v>
      </c>
      <c r="FP60" s="54">
        <v>150</v>
      </c>
      <c r="FQ60" s="88">
        <v>213.8578</v>
      </c>
      <c r="FR60" s="88">
        <v>210.2784</v>
      </c>
      <c r="FS60" s="88">
        <v>176.57169999999999</v>
      </c>
      <c r="FT60" s="88">
        <v>149.94800000000001</v>
      </c>
      <c r="FU60" s="53">
        <v>63</v>
      </c>
      <c r="FV60" s="53">
        <v>74</v>
      </c>
      <c r="FW60" s="53">
        <v>47</v>
      </c>
      <c r="FX60" s="53">
        <v>33</v>
      </c>
      <c r="FY60" s="88">
        <v>62.130899999999997</v>
      </c>
      <c r="FZ60" s="88">
        <v>75.326639999999998</v>
      </c>
      <c r="GA60" s="88">
        <v>45.17512</v>
      </c>
      <c r="GB60" s="88">
        <v>32.930149999999998</v>
      </c>
      <c r="GC60" s="55">
        <v>34</v>
      </c>
      <c r="GD60" s="56">
        <v>40</v>
      </c>
      <c r="GE60" s="55">
        <v>27</v>
      </c>
      <c r="GF60" s="55">
        <v>38</v>
      </c>
      <c r="GG60" s="91">
        <v>46.798090000000002</v>
      </c>
      <c r="GH60" s="91">
        <v>49.240569999999998</v>
      </c>
      <c r="GI60" s="91">
        <v>34.250790000000002</v>
      </c>
      <c r="GJ60" s="91">
        <v>48.437919999999998</v>
      </c>
      <c r="GK60" s="55"/>
      <c r="GL60" s="55"/>
      <c r="GM60" s="55"/>
      <c r="GN60" s="56"/>
      <c r="GO60" s="55"/>
      <c r="GP60" s="55"/>
      <c r="GQ60" s="55"/>
      <c r="GR60" s="55"/>
      <c r="GS60" s="56"/>
      <c r="GT60" s="55"/>
      <c r="GU60" s="55"/>
      <c r="GV60" s="55"/>
      <c r="GW60" s="55"/>
      <c r="GX60" s="56"/>
      <c r="GY60" s="56"/>
      <c r="GZ60" s="56"/>
      <c r="HA60" s="56"/>
      <c r="HB60" s="56"/>
      <c r="HC60" s="56"/>
      <c r="HD60" s="57"/>
      <c r="HE60" s="57"/>
      <c r="HF60" s="57"/>
      <c r="HG60" s="57"/>
      <c r="HH60" s="57"/>
      <c r="HI60" s="58"/>
      <c r="HJ60" s="58"/>
      <c r="HK60" s="55"/>
      <c r="HL60" s="56"/>
      <c r="HM60" s="56"/>
      <c r="HN60" s="56"/>
      <c r="HO60" s="56"/>
      <c r="HP60" s="56"/>
      <c r="HQ60" s="56"/>
      <c r="HR60" s="56"/>
      <c r="HS60" s="56"/>
      <c r="HT60" s="56"/>
      <c r="HU60" s="38"/>
    </row>
    <row r="61" spans="1:229" x14ac:dyDescent="0.2">
      <c r="A61" s="36">
        <v>58</v>
      </c>
      <c r="B61" s="70" t="s">
        <v>114</v>
      </c>
      <c r="C61" s="77">
        <v>28297</v>
      </c>
      <c r="D61" s="77">
        <v>28368</v>
      </c>
      <c r="E61" s="77">
        <v>29750</v>
      </c>
      <c r="F61" s="77">
        <v>29604</v>
      </c>
      <c r="G61" s="150">
        <v>29218</v>
      </c>
      <c r="H61" s="41">
        <v>26948</v>
      </c>
      <c r="I61" s="41">
        <v>628</v>
      </c>
      <c r="J61" s="41">
        <v>944</v>
      </c>
      <c r="K61" s="41">
        <v>167</v>
      </c>
      <c r="L61" s="41">
        <v>725</v>
      </c>
      <c r="M61" s="42">
        <v>11014</v>
      </c>
      <c r="N61" s="43">
        <v>11014</v>
      </c>
      <c r="O61" s="43">
        <v>11373</v>
      </c>
      <c r="P61" s="44">
        <v>11369</v>
      </c>
      <c r="Q61" s="44">
        <v>11295</v>
      </c>
      <c r="R61" s="87">
        <v>23.572181243414121</v>
      </c>
      <c r="S61" s="87">
        <v>24.942706390236104</v>
      </c>
      <c r="T61" s="87">
        <v>24.925572323170105</v>
      </c>
      <c r="U61" s="87">
        <v>25.443481848184817</v>
      </c>
      <c r="V61" s="87">
        <v>27.078598234578994</v>
      </c>
      <c r="W61" s="87">
        <v>25.516332982086407</v>
      </c>
      <c r="X61" s="87">
        <v>26.248467729041199</v>
      </c>
      <c r="Y61" s="87">
        <v>27.779488758854328</v>
      </c>
      <c r="Z61" s="87">
        <v>27.217409240924091</v>
      </c>
      <c r="AA61" s="42">
        <v>27.358739891114752</v>
      </c>
      <c r="AB61" s="87">
        <v>49.088514225500525</v>
      </c>
      <c r="AC61" s="87">
        <v>51.191174119277299</v>
      </c>
      <c r="AD61" s="87">
        <v>52.705061082024436</v>
      </c>
      <c r="AE61" s="87">
        <v>52.660891089108908</v>
      </c>
      <c r="AF61" s="87">
        <v>54.437338125693749</v>
      </c>
      <c r="AG61" s="44">
        <v>8.4787503518153677</v>
      </c>
      <c r="AH61" s="44">
        <v>11.603231106243154</v>
      </c>
      <c r="AI61" s="44">
        <v>10.297699594046009</v>
      </c>
      <c r="AJ61" s="43">
        <v>9.3115503563264763</v>
      </c>
      <c r="AK61" s="43">
        <v>8.101580291215237</v>
      </c>
      <c r="AL61" s="47">
        <v>929</v>
      </c>
      <c r="AM61" s="47">
        <v>1199.4166666666667</v>
      </c>
      <c r="AN61" s="47">
        <v>929</v>
      </c>
      <c r="AO61" s="47">
        <v>1711.3333333333333</v>
      </c>
      <c r="AP61" s="47">
        <v>1792.4166666666667</v>
      </c>
      <c r="AQ61" s="47">
        <v>28727.290489820745</v>
      </c>
      <c r="AR61" s="47">
        <v>29240.262780285768</v>
      </c>
      <c r="AS61" s="47">
        <v>29706.097169479239</v>
      </c>
      <c r="AT61" s="47">
        <v>30010.876070428811</v>
      </c>
      <c r="AU61" s="47">
        <v>30567.766445341913</v>
      </c>
      <c r="AV61" s="84">
        <v>47928.314434777072</v>
      </c>
      <c r="AW61" s="85">
        <v>42068.028133273881</v>
      </c>
      <c r="AX61" s="85">
        <v>44259.687038615273</v>
      </c>
      <c r="AY61" s="85">
        <v>43325.125396820171</v>
      </c>
      <c r="AZ61" s="85">
        <v>45943</v>
      </c>
      <c r="BA61" s="83">
        <v>13.629842180774748</v>
      </c>
      <c r="BB61" s="83">
        <v>18.856732658304367</v>
      </c>
      <c r="BC61" s="83">
        <v>15.154998383562628</v>
      </c>
      <c r="BD61" s="83">
        <v>15.868090633569057</v>
      </c>
      <c r="BE61" s="83">
        <v>13.403944485025566</v>
      </c>
      <c r="BF61" s="83">
        <v>18.042918454935624</v>
      </c>
      <c r="BG61" s="46">
        <v>25.692909369154904</v>
      </c>
      <c r="BH61" s="46">
        <v>21.731642398622203</v>
      </c>
      <c r="BI61" s="46">
        <v>24.028382518948558</v>
      </c>
      <c r="BJ61" s="46">
        <v>20.814851322490554</v>
      </c>
      <c r="BK61" s="42">
        <v>3907</v>
      </c>
      <c r="BL61" s="42">
        <v>3910</v>
      </c>
      <c r="BM61" s="40">
        <v>3878</v>
      </c>
      <c r="BN61" s="40">
        <v>3884</v>
      </c>
      <c r="BO61" s="43">
        <v>47.88840542615818</v>
      </c>
      <c r="BP61" s="43">
        <v>49.744245524296673</v>
      </c>
      <c r="BQ61" s="44">
        <v>49.045899948427021</v>
      </c>
      <c r="BR61" s="44">
        <v>50.978372811534499</v>
      </c>
      <c r="BS61" s="87">
        <v>0.58868697210135656</v>
      </c>
      <c r="BT61" s="87">
        <v>0.61381074168797956</v>
      </c>
      <c r="BU61" s="87">
        <v>0.69623517276946878</v>
      </c>
      <c r="BV61" s="87">
        <v>0.97837281153450051</v>
      </c>
      <c r="BW61" s="43">
        <v>11.645764013309444</v>
      </c>
      <c r="BX61" s="43">
        <v>12.327365728900256</v>
      </c>
      <c r="BY61" s="43">
        <v>12.661165549252193</v>
      </c>
      <c r="BZ61" s="43">
        <v>13.079299691040164</v>
      </c>
      <c r="CA61" s="42">
        <v>75.548589341692789</v>
      </c>
      <c r="CB61" s="42">
        <v>81.26888217522658</v>
      </c>
      <c r="CC61" s="42">
        <v>80.39</v>
      </c>
      <c r="CD61" s="44">
        <v>77.02</v>
      </c>
      <c r="CE61" s="43">
        <v>7.523510971786834</v>
      </c>
      <c r="CF61" s="43">
        <v>7.8549848942598191</v>
      </c>
      <c r="CG61" s="43">
        <v>7.72</v>
      </c>
      <c r="CH61" s="44">
        <v>5.83</v>
      </c>
      <c r="CI61" s="49">
        <v>1298</v>
      </c>
      <c r="CJ61" s="49">
        <v>1510</v>
      </c>
      <c r="CK61" s="54">
        <v>1654</v>
      </c>
      <c r="CL61" s="54">
        <v>1544</v>
      </c>
      <c r="CM61" s="88">
        <v>11.3</v>
      </c>
      <c r="CN61" s="88">
        <v>11.7</v>
      </c>
      <c r="CO61" s="88">
        <v>11.7</v>
      </c>
      <c r="CP61" s="88">
        <v>10.6</v>
      </c>
      <c r="CQ61" s="53">
        <v>60</v>
      </c>
      <c r="CR61" s="53">
        <v>74</v>
      </c>
      <c r="CS61" s="53">
        <v>70</v>
      </c>
      <c r="CT61" s="53">
        <v>80</v>
      </c>
      <c r="CU61" s="88">
        <v>4.7</v>
      </c>
      <c r="CV61" s="88">
        <v>5.0999999999999996</v>
      </c>
      <c r="CW61" s="88">
        <v>4.3</v>
      </c>
      <c r="CX61" s="88">
        <v>5.4</v>
      </c>
      <c r="CY61" s="51">
        <v>86</v>
      </c>
      <c r="CZ61" s="53">
        <v>91</v>
      </c>
      <c r="DA61" s="53">
        <v>113</v>
      </c>
      <c r="DB61" s="53">
        <v>115</v>
      </c>
      <c r="DC61" s="88">
        <v>7.6</v>
      </c>
      <c r="DD61" s="88">
        <v>7.2</v>
      </c>
      <c r="DE61" s="88">
        <v>9.5</v>
      </c>
      <c r="DF61" s="88">
        <v>9.6</v>
      </c>
      <c r="DG61" s="88">
        <v>75.400000000000006</v>
      </c>
      <c r="DH61" s="88">
        <v>79</v>
      </c>
      <c r="DI61" s="88">
        <v>80.3</v>
      </c>
      <c r="DJ61" s="88">
        <v>82.4</v>
      </c>
      <c r="DK61" s="88">
        <v>23.8</v>
      </c>
      <c r="DL61" s="88">
        <v>27</v>
      </c>
      <c r="DM61" s="88">
        <v>25.5</v>
      </c>
      <c r="DN61" s="88">
        <v>27.835723598435465</v>
      </c>
      <c r="DO61" s="88">
        <v>32.700000000000003</v>
      </c>
      <c r="DP61" s="88">
        <v>37.299999999999997</v>
      </c>
      <c r="DQ61" s="88">
        <v>41</v>
      </c>
      <c r="DR61" s="88">
        <v>45.4</v>
      </c>
      <c r="DS61" s="88">
        <v>42.482828796743831</v>
      </c>
      <c r="DT61" s="88">
        <v>42.081260364842457</v>
      </c>
      <c r="DU61" s="88">
        <v>38.598699391650932</v>
      </c>
      <c r="DV61" s="88">
        <v>34.267912772585667</v>
      </c>
      <c r="DW61" s="54">
        <v>252</v>
      </c>
      <c r="DX61" s="54">
        <v>3</v>
      </c>
      <c r="DY61" s="51">
        <v>11</v>
      </c>
      <c r="DZ61" s="53">
        <v>2</v>
      </c>
      <c r="EA61" s="53">
        <v>5</v>
      </c>
      <c r="EB61" s="53">
        <v>13</v>
      </c>
      <c r="EC61" s="53">
        <v>7</v>
      </c>
      <c r="ED61" s="51">
        <v>9</v>
      </c>
      <c r="EE61" s="53">
        <v>16</v>
      </c>
      <c r="EF61" s="53">
        <v>1194</v>
      </c>
      <c r="EG61" s="53">
        <v>1207</v>
      </c>
      <c r="EH61" s="53">
        <v>1226</v>
      </c>
      <c r="EI61" s="53">
        <v>1245</v>
      </c>
      <c r="EJ61" s="92">
        <v>264</v>
      </c>
      <c r="EK61" s="92">
        <v>0</v>
      </c>
      <c r="EL61" s="92">
        <v>2</v>
      </c>
      <c r="EM61" s="92">
        <v>0</v>
      </c>
      <c r="EN61" s="92">
        <v>2</v>
      </c>
      <c r="EO61" s="88">
        <v>1042.2486033519554</v>
      </c>
      <c r="EP61" s="88">
        <v>932.22629851322654</v>
      </c>
      <c r="EQ61" s="88">
        <v>869.9354289363514</v>
      </c>
      <c r="ER61" s="88">
        <v>842.96537636076846</v>
      </c>
      <c r="ES61" s="88">
        <v>873.3</v>
      </c>
      <c r="ET61" s="88">
        <v>809.2</v>
      </c>
      <c r="EU61" s="88">
        <v>725.5</v>
      </c>
      <c r="EV61" s="88">
        <v>687.7</v>
      </c>
      <c r="EW61" s="88">
        <v>1114.11829580268</v>
      </c>
      <c r="EX61" s="88">
        <v>1008.6928441938392</v>
      </c>
      <c r="EY61" s="88">
        <v>865.63648078425229</v>
      </c>
      <c r="EZ61" s="88">
        <v>816.15722283974537</v>
      </c>
      <c r="FA61" s="88">
        <v>672.39921130415632</v>
      </c>
      <c r="FB61" s="88">
        <v>641.87805119849145</v>
      </c>
      <c r="FC61" s="88">
        <v>600.28216494264234</v>
      </c>
      <c r="FD61" s="88">
        <v>573.50696085433242</v>
      </c>
      <c r="FE61" s="51">
        <v>280</v>
      </c>
      <c r="FF61" s="54">
        <v>311</v>
      </c>
      <c r="FG61" s="54">
        <v>351</v>
      </c>
      <c r="FH61" s="54">
        <v>318</v>
      </c>
      <c r="FI61" s="88">
        <v>204.9195</v>
      </c>
      <c r="FJ61" s="88">
        <v>206.5171</v>
      </c>
      <c r="FK61" s="88">
        <v>209.6122</v>
      </c>
      <c r="FL61" s="88">
        <v>167.5966</v>
      </c>
      <c r="FM61" s="54">
        <v>355</v>
      </c>
      <c r="FN61" s="54">
        <v>347</v>
      </c>
      <c r="FO61" s="51">
        <v>298</v>
      </c>
      <c r="FP61" s="54">
        <v>245</v>
      </c>
      <c r="FQ61" s="88">
        <v>252.91849999999999</v>
      </c>
      <c r="FR61" s="88">
        <v>228.4478</v>
      </c>
      <c r="FS61" s="88">
        <v>173.1285</v>
      </c>
      <c r="FT61" s="88">
        <v>131.7619</v>
      </c>
      <c r="FU61" s="53">
        <v>95</v>
      </c>
      <c r="FV61" s="53">
        <v>64</v>
      </c>
      <c r="FW61" s="53">
        <v>76</v>
      </c>
      <c r="FX61" s="53">
        <v>73</v>
      </c>
      <c r="FY61" s="88">
        <v>66.729179999999999</v>
      </c>
      <c r="FZ61" s="88">
        <v>42.165660000000003</v>
      </c>
      <c r="GA61" s="88">
        <v>44.016669999999998</v>
      </c>
      <c r="GB61" s="88">
        <v>39.208620000000003</v>
      </c>
      <c r="GC61" s="55">
        <v>60</v>
      </c>
      <c r="GD61" s="56">
        <v>75</v>
      </c>
      <c r="GE61" s="55">
        <v>72</v>
      </c>
      <c r="GF61" s="55">
        <v>84</v>
      </c>
      <c r="GG61" s="91">
        <v>50.171100000000003</v>
      </c>
      <c r="GH61" s="91">
        <v>55.348660000000002</v>
      </c>
      <c r="GI61" s="91">
        <v>46.530290000000001</v>
      </c>
      <c r="GJ61" s="91">
        <v>53.568989999999999</v>
      </c>
      <c r="GK61" s="55"/>
      <c r="GL61" s="55"/>
      <c r="GM61" s="55"/>
      <c r="GN61" s="56"/>
      <c r="GO61" s="55"/>
      <c r="GP61" s="55"/>
      <c r="GQ61" s="55"/>
      <c r="GR61" s="55"/>
      <c r="GS61" s="56"/>
      <c r="GT61" s="55"/>
      <c r="GU61" s="55"/>
      <c r="GV61" s="55"/>
      <c r="GW61" s="55"/>
      <c r="GX61" s="56"/>
      <c r="GY61" s="56"/>
      <c r="GZ61" s="56"/>
      <c r="HA61" s="56"/>
      <c r="HB61" s="56"/>
      <c r="HC61" s="56"/>
      <c r="HD61" s="57"/>
      <c r="HE61" s="57"/>
      <c r="HF61" s="57"/>
      <c r="HG61" s="57"/>
      <c r="HH61" s="57"/>
      <c r="HI61" s="58"/>
      <c r="HJ61" s="58"/>
      <c r="HK61" s="55"/>
      <c r="HL61" s="56"/>
      <c r="HM61" s="56"/>
      <c r="HN61" s="56"/>
      <c r="HO61" s="56"/>
      <c r="HP61" s="56"/>
      <c r="HQ61" s="56"/>
      <c r="HR61" s="56"/>
      <c r="HS61" s="56"/>
      <c r="HT61" s="56"/>
      <c r="HU61" s="38"/>
    </row>
    <row r="62" spans="1:229" x14ac:dyDescent="0.2">
      <c r="A62" s="36">
        <v>59</v>
      </c>
      <c r="B62" s="70" t="s">
        <v>115</v>
      </c>
      <c r="C62" s="77">
        <v>9395</v>
      </c>
      <c r="D62" s="77">
        <v>9353</v>
      </c>
      <c r="E62" s="77">
        <v>9596</v>
      </c>
      <c r="F62" s="77">
        <v>9501</v>
      </c>
      <c r="G62" s="150">
        <v>9345</v>
      </c>
      <c r="H62" s="41">
        <v>8870</v>
      </c>
      <c r="I62" s="41">
        <v>114</v>
      </c>
      <c r="J62" s="41">
        <v>122</v>
      </c>
      <c r="K62" s="41">
        <v>83</v>
      </c>
      <c r="L62" s="41">
        <v>406</v>
      </c>
      <c r="M62" s="42">
        <v>4053</v>
      </c>
      <c r="N62" s="43">
        <v>4056</v>
      </c>
      <c r="O62" s="43">
        <v>4054</v>
      </c>
      <c r="P62" s="44">
        <v>4038</v>
      </c>
      <c r="Q62" s="44">
        <v>4007</v>
      </c>
      <c r="R62" s="87">
        <v>35.652173913043477</v>
      </c>
      <c r="S62" s="87">
        <v>35.764144011756059</v>
      </c>
      <c r="T62" s="87">
        <v>33.164689462665734</v>
      </c>
      <c r="U62" s="87">
        <v>33.462966236521126</v>
      </c>
      <c r="V62" s="87">
        <v>33.746185604020823</v>
      </c>
      <c r="W62" s="87">
        <v>31.073646850044366</v>
      </c>
      <c r="X62" s="87">
        <v>36.039676708302721</v>
      </c>
      <c r="Y62" s="87">
        <v>34.246336357292392</v>
      </c>
      <c r="Z62" s="87">
        <v>34.488244652642742</v>
      </c>
      <c r="AA62" s="42">
        <v>33.997486986178423</v>
      </c>
      <c r="AB62" s="87">
        <v>66.725820763087839</v>
      </c>
      <c r="AC62" s="87">
        <v>71.803820720058781</v>
      </c>
      <c r="AD62" s="87">
        <v>67.411025819958127</v>
      </c>
      <c r="AE62" s="87">
        <v>67.951210889163875</v>
      </c>
      <c r="AF62" s="87">
        <v>67.743672590199253</v>
      </c>
      <c r="AG62" s="44">
        <v>4.3995032818875286</v>
      </c>
      <c r="AH62" s="44">
        <v>6.5820067966374527</v>
      </c>
      <c r="AI62" s="44">
        <v>6.0377358490566042</v>
      </c>
      <c r="AJ62" s="43">
        <v>5.9414826781547294</v>
      </c>
      <c r="AK62" s="43">
        <v>4.3061366806136681</v>
      </c>
      <c r="AL62" s="47">
        <v>231.41666666666666</v>
      </c>
      <c r="AM62" s="47">
        <v>294.41666666666669</v>
      </c>
      <c r="AN62" s="47">
        <v>231.41666666666666</v>
      </c>
      <c r="AO62" s="47">
        <v>396.5</v>
      </c>
      <c r="AP62" s="47">
        <v>407.16666666666669</v>
      </c>
      <c r="AQ62" s="47">
        <v>41589.921104649802</v>
      </c>
      <c r="AR62" s="47">
        <v>40682.719764835594</v>
      </c>
      <c r="AS62" s="47">
        <v>43332.008343795213</v>
      </c>
      <c r="AT62" s="47">
        <v>45370.948882994773</v>
      </c>
      <c r="AU62" s="47">
        <v>48985.874799357945</v>
      </c>
      <c r="AV62" s="84">
        <v>44170.401873465373</v>
      </c>
      <c r="AW62" s="85">
        <v>44205.193977791627</v>
      </c>
      <c r="AX62" s="85">
        <v>47255.257625622777</v>
      </c>
      <c r="AY62" s="85">
        <v>44630.584802255958</v>
      </c>
      <c r="AZ62" s="85">
        <v>47143</v>
      </c>
      <c r="BA62" s="83">
        <v>10.639921508775755</v>
      </c>
      <c r="BB62" s="83">
        <v>10.565541429197721</v>
      </c>
      <c r="BC62" s="83">
        <v>10.525192143467121</v>
      </c>
      <c r="BD62" s="83">
        <v>12.691065662002153</v>
      </c>
      <c r="BE62" s="83">
        <v>11.227839789888378</v>
      </c>
      <c r="BF62" s="83">
        <v>14.100185528756958</v>
      </c>
      <c r="BG62" s="46">
        <v>14.219212865002117</v>
      </c>
      <c r="BH62" s="46">
        <v>15.866209262435678</v>
      </c>
      <c r="BI62" s="46">
        <v>17.832469775474959</v>
      </c>
      <c r="BJ62" s="46">
        <v>15.221238938053098</v>
      </c>
      <c r="BK62" s="42">
        <v>1491</v>
      </c>
      <c r="BL62" s="42">
        <v>1475</v>
      </c>
      <c r="BM62" s="40">
        <v>1471</v>
      </c>
      <c r="BN62" s="40">
        <v>1493</v>
      </c>
      <c r="BO62" s="43">
        <v>42.991281019450035</v>
      </c>
      <c r="BP62" s="43">
        <v>43.050847457627121</v>
      </c>
      <c r="BQ62" s="44">
        <v>43.3718558803535</v>
      </c>
      <c r="BR62" s="44">
        <v>43.603482920294709</v>
      </c>
      <c r="BS62" s="87">
        <v>3.8900067069081152</v>
      </c>
      <c r="BT62" s="87">
        <v>4.0677966101694913</v>
      </c>
      <c r="BU62" s="87">
        <v>4.2148198504418763</v>
      </c>
      <c r="BV62" s="87">
        <v>4.8894842598794375</v>
      </c>
      <c r="BW62" s="43">
        <v>16.834339369550637</v>
      </c>
      <c r="BX62" s="43">
        <v>15.932203389830509</v>
      </c>
      <c r="BY62" s="43">
        <v>16.111488783140722</v>
      </c>
      <c r="BZ62" s="43">
        <v>15.20428667113195</v>
      </c>
      <c r="CA62" s="42">
        <v>85.294117647058826</v>
      </c>
      <c r="CB62" s="42">
        <v>89.6</v>
      </c>
      <c r="CC62" s="42">
        <v>86.96</v>
      </c>
      <c r="CD62" s="44">
        <v>80.91</v>
      </c>
      <c r="CE62" s="43">
        <v>2.9411764705882355</v>
      </c>
      <c r="CF62" s="43">
        <v>1.6</v>
      </c>
      <c r="CG62" s="43">
        <v>6.09</v>
      </c>
      <c r="CH62" s="44">
        <v>7.27</v>
      </c>
      <c r="CI62" s="49">
        <v>582</v>
      </c>
      <c r="CJ62" s="49">
        <v>560</v>
      </c>
      <c r="CK62" s="51">
        <v>644</v>
      </c>
      <c r="CL62" s="51">
        <v>605</v>
      </c>
      <c r="CM62" s="88">
        <v>11.4</v>
      </c>
      <c r="CN62" s="88">
        <v>11.3</v>
      </c>
      <c r="CO62" s="88">
        <v>13.6</v>
      </c>
      <c r="CP62" s="88">
        <v>12.8</v>
      </c>
      <c r="CQ62" s="53">
        <v>19</v>
      </c>
      <c r="CR62" s="53">
        <v>24</v>
      </c>
      <c r="CS62" s="53">
        <v>31</v>
      </c>
      <c r="CT62" s="53">
        <v>26</v>
      </c>
      <c r="CU62" s="88">
        <v>3.3</v>
      </c>
      <c r="CV62" s="88">
        <v>4.4000000000000004</v>
      </c>
      <c r="CW62" s="88">
        <v>5</v>
      </c>
      <c r="CX62" s="88">
        <v>4.5</v>
      </c>
      <c r="CY62" s="51">
        <v>39</v>
      </c>
      <c r="CZ62" s="53">
        <v>48</v>
      </c>
      <c r="DA62" s="53">
        <v>47</v>
      </c>
      <c r="DB62" s="53">
        <v>50</v>
      </c>
      <c r="DC62" s="88">
        <v>7.3</v>
      </c>
      <c r="DD62" s="88">
        <v>9</v>
      </c>
      <c r="DE62" s="88">
        <v>8.1</v>
      </c>
      <c r="DF62" s="88">
        <v>9</v>
      </c>
      <c r="DG62" s="88">
        <v>87.1</v>
      </c>
      <c r="DH62" s="88">
        <v>76.099999999999994</v>
      </c>
      <c r="DI62" s="88">
        <v>86.9</v>
      </c>
      <c r="DJ62" s="88">
        <v>82.2</v>
      </c>
      <c r="DK62" s="88">
        <v>13.6</v>
      </c>
      <c r="DL62" s="88">
        <v>14.2</v>
      </c>
      <c r="DM62" s="88">
        <v>17.600000000000001</v>
      </c>
      <c r="DN62" s="88">
        <v>18.96838602329451</v>
      </c>
      <c r="DO62" s="88">
        <v>18.399999999999999</v>
      </c>
      <c r="DP62" s="88">
        <v>20.7</v>
      </c>
      <c r="DQ62" s="88">
        <v>30.9</v>
      </c>
      <c r="DR62" s="88">
        <v>35.1</v>
      </c>
      <c r="DS62" s="88">
        <v>24.729520865533232</v>
      </c>
      <c r="DT62" s="88">
        <v>22.30843840931135</v>
      </c>
      <c r="DU62" s="88">
        <v>36.989795918367349</v>
      </c>
      <c r="DV62" s="88">
        <v>30.18625561978163</v>
      </c>
      <c r="DW62" s="54">
        <v>93</v>
      </c>
      <c r="DX62" s="54">
        <v>1</v>
      </c>
      <c r="DY62" s="51">
        <v>6</v>
      </c>
      <c r="DZ62" s="53">
        <v>2</v>
      </c>
      <c r="EA62" s="53">
        <v>14</v>
      </c>
      <c r="EB62" s="53">
        <v>3</v>
      </c>
      <c r="EC62" s="53">
        <v>5</v>
      </c>
      <c r="ED62" s="51">
        <v>1</v>
      </c>
      <c r="EE62" s="53">
        <v>3</v>
      </c>
      <c r="EF62" s="53">
        <v>649</v>
      </c>
      <c r="EG62" s="53">
        <v>649</v>
      </c>
      <c r="EH62" s="53">
        <v>626</v>
      </c>
      <c r="EI62" s="53">
        <v>576</v>
      </c>
      <c r="EJ62" s="92">
        <v>114</v>
      </c>
      <c r="EK62" s="92">
        <v>0</v>
      </c>
      <c r="EL62" s="92">
        <v>2</v>
      </c>
      <c r="EM62" s="92">
        <v>0</v>
      </c>
      <c r="EN62" s="92">
        <v>1</v>
      </c>
      <c r="EO62" s="88">
        <v>1265.7734090066897</v>
      </c>
      <c r="EP62" s="88">
        <v>1308.1776218983694</v>
      </c>
      <c r="EQ62" s="88">
        <v>1320.4243919930814</v>
      </c>
      <c r="ER62" s="88">
        <v>1215.4842119170301</v>
      </c>
      <c r="ES62" s="88">
        <v>763.7</v>
      </c>
      <c r="ET62" s="88">
        <v>761.3</v>
      </c>
      <c r="EU62" s="88">
        <v>712.1</v>
      </c>
      <c r="EV62" s="88">
        <v>675.6</v>
      </c>
      <c r="EW62" s="88">
        <v>994.16364166678727</v>
      </c>
      <c r="EX62" s="88">
        <v>947.31651995507343</v>
      </c>
      <c r="EY62" s="88">
        <v>949.37001445780345</v>
      </c>
      <c r="EZ62" s="88">
        <v>882.83148808277076</v>
      </c>
      <c r="FA62" s="88">
        <v>598.31803139368481</v>
      </c>
      <c r="FB62" s="88">
        <v>619.24663061369029</v>
      </c>
      <c r="FC62" s="88">
        <v>531.54277370996419</v>
      </c>
      <c r="FD62" s="88">
        <v>517.53127505739064</v>
      </c>
      <c r="FE62" s="51">
        <v>145</v>
      </c>
      <c r="FF62" s="54">
        <v>141</v>
      </c>
      <c r="FG62" s="54">
        <v>138</v>
      </c>
      <c r="FH62" s="54">
        <v>137</v>
      </c>
      <c r="FI62" s="88">
        <v>194.0154</v>
      </c>
      <c r="FJ62" s="88">
        <v>182.60769999999999</v>
      </c>
      <c r="FK62" s="88">
        <v>177.005</v>
      </c>
      <c r="FL62" s="88">
        <v>179.31299999999999</v>
      </c>
      <c r="FM62" s="54">
        <v>182</v>
      </c>
      <c r="FN62" s="54">
        <v>131</v>
      </c>
      <c r="FO62" s="51">
        <v>117</v>
      </c>
      <c r="FP62" s="54">
        <v>110</v>
      </c>
      <c r="FQ62" s="88">
        <v>201.00909999999999</v>
      </c>
      <c r="FR62" s="88">
        <v>145.06010000000001</v>
      </c>
      <c r="FS62" s="88">
        <v>120.1814</v>
      </c>
      <c r="FT62" s="88">
        <v>112.3824</v>
      </c>
      <c r="FU62" s="53">
        <v>73</v>
      </c>
      <c r="FV62" s="53">
        <v>58</v>
      </c>
      <c r="FW62" s="53">
        <v>53</v>
      </c>
      <c r="FX62" s="53">
        <v>52</v>
      </c>
      <c r="FY62" s="88">
        <v>73.742819999999995</v>
      </c>
      <c r="FZ62" s="88">
        <v>56.85707</v>
      </c>
      <c r="GA62" s="88">
        <v>48.722740000000002</v>
      </c>
      <c r="GB62" s="88">
        <v>50.892069999999997</v>
      </c>
      <c r="GC62" s="55">
        <v>15</v>
      </c>
      <c r="GD62" s="56">
        <v>30</v>
      </c>
      <c r="GE62" s="55">
        <v>31</v>
      </c>
      <c r="GF62" s="55">
        <v>30</v>
      </c>
      <c r="GG62" s="91">
        <v>26.428660000000001</v>
      </c>
      <c r="GH62" s="91">
        <v>49.524889999999999</v>
      </c>
      <c r="GI62" s="91">
        <v>47.700879999999998</v>
      </c>
      <c r="GJ62" s="91">
        <v>43.957830000000001</v>
      </c>
      <c r="GK62" s="55"/>
      <c r="GL62" s="55"/>
      <c r="GM62" s="55"/>
      <c r="GN62" s="56"/>
      <c r="GO62" s="55"/>
      <c r="GP62" s="55"/>
      <c r="GQ62" s="55"/>
      <c r="GR62" s="55"/>
      <c r="GS62" s="56"/>
      <c r="GT62" s="55"/>
      <c r="GU62" s="55"/>
      <c r="GV62" s="55"/>
      <c r="GW62" s="55"/>
      <c r="GX62" s="56"/>
      <c r="GY62" s="56"/>
      <c r="GZ62" s="56"/>
      <c r="HA62" s="56"/>
      <c r="HB62" s="56"/>
      <c r="HC62" s="56"/>
      <c r="HD62" s="57"/>
      <c r="HE62" s="57"/>
      <c r="HF62" s="57"/>
      <c r="HG62" s="57"/>
      <c r="HH62" s="57"/>
      <c r="HI62" s="58"/>
      <c r="HJ62" s="58"/>
      <c r="HK62" s="55"/>
      <c r="HL62" s="56"/>
      <c r="HM62" s="56"/>
      <c r="HN62" s="56"/>
      <c r="HO62" s="56"/>
      <c r="HP62" s="56"/>
      <c r="HQ62" s="56"/>
      <c r="HR62" s="56"/>
      <c r="HS62" s="56"/>
      <c r="HT62" s="56"/>
      <c r="HU62" s="38"/>
    </row>
    <row r="63" spans="1:229" x14ac:dyDescent="0.2">
      <c r="A63" s="36">
        <v>60</v>
      </c>
      <c r="B63" s="70" t="s">
        <v>116</v>
      </c>
      <c r="C63" s="77">
        <v>30694</v>
      </c>
      <c r="D63" s="77">
        <v>30776</v>
      </c>
      <c r="E63" s="77">
        <v>31600</v>
      </c>
      <c r="F63" s="77">
        <v>31456</v>
      </c>
      <c r="G63" s="150">
        <v>31416</v>
      </c>
      <c r="H63" s="41">
        <v>29716</v>
      </c>
      <c r="I63" s="41">
        <v>345</v>
      </c>
      <c r="J63" s="41">
        <v>488</v>
      </c>
      <c r="K63" s="41">
        <v>263</v>
      </c>
      <c r="L63" s="41">
        <v>1813</v>
      </c>
      <c r="M63" s="42">
        <v>12529</v>
      </c>
      <c r="N63" s="43">
        <v>12527</v>
      </c>
      <c r="O63" s="43">
        <v>12704</v>
      </c>
      <c r="P63" s="44">
        <v>12708</v>
      </c>
      <c r="Q63" s="44">
        <v>12706</v>
      </c>
      <c r="R63" s="87">
        <v>26.447150804390319</v>
      </c>
      <c r="S63" s="87">
        <v>26.44076433121019</v>
      </c>
      <c r="T63" s="87">
        <v>25.840304935399239</v>
      </c>
      <c r="U63" s="87">
        <v>25.45239386618017</v>
      </c>
      <c r="V63" s="87">
        <v>26.132352210013423</v>
      </c>
      <c r="W63" s="87">
        <v>27.384353230090714</v>
      </c>
      <c r="X63" s="87">
        <v>30.379617834394903</v>
      </c>
      <c r="Y63" s="87">
        <v>30.587594673531012</v>
      </c>
      <c r="Z63" s="87">
        <v>29.648439426063803</v>
      </c>
      <c r="AA63" s="42">
        <v>30.065132004176402</v>
      </c>
      <c r="AB63" s="87">
        <v>53.831504034481028</v>
      </c>
      <c r="AC63" s="87">
        <v>56.820382165605096</v>
      </c>
      <c r="AD63" s="87">
        <v>56.427899608930254</v>
      </c>
      <c r="AE63" s="87">
        <v>55.100833292243969</v>
      </c>
      <c r="AF63" s="87">
        <v>56.197484214189828</v>
      </c>
      <c r="AG63" s="44">
        <v>4.9770020049534143</v>
      </c>
      <c r="AH63" s="44">
        <v>6.1212614919120218</v>
      </c>
      <c r="AI63" s="44">
        <v>5.6824034334763951</v>
      </c>
      <c r="AJ63" s="43">
        <v>6.0919603828916067</v>
      </c>
      <c r="AK63" s="43">
        <v>5.2286139760630963</v>
      </c>
      <c r="AL63" s="47">
        <v>1088</v>
      </c>
      <c r="AM63" s="47">
        <v>1292.3333333333333</v>
      </c>
      <c r="AN63" s="47">
        <v>1088</v>
      </c>
      <c r="AO63" s="47">
        <v>1756.5833333333333</v>
      </c>
      <c r="AP63" s="47">
        <v>1847.4166666666667</v>
      </c>
      <c r="AQ63" s="47">
        <v>39697.752477045266</v>
      </c>
      <c r="AR63" s="47">
        <v>37601.365508704148</v>
      </c>
      <c r="AS63" s="47">
        <v>39194.725741661299</v>
      </c>
      <c r="AT63" s="47">
        <v>40320.399603936188</v>
      </c>
      <c r="AU63" s="47">
        <v>43570.505474917241</v>
      </c>
      <c r="AV63" s="84">
        <v>47265.027938427505</v>
      </c>
      <c r="AW63" s="85">
        <v>46800.400373863493</v>
      </c>
      <c r="AX63" s="85">
        <v>48960.995534569054</v>
      </c>
      <c r="AY63" s="85">
        <v>51011.923506544124</v>
      </c>
      <c r="AZ63" s="85">
        <v>47679</v>
      </c>
      <c r="BA63" s="83">
        <v>12.16069120348323</v>
      </c>
      <c r="BB63" s="83">
        <v>12.230972910584562</v>
      </c>
      <c r="BC63" s="83">
        <v>11.741541692645949</v>
      </c>
      <c r="BD63" s="83">
        <v>14.498448127847851</v>
      </c>
      <c r="BE63" s="83">
        <v>13.551587301587302</v>
      </c>
      <c r="BF63" s="83">
        <v>15.207030086386654</v>
      </c>
      <c r="BG63" s="46">
        <v>16.882022471910112</v>
      </c>
      <c r="BH63" s="46">
        <v>15.62330623306233</v>
      </c>
      <c r="BI63" s="46">
        <v>20.417184694018509</v>
      </c>
      <c r="BJ63" s="46">
        <v>17.618519545328528</v>
      </c>
      <c r="BK63" s="42">
        <v>5071</v>
      </c>
      <c r="BL63" s="42">
        <v>5021</v>
      </c>
      <c r="BM63" s="40">
        <v>4977</v>
      </c>
      <c r="BN63" s="40">
        <v>5043</v>
      </c>
      <c r="BO63" s="43">
        <v>38.670873594951686</v>
      </c>
      <c r="BP63" s="43">
        <v>37.821151165106549</v>
      </c>
      <c r="BQ63" s="44">
        <v>38.115330520393812</v>
      </c>
      <c r="BR63" s="44">
        <v>40.115010906206621</v>
      </c>
      <c r="BS63" s="87">
        <v>1.5184381778741864</v>
      </c>
      <c r="BT63" s="87">
        <v>1.254730133439554</v>
      </c>
      <c r="BU63" s="87">
        <v>1.4667470363672894</v>
      </c>
      <c r="BV63" s="87">
        <v>1.6656751933372993</v>
      </c>
      <c r="BW63" s="43">
        <v>15.657661210806546</v>
      </c>
      <c r="BX63" s="43">
        <v>15.674168492332205</v>
      </c>
      <c r="BY63" s="43">
        <v>15.651999196302993</v>
      </c>
      <c r="BZ63" s="43">
        <v>14.8720999405116</v>
      </c>
      <c r="CA63" s="42">
        <v>80.995475113122168</v>
      </c>
      <c r="CB63" s="42">
        <v>83.050847457627114</v>
      </c>
      <c r="CC63" s="42">
        <v>83.79</v>
      </c>
      <c r="CD63" s="44">
        <v>85.37</v>
      </c>
      <c r="CE63" s="43">
        <v>4.9773755656108598</v>
      </c>
      <c r="CF63" s="43">
        <v>5.9322033898305087</v>
      </c>
      <c r="CG63" s="43">
        <v>7.48</v>
      </c>
      <c r="CH63" s="44">
        <v>6</v>
      </c>
      <c r="CI63" s="49">
        <v>1981</v>
      </c>
      <c r="CJ63" s="49">
        <v>1705</v>
      </c>
      <c r="CK63" s="54">
        <v>1916</v>
      </c>
      <c r="CL63" s="54">
        <v>2003</v>
      </c>
      <c r="CM63" s="88">
        <v>12.2</v>
      </c>
      <c r="CN63" s="88">
        <v>11</v>
      </c>
      <c r="CO63" s="88">
        <v>12.4</v>
      </c>
      <c r="CP63" s="88">
        <v>12.8</v>
      </c>
      <c r="CQ63" s="53">
        <v>64</v>
      </c>
      <c r="CR63" s="53">
        <v>75</v>
      </c>
      <c r="CS63" s="53">
        <v>99</v>
      </c>
      <c r="CT63" s="53">
        <v>87</v>
      </c>
      <c r="CU63" s="88">
        <v>3.3</v>
      </c>
      <c r="CV63" s="88">
        <v>4.5</v>
      </c>
      <c r="CW63" s="88">
        <v>5.3</v>
      </c>
      <c r="CX63" s="88">
        <v>4.5</v>
      </c>
      <c r="CY63" s="51">
        <v>141</v>
      </c>
      <c r="CZ63" s="53">
        <v>138</v>
      </c>
      <c r="DA63" s="53">
        <v>164</v>
      </c>
      <c r="DB63" s="53">
        <v>135</v>
      </c>
      <c r="DC63" s="88">
        <v>7.5</v>
      </c>
      <c r="DD63" s="88">
        <v>8.8000000000000007</v>
      </c>
      <c r="DE63" s="88">
        <v>9.4</v>
      </c>
      <c r="DF63" s="88">
        <v>8.5</v>
      </c>
      <c r="DG63" s="88">
        <v>74.3</v>
      </c>
      <c r="DH63" s="88">
        <v>80.599999999999994</v>
      </c>
      <c r="DI63" s="88">
        <v>83</v>
      </c>
      <c r="DJ63" s="88">
        <v>78.400000000000006</v>
      </c>
      <c r="DK63" s="88">
        <v>17.100000000000001</v>
      </c>
      <c r="DL63" s="88">
        <v>12.7</v>
      </c>
      <c r="DM63" s="88">
        <v>13.2</v>
      </c>
      <c r="DN63" s="88">
        <v>14.799797263051191</v>
      </c>
      <c r="DO63" s="88">
        <v>27.2</v>
      </c>
      <c r="DP63" s="88">
        <v>31.3</v>
      </c>
      <c r="DQ63" s="88">
        <v>34.5</v>
      </c>
      <c r="DR63" s="88">
        <v>34.1</v>
      </c>
      <c r="DS63" s="88">
        <v>34.725803678872268</v>
      </c>
      <c r="DT63" s="88">
        <v>32.963549920760698</v>
      </c>
      <c r="DU63" s="88">
        <v>33.024431339511374</v>
      </c>
      <c r="DV63" s="88">
        <v>28.176695146337028</v>
      </c>
      <c r="DW63" s="54">
        <v>368</v>
      </c>
      <c r="DX63" s="54">
        <v>11</v>
      </c>
      <c r="DY63" s="51">
        <v>13</v>
      </c>
      <c r="DZ63" s="53">
        <v>6</v>
      </c>
      <c r="EA63" s="53">
        <v>31</v>
      </c>
      <c r="EB63" s="53">
        <v>11</v>
      </c>
      <c r="EC63" s="53">
        <v>9</v>
      </c>
      <c r="ED63" s="51">
        <v>13</v>
      </c>
      <c r="EE63" s="53">
        <v>10</v>
      </c>
      <c r="EF63" s="53">
        <v>2026</v>
      </c>
      <c r="EG63" s="53">
        <v>1789</v>
      </c>
      <c r="EH63" s="53">
        <v>1744</v>
      </c>
      <c r="EI63" s="53">
        <v>1794</v>
      </c>
      <c r="EJ63" s="92">
        <v>335</v>
      </c>
      <c r="EK63" s="92">
        <v>1</v>
      </c>
      <c r="EL63" s="92">
        <v>5</v>
      </c>
      <c r="EM63" s="92">
        <v>0</v>
      </c>
      <c r="EN63" s="92">
        <v>7</v>
      </c>
      <c r="EO63" s="88">
        <v>1247.375647237734</v>
      </c>
      <c r="EP63" s="88">
        <v>1151.5042288333054</v>
      </c>
      <c r="EQ63" s="88">
        <v>1125.4735184599599</v>
      </c>
      <c r="ER63" s="88">
        <v>1162.0063279957599</v>
      </c>
      <c r="ES63" s="88">
        <v>896.3</v>
      </c>
      <c r="ET63" s="88">
        <v>812.6</v>
      </c>
      <c r="EU63" s="88">
        <v>759.4</v>
      </c>
      <c r="EV63" s="88">
        <v>791.8</v>
      </c>
      <c r="EW63" s="88">
        <v>1185.8275070547354</v>
      </c>
      <c r="EX63" s="88">
        <v>1004.46130627999</v>
      </c>
      <c r="EY63" s="88">
        <v>965.6360473130635</v>
      </c>
      <c r="EZ63" s="88">
        <v>977.75317935121507</v>
      </c>
      <c r="FA63" s="88">
        <v>672.80382481300865</v>
      </c>
      <c r="FB63" s="88">
        <v>658.49135912999452</v>
      </c>
      <c r="FC63" s="88">
        <v>613.39379771979975</v>
      </c>
      <c r="FD63" s="88">
        <v>670.58302951922417</v>
      </c>
      <c r="FE63" s="51">
        <v>462</v>
      </c>
      <c r="FF63" s="54">
        <v>395</v>
      </c>
      <c r="FG63" s="54">
        <v>317</v>
      </c>
      <c r="FH63" s="54">
        <v>400</v>
      </c>
      <c r="FI63" s="88">
        <v>218.27529999999999</v>
      </c>
      <c r="FJ63" s="88">
        <v>197.23560000000001</v>
      </c>
      <c r="FK63" s="88">
        <v>151.22909999999999</v>
      </c>
      <c r="FL63" s="88">
        <v>189.0889</v>
      </c>
      <c r="FM63" s="54">
        <v>572</v>
      </c>
      <c r="FN63" s="54">
        <v>416</v>
      </c>
      <c r="FO63" s="51">
        <v>364</v>
      </c>
      <c r="FP63" s="54">
        <v>385</v>
      </c>
      <c r="FQ63" s="88">
        <v>244.22370000000001</v>
      </c>
      <c r="FR63" s="88">
        <v>183.6054</v>
      </c>
      <c r="FS63" s="88">
        <v>148.98580000000001</v>
      </c>
      <c r="FT63" s="88">
        <v>160.43510000000001</v>
      </c>
      <c r="FU63" s="53">
        <v>188</v>
      </c>
      <c r="FV63" s="53">
        <v>159</v>
      </c>
      <c r="FW63" s="53">
        <v>136</v>
      </c>
      <c r="FX63" s="53">
        <v>92</v>
      </c>
      <c r="FY63" s="88">
        <v>76.272639999999996</v>
      </c>
      <c r="FZ63" s="88">
        <v>64.672839999999994</v>
      </c>
      <c r="GA63" s="88">
        <v>52.104590000000002</v>
      </c>
      <c r="GB63" s="88">
        <v>34.903919999999999</v>
      </c>
      <c r="GC63" s="55">
        <v>86</v>
      </c>
      <c r="GD63" s="56">
        <v>56</v>
      </c>
      <c r="GE63" s="55">
        <v>76</v>
      </c>
      <c r="GF63" s="55">
        <v>93</v>
      </c>
      <c r="GG63" s="91">
        <v>46.283790000000003</v>
      </c>
      <c r="GH63" s="91">
        <v>29.40924</v>
      </c>
      <c r="GI63" s="91">
        <v>40.410670000000003</v>
      </c>
      <c r="GJ63" s="91">
        <v>52.627949999999998</v>
      </c>
      <c r="GK63" s="55"/>
      <c r="GL63" s="55"/>
      <c r="GM63" s="55"/>
      <c r="GN63" s="56"/>
      <c r="GO63" s="55"/>
      <c r="GP63" s="55"/>
      <c r="GQ63" s="55"/>
      <c r="GR63" s="55"/>
      <c r="GS63" s="56"/>
      <c r="GT63" s="55"/>
      <c r="GU63" s="55"/>
      <c r="GV63" s="55"/>
      <c r="GW63" s="55"/>
      <c r="GX63" s="56"/>
      <c r="GY63" s="56"/>
      <c r="GZ63" s="56"/>
      <c r="HA63" s="56"/>
      <c r="HB63" s="56"/>
      <c r="HC63" s="56"/>
      <c r="HD63" s="57"/>
      <c r="HE63" s="57"/>
      <c r="HF63" s="57"/>
      <c r="HG63" s="57"/>
      <c r="HH63" s="57"/>
      <c r="HI63" s="58"/>
      <c r="HJ63" s="58"/>
      <c r="HK63" s="55"/>
      <c r="HL63" s="56"/>
      <c r="HM63" s="56"/>
      <c r="HN63" s="56"/>
      <c r="HO63" s="56"/>
      <c r="HP63" s="56"/>
      <c r="HQ63" s="56"/>
      <c r="HR63" s="56"/>
      <c r="HS63" s="56"/>
      <c r="HT63" s="56"/>
      <c r="HU63" s="38"/>
    </row>
    <row r="64" spans="1:229" x14ac:dyDescent="0.2">
      <c r="A64" s="36">
        <v>61</v>
      </c>
      <c r="B64" s="70" t="s">
        <v>117</v>
      </c>
      <c r="C64" s="77">
        <v>11030</v>
      </c>
      <c r="D64" s="77">
        <v>10869</v>
      </c>
      <c r="E64" s="77">
        <v>10995</v>
      </c>
      <c r="F64" s="77">
        <v>10894</v>
      </c>
      <c r="G64" s="150">
        <v>10892</v>
      </c>
      <c r="H64" s="41">
        <v>10667</v>
      </c>
      <c r="I64" s="41">
        <v>43</v>
      </c>
      <c r="J64" s="41">
        <v>31</v>
      </c>
      <c r="K64" s="41">
        <v>46</v>
      </c>
      <c r="L64" s="41">
        <v>101</v>
      </c>
      <c r="M64" s="42">
        <v>4703</v>
      </c>
      <c r="N64" s="43">
        <v>4672</v>
      </c>
      <c r="O64" s="43">
        <v>4736</v>
      </c>
      <c r="P64" s="44">
        <v>4721</v>
      </c>
      <c r="Q64" s="44">
        <v>4728</v>
      </c>
      <c r="R64" s="87">
        <v>33.813156758312942</v>
      </c>
      <c r="S64" s="87">
        <v>33.200059232933512</v>
      </c>
      <c r="T64" s="87">
        <v>34.765799256505574</v>
      </c>
      <c r="U64" s="87">
        <v>34.948407357559446</v>
      </c>
      <c r="V64" s="87">
        <v>37.014470677837018</v>
      </c>
      <c r="W64" s="87">
        <v>24.960414567439184</v>
      </c>
      <c r="X64" s="87">
        <v>27.750629349918555</v>
      </c>
      <c r="Y64" s="87">
        <v>28.728624535315983</v>
      </c>
      <c r="Z64" s="87">
        <v>27.964707641692836</v>
      </c>
      <c r="AA64" s="42">
        <v>28.895658796648895</v>
      </c>
      <c r="AB64" s="87">
        <v>58.773571325752123</v>
      </c>
      <c r="AC64" s="87">
        <v>60.950688582852067</v>
      </c>
      <c r="AD64" s="87">
        <v>63.494423791821561</v>
      </c>
      <c r="AE64" s="87">
        <v>62.913114999252279</v>
      </c>
      <c r="AF64" s="87">
        <v>65.910129474485913</v>
      </c>
      <c r="AG64" s="44">
        <v>5.2648790058862005</v>
      </c>
      <c r="AH64" s="44">
        <v>7.389083945100543</v>
      </c>
      <c r="AI64" s="44">
        <v>6.5647902697645408</v>
      </c>
      <c r="AJ64" s="43">
        <v>5.6955966815571157</v>
      </c>
      <c r="AK64" s="43">
        <v>4.2272727272727275</v>
      </c>
      <c r="AL64" s="47">
        <v>202.75</v>
      </c>
      <c r="AM64" s="47">
        <v>253.58333333333334</v>
      </c>
      <c r="AN64" s="47">
        <v>202.75</v>
      </c>
      <c r="AO64" s="47">
        <v>426.33333333333331</v>
      </c>
      <c r="AP64" s="47">
        <v>447.33333333333331</v>
      </c>
      <c r="AQ64" s="47">
        <v>40388.884705051292</v>
      </c>
      <c r="AR64" s="47">
        <v>39385.137301143754</v>
      </c>
      <c r="AS64" s="47">
        <v>42512.925037567496</v>
      </c>
      <c r="AT64" s="47">
        <v>44553.171415885161</v>
      </c>
      <c r="AU64" s="47">
        <v>50670.767535806095</v>
      </c>
      <c r="AV64" s="84">
        <v>50178.369912747476</v>
      </c>
      <c r="AW64" s="85">
        <v>52272.27266380802</v>
      </c>
      <c r="AX64" s="85">
        <v>47538.494352478672</v>
      </c>
      <c r="AY64" s="85">
        <v>48140.729364643514</v>
      </c>
      <c r="AZ64" s="85">
        <v>50692</v>
      </c>
      <c r="BA64" s="83">
        <v>10.102611940298507</v>
      </c>
      <c r="BB64" s="83">
        <v>9.8929214441391071</v>
      </c>
      <c r="BC64" s="83">
        <v>10.507816113218018</v>
      </c>
      <c r="BD64" s="83">
        <v>10.264777176953197</v>
      </c>
      <c r="BE64" s="83">
        <v>11.382492775240049</v>
      </c>
      <c r="BF64" s="83">
        <v>13.370216689718765</v>
      </c>
      <c r="BG64" s="46">
        <v>13.777777777777779</v>
      </c>
      <c r="BH64" s="46">
        <v>15.086956521739131</v>
      </c>
      <c r="BI64" s="46">
        <v>14.043691484618813</v>
      </c>
      <c r="BJ64" s="46">
        <v>15.777875716174526</v>
      </c>
      <c r="BK64" s="42">
        <v>1295</v>
      </c>
      <c r="BL64" s="42">
        <v>1269</v>
      </c>
      <c r="BM64" s="40">
        <v>1217</v>
      </c>
      <c r="BN64" s="40">
        <v>1255</v>
      </c>
      <c r="BO64" s="43">
        <v>39.536679536679536</v>
      </c>
      <c r="BP64" s="43">
        <v>39.952718676122934</v>
      </c>
      <c r="BQ64" s="44">
        <v>38.37304847986853</v>
      </c>
      <c r="BR64" s="44">
        <v>42.948207171314742</v>
      </c>
      <c r="BS64" s="87">
        <v>0.30888030888030887</v>
      </c>
      <c r="BT64" s="87">
        <v>0.15760441292356187</v>
      </c>
      <c r="BU64" s="87">
        <v>8.2169268693508629E-2</v>
      </c>
      <c r="BV64" s="87">
        <v>0.23904382470119523</v>
      </c>
      <c r="BW64" s="43">
        <v>22.625482625482626</v>
      </c>
      <c r="BX64" s="43">
        <v>24.034672970843182</v>
      </c>
      <c r="BY64" s="43">
        <v>23.171733771569432</v>
      </c>
      <c r="BZ64" s="43">
        <v>22.231075697211157</v>
      </c>
      <c r="CA64" s="42">
        <v>87.387387387387392</v>
      </c>
      <c r="CB64" s="42">
        <v>88.181818181818187</v>
      </c>
      <c r="CC64" s="42">
        <v>83.15</v>
      </c>
      <c r="CD64" s="44">
        <v>90.8</v>
      </c>
      <c r="CE64" s="43">
        <v>2.7027027027027026</v>
      </c>
      <c r="CF64" s="43">
        <v>0.90909090909090906</v>
      </c>
      <c r="CG64" s="43">
        <v>2.25</v>
      </c>
      <c r="CH64" s="44">
        <v>1.1499999999999999</v>
      </c>
      <c r="CI64" s="49">
        <v>527</v>
      </c>
      <c r="CJ64" s="49">
        <v>524</v>
      </c>
      <c r="CK64" s="51">
        <v>620</v>
      </c>
      <c r="CL64" s="51">
        <v>624</v>
      </c>
      <c r="CM64" s="88">
        <v>9.6</v>
      </c>
      <c r="CN64" s="88">
        <v>9.5</v>
      </c>
      <c r="CO64" s="88">
        <v>11.1</v>
      </c>
      <c r="CP64" s="88">
        <v>11.4</v>
      </c>
      <c r="CQ64" s="53">
        <v>16</v>
      </c>
      <c r="CR64" s="53">
        <v>18</v>
      </c>
      <c r="CS64" s="53">
        <v>26</v>
      </c>
      <c r="CT64" s="53">
        <v>26</v>
      </c>
      <c r="CU64" s="88">
        <v>3.1</v>
      </c>
      <c r="CV64" s="88">
        <v>3.6</v>
      </c>
      <c r="CW64" s="88">
        <v>4.5</v>
      </c>
      <c r="CX64" s="88">
        <v>4.3</v>
      </c>
      <c r="CY64" s="51">
        <v>31</v>
      </c>
      <c r="CZ64" s="53">
        <v>32</v>
      </c>
      <c r="DA64" s="53">
        <v>47</v>
      </c>
      <c r="DB64" s="53">
        <v>55</v>
      </c>
      <c r="DC64" s="88">
        <v>6.3</v>
      </c>
      <c r="DD64" s="88">
        <v>6.5</v>
      </c>
      <c r="DE64" s="88">
        <v>8.3000000000000007</v>
      </c>
      <c r="DF64" s="88">
        <v>9.4</v>
      </c>
      <c r="DG64" s="88">
        <v>82.1</v>
      </c>
      <c r="DH64" s="88">
        <v>90</v>
      </c>
      <c r="DI64" s="88">
        <v>86.6</v>
      </c>
      <c r="DJ64" s="88">
        <v>87.9</v>
      </c>
      <c r="DK64" s="88">
        <v>17.100000000000001</v>
      </c>
      <c r="DL64" s="88">
        <v>11.9</v>
      </c>
      <c r="DM64" s="88">
        <v>14.2</v>
      </c>
      <c r="DN64" s="88">
        <v>13.643659711075442</v>
      </c>
      <c r="DO64" s="88">
        <v>19.5</v>
      </c>
      <c r="DP64" s="88">
        <v>17.899999999999999</v>
      </c>
      <c r="DQ64" s="88">
        <v>24.5</v>
      </c>
      <c r="DR64" s="88">
        <v>27.4</v>
      </c>
      <c r="DS64" s="88">
        <v>22.275737507525587</v>
      </c>
      <c r="DT64" s="88">
        <v>13.949013949013949</v>
      </c>
      <c r="DU64" s="88">
        <v>16.276703967446593</v>
      </c>
      <c r="DV64" s="88">
        <v>14.388489208633093</v>
      </c>
      <c r="DW64" s="54">
        <v>130</v>
      </c>
      <c r="DX64" s="54">
        <v>3</v>
      </c>
      <c r="DY64" s="51">
        <v>0</v>
      </c>
      <c r="DZ64" s="53">
        <v>0</v>
      </c>
      <c r="EA64" s="53">
        <v>3</v>
      </c>
      <c r="EB64" s="53">
        <v>0</v>
      </c>
      <c r="EC64" s="53">
        <v>4</v>
      </c>
      <c r="ED64" s="51">
        <v>0</v>
      </c>
      <c r="EE64" s="53">
        <v>6</v>
      </c>
      <c r="EF64" s="53">
        <v>767</v>
      </c>
      <c r="EG64" s="53">
        <v>758</v>
      </c>
      <c r="EH64" s="53">
        <v>707</v>
      </c>
      <c r="EI64" s="53">
        <v>687</v>
      </c>
      <c r="EJ64" s="92">
        <v>131</v>
      </c>
      <c r="EK64" s="92">
        <v>1</v>
      </c>
      <c r="EL64" s="92">
        <v>0</v>
      </c>
      <c r="EM64" s="92">
        <v>0</v>
      </c>
      <c r="EN64" s="92">
        <v>0</v>
      </c>
      <c r="EO64" s="88">
        <v>1401.1179715757553</v>
      </c>
      <c r="EP64" s="88">
        <v>1368.5027713083825</v>
      </c>
      <c r="EQ64" s="88">
        <v>1262.3196686187687</v>
      </c>
      <c r="ER64" s="88">
        <v>1267.4705398739382</v>
      </c>
      <c r="ES64" s="88">
        <v>832.6</v>
      </c>
      <c r="ET64" s="88">
        <v>780.7</v>
      </c>
      <c r="EU64" s="88">
        <v>691.5</v>
      </c>
      <c r="EV64" s="88">
        <v>706.5</v>
      </c>
      <c r="EW64" s="88">
        <v>1016.0046537392338</v>
      </c>
      <c r="EX64" s="88">
        <v>972.00629264767713</v>
      </c>
      <c r="EY64" s="88">
        <v>803.24115266156809</v>
      </c>
      <c r="EZ64" s="88">
        <v>886.90439819906601</v>
      </c>
      <c r="FA64" s="88">
        <v>690.79217762845417</v>
      </c>
      <c r="FB64" s="88">
        <v>627.66236603475716</v>
      </c>
      <c r="FC64" s="88">
        <v>609.49019234971479</v>
      </c>
      <c r="FD64" s="88">
        <v>545.95746278367233</v>
      </c>
      <c r="FE64" s="51">
        <v>164</v>
      </c>
      <c r="FF64" s="54">
        <v>166</v>
      </c>
      <c r="FG64" s="54">
        <v>154</v>
      </c>
      <c r="FH64" s="54">
        <v>153</v>
      </c>
      <c r="FI64" s="88">
        <v>196.00380000000001</v>
      </c>
      <c r="FJ64" s="88">
        <v>184.16130000000001</v>
      </c>
      <c r="FK64" s="88">
        <v>167.64330000000001</v>
      </c>
      <c r="FL64" s="88">
        <v>168.18360000000001</v>
      </c>
      <c r="FM64" s="54">
        <v>266</v>
      </c>
      <c r="FN64" s="54">
        <v>211</v>
      </c>
      <c r="FO64" s="51">
        <v>172</v>
      </c>
      <c r="FP64" s="54">
        <v>155</v>
      </c>
      <c r="FQ64" s="88">
        <v>274.63580000000002</v>
      </c>
      <c r="FR64" s="88">
        <v>207.79820000000001</v>
      </c>
      <c r="FS64" s="88">
        <v>158.26499999999999</v>
      </c>
      <c r="FT64" s="88">
        <v>141.7824</v>
      </c>
      <c r="FU64" s="53">
        <v>58</v>
      </c>
      <c r="FV64" s="53">
        <v>71</v>
      </c>
      <c r="FW64" s="53">
        <v>58</v>
      </c>
      <c r="FX64" s="53">
        <v>48</v>
      </c>
      <c r="FY64" s="88">
        <v>58.075780000000002</v>
      </c>
      <c r="FZ64" s="88">
        <v>62.840859999999999</v>
      </c>
      <c r="GA64" s="88">
        <v>52.412889999999997</v>
      </c>
      <c r="GB64" s="88">
        <v>43.666930000000001</v>
      </c>
      <c r="GC64" s="55">
        <v>27</v>
      </c>
      <c r="GD64" s="56">
        <v>29</v>
      </c>
      <c r="GE64" s="55">
        <v>23</v>
      </c>
      <c r="GF64" s="55">
        <v>34</v>
      </c>
      <c r="GG64" s="91">
        <v>42.622909999999997</v>
      </c>
      <c r="GH64" s="91">
        <v>43.021180000000001</v>
      </c>
      <c r="GI64" s="91">
        <v>34.828220000000002</v>
      </c>
      <c r="GJ64" s="91">
        <v>53.474640000000001</v>
      </c>
      <c r="GK64" s="55"/>
      <c r="GL64" s="55"/>
      <c r="GM64" s="55"/>
      <c r="GN64" s="56"/>
      <c r="GO64" s="55"/>
      <c r="GP64" s="55"/>
      <c r="GQ64" s="55"/>
      <c r="GR64" s="55"/>
      <c r="GS64" s="56"/>
      <c r="GT64" s="55"/>
      <c r="GU64" s="55"/>
      <c r="GV64" s="55"/>
      <c r="GW64" s="55"/>
      <c r="GX64" s="56"/>
      <c r="GY64" s="56"/>
      <c r="GZ64" s="56"/>
      <c r="HA64" s="56"/>
      <c r="HB64" s="56"/>
      <c r="HC64" s="56"/>
      <c r="HD64" s="57"/>
      <c r="HE64" s="57"/>
      <c r="HF64" s="57"/>
      <c r="HG64" s="57"/>
      <c r="HH64" s="57"/>
      <c r="HI64" s="58"/>
      <c r="HJ64" s="58"/>
      <c r="HK64" s="55"/>
      <c r="HL64" s="56"/>
      <c r="HM64" s="56"/>
      <c r="HN64" s="56"/>
      <c r="HO64" s="56"/>
      <c r="HP64" s="56"/>
      <c r="HQ64" s="56"/>
      <c r="HR64" s="56"/>
      <c r="HS64" s="56"/>
      <c r="HT64" s="56"/>
      <c r="HU64" s="38"/>
    </row>
    <row r="65" spans="1:229" ht="21" customHeight="1" x14ac:dyDescent="0.2">
      <c r="A65" s="36">
        <v>62</v>
      </c>
      <c r="B65" s="70" t="s">
        <v>118</v>
      </c>
      <c r="C65" s="77">
        <v>501428</v>
      </c>
      <c r="D65" s="77">
        <v>506278</v>
      </c>
      <c r="E65" s="77">
        <v>508640</v>
      </c>
      <c r="F65" s="77">
        <v>514696</v>
      </c>
      <c r="G65" s="150">
        <v>520152</v>
      </c>
      <c r="H65" s="41">
        <v>372736</v>
      </c>
      <c r="I65" s="41">
        <v>59240</v>
      </c>
      <c r="J65" s="41">
        <v>4954</v>
      </c>
      <c r="K65" s="41">
        <v>66185</v>
      </c>
      <c r="L65" s="41">
        <v>37888</v>
      </c>
      <c r="M65" s="42">
        <v>208611</v>
      </c>
      <c r="N65" s="43">
        <v>209214</v>
      </c>
      <c r="O65" s="43">
        <v>202691</v>
      </c>
      <c r="P65" s="44">
        <v>203818</v>
      </c>
      <c r="Q65" s="44">
        <v>204799</v>
      </c>
      <c r="R65" s="87">
        <v>19.422126495848712</v>
      </c>
      <c r="S65" s="87">
        <v>19.76332711845059</v>
      </c>
      <c r="T65" s="87">
        <v>17.514965345670142</v>
      </c>
      <c r="U65" s="87">
        <v>17.817781147678318</v>
      </c>
      <c r="V65" s="87">
        <v>18.261139837811871</v>
      </c>
      <c r="W65" s="87">
        <v>29.955105919643469</v>
      </c>
      <c r="X65" s="87">
        <v>28.421527104986637</v>
      </c>
      <c r="Y65" s="87">
        <v>28.099064719573327</v>
      </c>
      <c r="Z65" s="87">
        <v>28.345785873111886</v>
      </c>
      <c r="AA65" s="42">
        <v>28.711819389110225</v>
      </c>
      <c r="AB65" s="87">
        <v>49.37723241549218</v>
      </c>
      <c r="AC65" s="87">
        <v>48.184854223437227</v>
      </c>
      <c r="AD65" s="87">
        <v>45.614030065243469</v>
      </c>
      <c r="AE65" s="87">
        <v>46.163567020790204</v>
      </c>
      <c r="AF65" s="87">
        <v>46.9729592269221</v>
      </c>
      <c r="AG65" s="44">
        <v>5.2072072732336352</v>
      </c>
      <c r="AH65" s="44">
        <v>7.9170013781515083</v>
      </c>
      <c r="AI65" s="44">
        <v>7.3305284217959281</v>
      </c>
      <c r="AJ65" s="43">
        <v>6.6907557303049936</v>
      </c>
      <c r="AK65" s="43">
        <v>5.764790712241167</v>
      </c>
      <c r="AL65" s="47">
        <v>21546.5</v>
      </c>
      <c r="AM65" s="47">
        <v>25482.916666666668</v>
      </c>
      <c r="AN65" s="47">
        <v>21546.5</v>
      </c>
      <c r="AO65" s="47">
        <v>35928.833333333336</v>
      </c>
      <c r="AP65" s="47">
        <v>38929.666666666664</v>
      </c>
      <c r="AQ65" s="47">
        <v>48359.388151498548</v>
      </c>
      <c r="AR65" s="47">
        <v>45908.549498669956</v>
      </c>
      <c r="AS65" s="47">
        <v>45366.928166819809</v>
      </c>
      <c r="AT65" s="47">
        <v>45845.544124954155</v>
      </c>
      <c r="AU65" s="47">
        <v>46123.667697134682</v>
      </c>
      <c r="AV65" s="84">
        <v>56264.183473305326</v>
      </c>
      <c r="AW65" s="85">
        <v>51377.59532479108</v>
      </c>
      <c r="AX65" s="85">
        <v>52882.086875875189</v>
      </c>
      <c r="AY65" s="85">
        <v>52788.940570550156</v>
      </c>
      <c r="AZ65" s="85">
        <v>53707</v>
      </c>
      <c r="BA65" s="83">
        <v>13.481911038978447</v>
      </c>
      <c r="BB65" s="83">
        <v>16.444116456586354</v>
      </c>
      <c r="BC65" s="83">
        <v>17.150864347026676</v>
      </c>
      <c r="BD65" s="83">
        <v>17.693448206772189</v>
      </c>
      <c r="BE65" s="83">
        <v>16.883937914196025</v>
      </c>
      <c r="BF65" s="83">
        <v>18.717696488712527</v>
      </c>
      <c r="BG65" s="46">
        <v>25.528184371674314</v>
      </c>
      <c r="BH65" s="46">
        <v>24.899560550639471</v>
      </c>
      <c r="BI65" s="46">
        <v>25.575399854135924</v>
      </c>
      <c r="BJ65" s="46">
        <v>24.024249711909416</v>
      </c>
      <c r="BK65" s="42">
        <v>84542</v>
      </c>
      <c r="BL65" s="42">
        <v>84777</v>
      </c>
      <c r="BM65" s="40">
        <v>85234</v>
      </c>
      <c r="BN65" s="40">
        <v>86903</v>
      </c>
      <c r="BO65" s="43">
        <v>53.992098601878354</v>
      </c>
      <c r="BP65" s="43">
        <v>53.777557592271492</v>
      </c>
      <c r="BQ65" s="44">
        <v>55.650327334162426</v>
      </c>
      <c r="BR65" s="44">
        <v>57.430698594985216</v>
      </c>
      <c r="BS65" s="87">
        <v>21.596366303139266</v>
      </c>
      <c r="BT65" s="87">
        <v>21.773594253158286</v>
      </c>
      <c r="BU65" s="87">
        <v>21.875073327545344</v>
      </c>
      <c r="BV65" s="87">
        <v>19.761112965029977</v>
      </c>
      <c r="BW65" s="43">
        <v>15.699888812661163</v>
      </c>
      <c r="BX65" s="43">
        <v>15.957158191490617</v>
      </c>
      <c r="BY65" s="43">
        <v>15.653377760048807</v>
      </c>
      <c r="BZ65" s="43">
        <v>15.517300898703152</v>
      </c>
      <c r="CA65" s="42">
        <v>66.491349480968864</v>
      </c>
      <c r="CB65" s="42">
        <v>68.9124965054515</v>
      </c>
      <c r="CC65" s="42">
        <v>68.53</v>
      </c>
      <c r="CD65" s="44">
        <v>72.22</v>
      </c>
      <c r="CE65" s="43">
        <v>7.5986159169550174</v>
      </c>
      <c r="CF65" s="43">
        <v>6.8772714565278168</v>
      </c>
      <c r="CG65" s="43">
        <v>8.3000000000000007</v>
      </c>
      <c r="CH65" s="44">
        <v>8.02</v>
      </c>
      <c r="CI65" s="49">
        <v>37580</v>
      </c>
      <c r="CJ65" s="49">
        <v>37396</v>
      </c>
      <c r="CK65" s="54">
        <v>37272</v>
      </c>
      <c r="CL65" s="54">
        <v>37946</v>
      </c>
      <c r="CM65" s="88">
        <v>15.5</v>
      </c>
      <c r="CN65" s="88">
        <v>14.9</v>
      </c>
      <c r="CO65" s="88">
        <v>14.9</v>
      </c>
      <c r="CP65" s="88">
        <v>14.9</v>
      </c>
      <c r="CQ65" s="53">
        <v>1839</v>
      </c>
      <c r="CR65" s="53">
        <v>1968</v>
      </c>
      <c r="CS65" s="53">
        <v>2082</v>
      </c>
      <c r="CT65" s="53">
        <v>2000</v>
      </c>
      <c r="CU65" s="88">
        <v>5</v>
      </c>
      <c r="CV65" s="88">
        <v>5.4</v>
      </c>
      <c r="CW65" s="88">
        <v>5.8</v>
      </c>
      <c r="CX65" s="88">
        <v>5.5</v>
      </c>
      <c r="CY65" s="54">
        <v>2491</v>
      </c>
      <c r="CZ65" s="53">
        <v>2318</v>
      </c>
      <c r="DA65" s="53">
        <v>2316</v>
      </c>
      <c r="DB65" s="53">
        <v>2779</v>
      </c>
      <c r="DC65" s="88">
        <v>7.7</v>
      </c>
      <c r="DD65" s="88">
        <v>7.8</v>
      </c>
      <c r="DE65" s="88">
        <v>8.3000000000000007</v>
      </c>
      <c r="DF65" s="88">
        <v>8.5</v>
      </c>
      <c r="DG65" s="88">
        <v>77</v>
      </c>
      <c r="DH65" s="88">
        <v>78.8</v>
      </c>
      <c r="DI65" s="88">
        <v>81.599999999999994</v>
      </c>
      <c r="DJ65" s="88">
        <v>77.2</v>
      </c>
      <c r="DK65" s="88">
        <v>12.9</v>
      </c>
      <c r="DL65" s="88">
        <v>10.4</v>
      </c>
      <c r="DM65" s="88">
        <v>7.9</v>
      </c>
      <c r="DN65" s="88">
        <v>9.519904774500727</v>
      </c>
      <c r="DO65" s="88">
        <v>31.6</v>
      </c>
      <c r="DP65" s="88">
        <v>34.200000000000003</v>
      </c>
      <c r="DQ65" s="88">
        <v>40.6</v>
      </c>
      <c r="DR65" s="88">
        <v>43.3</v>
      </c>
      <c r="DS65" s="88">
        <v>51.137211964365697</v>
      </c>
      <c r="DT65" s="88">
        <v>43.819138653205883</v>
      </c>
      <c r="DU65" s="88">
        <v>38.015792846513953</v>
      </c>
      <c r="DV65" s="88">
        <v>32.598780018684401</v>
      </c>
      <c r="DW65" s="54">
        <v>4014</v>
      </c>
      <c r="DX65" s="54">
        <v>1461</v>
      </c>
      <c r="DY65" s="51">
        <v>76</v>
      </c>
      <c r="DZ65" s="53">
        <v>1868</v>
      </c>
      <c r="EA65" s="53">
        <v>686</v>
      </c>
      <c r="EB65" s="53">
        <v>285</v>
      </c>
      <c r="EC65" s="53">
        <v>283</v>
      </c>
      <c r="ED65" s="51">
        <v>217</v>
      </c>
      <c r="EE65" s="53">
        <v>243</v>
      </c>
      <c r="EF65" s="53">
        <v>20069</v>
      </c>
      <c r="EG65" s="53">
        <v>20398</v>
      </c>
      <c r="EH65" s="53">
        <v>18860</v>
      </c>
      <c r="EI65" s="53">
        <v>19050</v>
      </c>
      <c r="EJ65" s="92">
        <v>3345</v>
      </c>
      <c r="EK65" s="92">
        <v>262</v>
      </c>
      <c r="EL65" s="92">
        <v>28</v>
      </c>
      <c r="EM65" s="92">
        <v>187</v>
      </c>
      <c r="EN65" s="92">
        <v>65</v>
      </c>
      <c r="EO65" s="88">
        <v>827.90957473359742</v>
      </c>
      <c r="EP65" s="88">
        <v>813.81352507170436</v>
      </c>
      <c r="EQ65" s="88">
        <v>756.251606433191</v>
      </c>
      <c r="ER65" s="88">
        <v>748.87668497254117</v>
      </c>
      <c r="ES65" s="88">
        <v>840.7</v>
      </c>
      <c r="ET65" s="88">
        <v>792.5</v>
      </c>
      <c r="EU65" s="88">
        <v>687.7</v>
      </c>
      <c r="EV65" s="88">
        <v>665.1</v>
      </c>
      <c r="EW65" s="88">
        <v>1089.7319066725731</v>
      </c>
      <c r="EX65" s="88">
        <v>980.93154739817419</v>
      </c>
      <c r="EY65" s="88">
        <v>825.30768788600506</v>
      </c>
      <c r="EZ65" s="88">
        <v>796.73786004134877</v>
      </c>
      <c r="FA65" s="88">
        <v>689.32522388540497</v>
      </c>
      <c r="FB65" s="88">
        <v>669.12015688099928</v>
      </c>
      <c r="FC65" s="88">
        <v>589.65559102980149</v>
      </c>
      <c r="FD65" s="88">
        <v>567.64546906319629</v>
      </c>
      <c r="FE65" s="51">
        <v>4795</v>
      </c>
      <c r="FF65" s="54">
        <v>4773</v>
      </c>
      <c r="FG65" s="54">
        <v>4530</v>
      </c>
      <c r="FH65" s="54">
        <v>4493</v>
      </c>
      <c r="FI65" s="88">
        <v>208.1387</v>
      </c>
      <c r="FJ65" s="88">
        <v>194.41589999999999</v>
      </c>
      <c r="FK65" s="88">
        <v>174.0633</v>
      </c>
      <c r="FL65" s="88">
        <v>163.9178</v>
      </c>
      <c r="FM65" s="54">
        <v>5170</v>
      </c>
      <c r="FN65" s="54">
        <v>4286</v>
      </c>
      <c r="FO65" s="51">
        <v>3298</v>
      </c>
      <c r="FP65" s="54">
        <v>3199</v>
      </c>
      <c r="FQ65" s="88">
        <v>216.1832</v>
      </c>
      <c r="FR65" s="88">
        <v>164.26509999999999</v>
      </c>
      <c r="FS65" s="88">
        <v>117.47450000000001</v>
      </c>
      <c r="FT65" s="88">
        <v>107.9353</v>
      </c>
      <c r="FU65" s="53">
        <v>1601</v>
      </c>
      <c r="FV65" s="53">
        <v>1562</v>
      </c>
      <c r="FW65" s="53">
        <v>1254</v>
      </c>
      <c r="FX65" s="53">
        <v>1016</v>
      </c>
      <c r="FY65" s="88">
        <v>65.86242</v>
      </c>
      <c r="FZ65" s="88">
        <v>58.95617</v>
      </c>
      <c r="GA65" s="88">
        <v>44.418689999999998</v>
      </c>
      <c r="GB65" s="88">
        <v>34.49165</v>
      </c>
      <c r="GC65" s="55">
        <v>664</v>
      </c>
      <c r="GD65" s="56">
        <v>729</v>
      </c>
      <c r="GE65" s="55">
        <v>828</v>
      </c>
      <c r="GF65" s="55">
        <v>896</v>
      </c>
      <c r="GG65" s="91">
        <v>26.802890000000001</v>
      </c>
      <c r="GH65" s="91">
        <v>28.133310000000002</v>
      </c>
      <c r="GI65" s="91">
        <v>30.928560000000001</v>
      </c>
      <c r="GJ65" s="91">
        <v>32.389240000000001</v>
      </c>
      <c r="GK65" s="55"/>
      <c r="GL65" s="55"/>
      <c r="GM65" s="55"/>
      <c r="GN65" s="56"/>
      <c r="GO65" s="55"/>
      <c r="GP65" s="55"/>
      <c r="GQ65" s="55"/>
      <c r="GR65" s="55"/>
      <c r="GS65" s="56"/>
      <c r="GT65" s="55"/>
      <c r="GU65" s="55"/>
      <c r="GV65" s="55"/>
      <c r="GW65" s="55"/>
      <c r="GX65" s="56"/>
      <c r="GY65" s="56"/>
      <c r="GZ65" s="56"/>
      <c r="HA65" s="56"/>
      <c r="HB65" s="56"/>
      <c r="HC65" s="56"/>
      <c r="HD65" s="57"/>
      <c r="HE65" s="57"/>
      <c r="HF65" s="57"/>
      <c r="HG65" s="57"/>
      <c r="HH65" s="57"/>
      <c r="HI65" s="58"/>
      <c r="HJ65" s="58"/>
      <c r="HK65" s="55"/>
      <c r="HL65" s="56"/>
      <c r="HM65" s="56"/>
      <c r="HN65" s="56"/>
      <c r="HO65" s="56"/>
      <c r="HP65" s="56"/>
      <c r="HQ65" s="56"/>
      <c r="HR65" s="56"/>
      <c r="HS65" s="56"/>
      <c r="HT65" s="56"/>
      <c r="HU65" s="38"/>
    </row>
    <row r="66" spans="1:229" x14ac:dyDescent="0.2">
      <c r="A66" s="36">
        <v>63</v>
      </c>
      <c r="B66" s="70" t="s">
        <v>119</v>
      </c>
      <c r="C66" s="77">
        <v>4069</v>
      </c>
      <c r="D66" s="77">
        <v>4188</v>
      </c>
      <c r="E66" s="77">
        <v>4089</v>
      </c>
      <c r="F66" s="77">
        <v>4105</v>
      </c>
      <c r="G66" s="150">
        <v>4087</v>
      </c>
      <c r="H66" s="41">
        <v>3904</v>
      </c>
      <c r="I66" s="41">
        <v>34</v>
      </c>
      <c r="J66" s="41">
        <v>77</v>
      </c>
      <c r="K66" s="41">
        <v>10</v>
      </c>
      <c r="L66" s="41">
        <v>109</v>
      </c>
      <c r="M66" s="42">
        <v>1761</v>
      </c>
      <c r="N66" s="43">
        <v>1779</v>
      </c>
      <c r="O66" s="43">
        <v>1737</v>
      </c>
      <c r="P66" s="44">
        <v>1747</v>
      </c>
      <c r="Q66" s="44">
        <v>1741</v>
      </c>
      <c r="R66" s="87">
        <v>25.725986597170515</v>
      </c>
      <c r="S66" s="87">
        <v>29.414003044140031</v>
      </c>
      <c r="T66" s="87">
        <v>27.631060307449744</v>
      </c>
      <c r="U66" s="87">
        <v>28.402832415420928</v>
      </c>
      <c r="V66" s="87">
        <v>29.510825982357659</v>
      </c>
      <c r="W66" s="87">
        <v>25.763216679076695</v>
      </c>
      <c r="X66" s="87">
        <v>29.946727549467276</v>
      </c>
      <c r="Y66" s="87">
        <v>33.543555380370513</v>
      </c>
      <c r="Z66" s="87">
        <v>33.084185680566485</v>
      </c>
      <c r="AA66" s="42">
        <v>34.362469927826787</v>
      </c>
      <c r="AB66" s="87">
        <v>51.48920327624721</v>
      </c>
      <c r="AC66" s="87">
        <v>59.360730593607308</v>
      </c>
      <c r="AD66" s="87">
        <v>61.174615687820257</v>
      </c>
      <c r="AE66" s="87">
        <v>61.487018095987409</v>
      </c>
      <c r="AF66" s="87">
        <v>63.873295910184446</v>
      </c>
      <c r="AG66" s="44">
        <v>7.8481012658227849</v>
      </c>
      <c r="AH66" s="44">
        <v>10.519852640196479</v>
      </c>
      <c r="AI66" s="44">
        <v>9.5354523227383865</v>
      </c>
      <c r="AJ66" s="43">
        <v>8.2682023858494453</v>
      </c>
      <c r="AK66" s="43">
        <v>7.0247933884297522</v>
      </c>
      <c r="AL66" s="47">
        <v>125.33333333333333</v>
      </c>
      <c r="AM66" s="47">
        <v>150.25</v>
      </c>
      <c r="AN66" s="47">
        <v>125.33333333333333</v>
      </c>
      <c r="AO66" s="47">
        <v>178.83333333333334</v>
      </c>
      <c r="AP66" s="47">
        <v>179.91666666666666</v>
      </c>
      <c r="AQ66" s="47">
        <v>32358.568583503831</v>
      </c>
      <c r="AR66" s="47">
        <v>30824.011546225338</v>
      </c>
      <c r="AS66" s="47">
        <v>33155.891712064506</v>
      </c>
      <c r="AT66" s="47">
        <v>34326.615269378803</v>
      </c>
      <c r="AU66" s="47">
        <v>39562.75997063861</v>
      </c>
      <c r="AV66" s="84">
        <v>45611.077205568698</v>
      </c>
      <c r="AW66" s="85">
        <v>44423.512371523029</v>
      </c>
      <c r="AX66" s="85">
        <v>47343.703294975552</v>
      </c>
      <c r="AY66" s="85">
        <v>45581.86561997774</v>
      </c>
      <c r="AZ66" s="85">
        <v>45228</v>
      </c>
      <c r="BA66" s="83">
        <v>11.535542625853783</v>
      </c>
      <c r="BB66" s="83">
        <v>11.086529006882989</v>
      </c>
      <c r="BC66" s="83">
        <v>11.020307082714215</v>
      </c>
      <c r="BD66" s="83">
        <v>11.408900909761496</v>
      </c>
      <c r="BE66" s="83">
        <v>10.617283950617283</v>
      </c>
      <c r="BF66" s="83">
        <v>14.441747572815533</v>
      </c>
      <c r="BG66" s="46">
        <v>15.934065934065934</v>
      </c>
      <c r="BH66" s="46">
        <v>16.102564102564102</v>
      </c>
      <c r="BI66" s="46">
        <v>16.138917262512766</v>
      </c>
      <c r="BJ66" s="46">
        <v>14.696813977389517</v>
      </c>
      <c r="BK66" s="42">
        <v>730</v>
      </c>
      <c r="BL66" s="42">
        <v>767</v>
      </c>
      <c r="BM66" s="40">
        <v>765</v>
      </c>
      <c r="BN66" s="40">
        <v>755</v>
      </c>
      <c r="BO66" s="43">
        <v>53.972602739726028</v>
      </c>
      <c r="BP66" s="43">
        <v>50.195567144719689</v>
      </c>
      <c r="BQ66" s="44">
        <v>50.326797385620914</v>
      </c>
      <c r="BR66" s="44">
        <v>47.682119205298015</v>
      </c>
      <c r="BS66" s="87">
        <v>0</v>
      </c>
      <c r="BT66" s="87">
        <v>0</v>
      </c>
      <c r="BU66" s="87">
        <v>0.13071895424836602</v>
      </c>
      <c r="BV66" s="87">
        <v>0.13245033112582782</v>
      </c>
      <c r="BW66" s="43">
        <v>13.561643835616438</v>
      </c>
      <c r="BX66" s="43">
        <v>13.689700130378096</v>
      </c>
      <c r="BY66" s="43">
        <v>14.640522875816993</v>
      </c>
      <c r="BZ66" s="43">
        <v>13.642384105960264</v>
      </c>
      <c r="CA66" s="42">
        <v>82.539682539682545</v>
      </c>
      <c r="CB66" s="42">
        <v>92.982456140350877</v>
      </c>
      <c r="CC66" s="42">
        <v>81.13</v>
      </c>
      <c r="CD66" s="44">
        <v>96.08</v>
      </c>
      <c r="CE66" s="43">
        <v>1.5873015873015872</v>
      </c>
      <c r="CF66" s="43">
        <v>5.2631578947368425</v>
      </c>
      <c r="CG66" s="43">
        <v>9.43</v>
      </c>
      <c r="CH66" s="44">
        <v>1.96</v>
      </c>
      <c r="CI66" s="49">
        <v>234</v>
      </c>
      <c r="CJ66" s="49">
        <v>237</v>
      </c>
      <c r="CK66" s="51">
        <v>249</v>
      </c>
      <c r="CL66" s="51">
        <v>289</v>
      </c>
      <c r="CM66" s="88">
        <v>10.6</v>
      </c>
      <c r="CN66" s="88">
        <v>11.1</v>
      </c>
      <c r="CO66" s="88">
        <v>11.7</v>
      </c>
      <c r="CP66" s="88">
        <v>14.1</v>
      </c>
      <c r="CQ66" s="53">
        <v>7</v>
      </c>
      <c r="CR66" s="53">
        <v>12</v>
      </c>
      <c r="CS66" s="53">
        <v>14</v>
      </c>
      <c r="CT66" s="53">
        <v>12</v>
      </c>
      <c r="CU66" s="88">
        <v>3.1</v>
      </c>
      <c r="CV66" s="88">
        <v>5.2</v>
      </c>
      <c r="CW66" s="88">
        <v>5.7</v>
      </c>
      <c r="CX66" s="88">
        <v>4.2</v>
      </c>
      <c r="CY66" s="51">
        <v>14</v>
      </c>
      <c r="CZ66" s="53">
        <v>15</v>
      </c>
      <c r="DA66" s="53">
        <v>19</v>
      </c>
      <c r="DB66" s="53">
        <v>17</v>
      </c>
      <c r="DC66" s="88">
        <v>6.5</v>
      </c>
      <c r="DD66" s="88">
        <v>6.7</v>
      </c>
      <c r="DE66" s="88">
        <v>8.1</v>
      </c>
      <c r="DF66" s="88">
        <v>6.5</v>
      </c>
      <c r="DG66" s="88">
        <v>67.400000000000006</v>
      </c>
      <c r="DH66" s="88">
        <v>78.3</v>
      </c>
      <c r="DI66" s="88">
        <v>80.3</v>
      </c>
      <c r="DJ66" s="88">
        <v>85.7</v>
      </c>
      <c r="DK66" s="88">
        <v>13.4</v>
      </c>
      <c r="DL66" s="88">
        <v>12.7</v>
      </c>
      <c r="DM66" s="88">
        <v>15</v>
      </c>
      <c r="DN66" s="88">
        <v>19.444444444444443</v>
      </c>
      <c r="DO66" s="88">
        <v>23.1</v>
      </c>
      <c r="DP66" s="88">
        <v>23.6</v>
      </c>
      <c r="DQ66" s="88">
        <v>28.1</v>
      </c>
      <c r="DR66" s="88">
        <v>32.200000000000003</v>
      </c>
      <c r="DS66" s="88">
        <v>34.076015727391876</v>
      </c>
      <c r="DT66" s="88">
        <v>25.547445255474454</v>
      </c>
      <c r="DU66" s="88">
        <v>26.281208935611037</v>
      </c>
      <c r="DV66" s="88" t="s">
        <v>39</v>
      </c>
      <c r="DW66" s="54">
        <v>62</v>
      </c>
      <c r="DX66" s="54">
        <v>1</v>
      </c>
      <c r="DY66" s="51">
        <v>2</v>
      </c>
      <c r="DZ66" s="53">
        <v>1</v>
      </c>
      <c r="EA66" s="53">
        <v>2</v>
      </c>
      <c r="EB66" s="53">
        <v>1</v>
      </c>
      <c r="EC66" s="53">
        <v>1</v>
      </c>
      <c r="ED66" s="51">
        <v>3</v>
      </c>
      <c r="EE66" s="53">
        <v>0</v>
      </c>
      <c r="EF66" s="53">
        <v>268</v>
      </c>
      <c r="EG66" s="53">
        <v>245</v>
      </c>
      <c r="EH66" s="53">
        <v>232</v>
      </c>
      <c r="EI66" s="53">
        <v>201</v>
      </c>
      <c r="EJ66" s="92">
        <v>45</v>
      </c>
      <c r="EK66" s="92">
        <v>0</v>
      </c>
      <c r="EL66" s="92">
        <v>0</v>
      </c>
      <c r="EM66" s="92">
        <v>0</v>
      </c>
      <c r="EN66" s="92">
        <v>0</v>
      </c>
      <c r="EO66" s="88">
        <v>1219.3457391146094</v>
      </c>
      <c r="EP66" s="88">
        <v>1144.8063174618007</v>
      </c>
      <c r="EQ66" s="88">
        <v>1093.7720993823959</v>
      </c>
      <c r="ER66" s="88">
        <v>948.27062184669626</v>
      </c>
      <c r="ES66" s="88">
        <v>876.1</v>
      </c>
      <c r="ET66" s="88">
        <v>792</v>
      </c>
      <c r="EU66" s="88">
        <v>744.3</v>
      </c>
      <c r="EV66" s="88">
        <v>694.4</v>
      </c>
      <c r="EW66" s="88">
        <v>1114.2310318142715</v>
      </c>
      <c r="EX66" s="88">
        <v>976.40319615374756</v>
      </c>
      <c r="EY66" s="88">
        <v>961.40727925761257</v>
      </c>
      <c r="EZ66" s="88">
        <v>952.42851617561587</v>
      </c>
      <c r="FA66" s="88">
        <v>656.9015212640179</v>
      </c>
      <c r="FB66" s="88">
        <v>627.17149000747168</v>
      </c>
      <c r="FC66" s="88">
        <v>580.5064766213743</v>
      </c>
      <c r="FD66" s="88">
        <v>480.63749023888886</v>
      </c>
      <c r="FE66" s="51">
        <v>49</v>
      </c>
      <c r="FF66" s="54">
        <v>46</v>
      </c>
      <c r="FG66" s="54">
        <v>50</v>
      </c>
      <c r="FH66" s="54">
        <v>48</v>
      </c>
      <c r="FI66" s="88">
        <v>168.80719999999999</v>
      </c>
      <c r="FJ66" s="88">
        <v>157.3835</v>
      </c>
      <c r="FK66" s="88">
        <v>173.58430000000001</v>
      </c>
      <c r="FL66" s="88">
        <v>167.48689999999999</v>
      </c>
      <c r="FM66" s="54">
        <v>74</v>
      </c>
      <c r="FN66" s="54">
        <v>72</v>
      </c>
      <c r="FO66" s="51">
        <v>51</v>
      </c>
      <c r="FP66" s="54">
        <v>48</v>
      </c>
      <c r="FQ66" s="88">
        <v>243.4374</v>
      </c>
      <c r="FR66" s="88">
        <v>232.04079999999999</v>
      </c>
      <c r="FS66" s="88">
        <v>151.98509999999999</v>
      </c>
      <c r="FT66" s="88">
        <v>167.22030000000001</v>
      </c>
      <c r="FU66" s="53">
        <v>31</v>
      </c>
      <c r="FV66" s="53">
        <v>31</v>
      </c>
      <c r="FW66" s="53">
        <v>19</v>
      </c>
      <c r="FX66" s="53">
        <v>11</v>
      </c>
      <c r="FY66" s="88">
        <v>91.481960000000001</v>
      </c>
      <c r="FZ66" s="88">
        <v>91.199870000000004</v>
      </c>
      <c r="GA66" s="88">
        <v>57.04759</v>
      </c>
      <c r="GB66" s="88">
        <v>35.748289999999997</v>
      </c>
      <c r="GC66" s="55">
        <v>17</v>
      </c>
      <c r="GD66" s="56">
        <v>11</v>
      </c>
      <c r="GE66" s="55">
        <v>14</v>
      </c>
      <c r="GF66" s="55">
        <v>10</v>
      </c>
      <c r="GG66" s="91">
        <v>66.685460000000006</v>
      </c>
      <c r="GH66" s="91">
        <v>46.63259</v>
      </c>
      <c r="GI66" s="91">
        <v>52.232340000000001</v>
      </c>
      <c r="GJ66" s="91">
        <v>44.121020000000001</v>
      </c>
      <c r="GK66" s="55"/>
      <c r="GL66" s="55"/>
      <c r="GM66" s="55"/>
      <c r="GN66" s="56"/>
      <c r="GO66" s="55"/>
      <c r="GP66" s="55"/>
      <c r="GQ66" s="55"/>
      <c r="GR66" s="55"/>
      <c r="GS66" s="56"/>
      <c r="GT66" s="55"/>
      <c r="GU66" s="55"/>
      <c r="GV66" s="55"/>
      <c r="GW66" s="55"/>
      <c r="GX66" s="56"/>
      <c r="GY66" s="56"/>
      <c r="GZ66" s="56"/>
      <c r="HA66" s="56"/>
      <c r="HB66" s="56"/>
      <c r="HC66" s="56"/>
      <c r="HD66" s="57"/>
      <c r="HE66" s="57"/>
      <c r="HF66" s="57"/>
      <c r="HG66" s="57"/>
      <c r="HH66" s="57"/>
      <c r="HI66" s="58"/>
      <c r="HJ66" s="58"/>
      <c r="HK66" s="55"/>
      <c r="HL66" s="56"/>
      <c r="HM66" s="56"/>
      <c r="HN66" s="56"/>
      <c r="HO66" s="56"/>
      <c r="HP66" s="56"/>
      <c r="HQ66" s="56"/>
      <c r="HR66" s="56"/>
      <c r="HS66" s="56"/>
      <c r="HT66" s="56"/>
      <c r="HU66" s="38"/>
    </row>
    <row r="67" spans="1:229" x14ac:dyDescent="0.2">
      <c r="A67" s="36">
        <v>64</v>
      </c>
      <c r="B67" s="70" t="s">
        <v>120</v>
      </c>
      <c r="C67" s="77">
        <v>15493</v>
      </c>
      <c r="D67" s="77">
        <v>15464</v>
      </c>
      <c r="E67" s="77">
        <v>16059</v>
      </c>
      <c r="F67" s="77">
        <v>15972</v>
      </c>
      <c r="G67" s="150">
        <v>15847</v>
      </c>
      <c r="H67" s="41">
        <v>14211</v>
      </c>
      <c r="I67" s="41">
        <v>104</v>
      </c>
      <c r="J67" s="41">
        <v>786</v>
      </c>
      <c r="K67" s="41">
        <v>474</v>
      </c>
      <c r="L67" s="41">
        <v>363</v>
      </c>
      <c r="M67" s="42">
        <v>6538</v>
      </c>
      <c r="N67" s="43">
        <v>6521</v>
      </c>
      <c r="O67" s="43">
        <v>6580</v>
      </c>
      <c r="P67" s="44">
        <v>6579</v>
      </c>
      <c r="Q67" s="44">
        <v>6539</v>
      </c>
      <c r="R67" s="87">
        <v>31.452794640988067</v>
      </c>
      <c r="S67" s="87">
        <v>33.564088696592755</v>
      </c>
      <c r="T67" s="87">
        <v>33.027139874739042</v>
      </c>
      <c r="U67" s="87">
        <v>32.925554161438725</v>
      </c>
      <c r="V67" s="87">
        <v>34.375332270069109</v>
      </c>
      <c r="W67" s="87">
        <v>30.709650408205988</v>
      </c>
      <c r="X67" s="87">
        <v>33.704705246078959</v>
      </c>
      <c r="Y67" s="87">
        <v>34.603340292275576</v>
      </c>
      <c r="Z67" s="87">
        <v>34.075700543705565</v>
      </c>
      <c r="AA67" s="42">
        <v>34.120148856990966</v>
      </c>
      <c r="AB67" s="87">
        <v>62.162445049194055</v>
      </c>
      <c r="AC67" s="87">
        <v>67.268793942671721</v>
      </c>
      <c r="AD67" s="87">
        <v>67.630480167014611</v>
      </c>
      <c r="AE67" s="87">
        <v>67.001254705144291</v>
      </c>
      <c r="AF67" s="87">
        <v>68.495481127060074</v>
      </c>
      <c r="AG67" s="44">
        <v>5.3578026850597364</v>
      </c>
      <c r="AH67" s="44">
        <v>6.998463175316231</v>
      </c>
      <c r="AI67" s="44">
        <v>6.5362485615650172</v>
      </c>
      <c r="AJ67" s="43">
        <v>5.853151697067652</v>
      </c>
      <c r="AK67" s="43">
        <v>5.3660270078180528</v>
      </c>
      <c r="AL67" s="47">
        <v>303.25</v>
      </c>
      <c r="AM67" s="47">
        <v>382.83333333333331</v>
      </c>
      <c r="AN67" s="47">
        <v>303.25</v>
      </c>
      <c r="AO67" s="47">
        <v>545.25</v>
      </c>
      <c r="AP67" s="47">
        <v>524.91666666666663</v>
      </c>
      <c r="AQ67" s="47">
        <v>42160.664780657193</v>
      </c>
      <c r="AR67" s="47">
        <v>41434.751632421387</v>
      </c>
      <c r="AS67" s="47">
        <v>43323.378060682306</v>
      </c>
      <c r="AT67" s="47">
        <v>44614.774261406557</v>
      </c>
      <c r="AU67" s="47">
        <v>49299.362655392186</v>
      </c>
      <c r="AV67" s="84">
        <v>48183.17853867988</v>
      </c>
      <c r="AW67" s="85">
        <v>49817.26092253426</v>
      </c>
      <c r="AX67" s="85">
        <v>49388.482936440778</v>
      </c>
      <c r="AY67" s="85">
        <v>48848.065852498876</v>
      </c>
      <c r="AZ67" s="85">
        <v>48775</v>
      </c>
      <c r="BA67" s="83">
        <v>9.9057855626326958</v>
      </c>
      <c r="BB67" s="83">
        <v>10.045236828100053</v>
      </c>
      <c r="BC67" s="83">
        <v>9.5846036585365848</v>
      </c>
      <c r="BD67" s="83">
        <v>10.379407256004088</v>
      </c>
      <c r="BE67" s="83">
        <v>11.063911952114308</v>
      </c>
      <c r="BF67" s="83">
        <v>12.156092083099383</v>
      </c>
      <c r="BG67" s="46">
        <v>12.93836344314559</v>
      </c>
      <c r="BH67" s="46">
        <v>13.858626805168482</v>
      </c>
      <c r="BI67" s="46">
        <v>14.496505306756408</v>
      </c>
      <c r="BJ67" s="46">
        <v>15.880958651567026</v>
      </c>
      <c r="BK67" s="42">
        <v>2190</v>
      </c>
      <c r="BL67" s="42">
        <v>2188</v>
      </c>
      <c r="BM67" s="40">
        <v>2146</v>
      </c>
      <c r="BN67" s="40">
        <v>2098</v>
      </c>
      <c r="BO67" s="43">
        <v>34.520547945205479</v>
      </c>
      <c r="BP67" s="43">
        <v>36.745886654478973</v>
      </c>
      <c r="BQ67" s="44">
        <v>38.816402609506056</v>
      </c>
      <c r="BR67" s="44">
        <v>41.897044804575785</v>
      </c>
      <c r="BS67" s="87">
        <v>0.91324200913242004</v>
      </c>
      <c r="BT67" s="87">
        <v>0.82266910420475325</v>
      </c>
      <c r="BU67" s="87">
        <v>0.65237651444547995</v>
      </c>
      <c r="BV67" s="87">
        <v>0.61963775023832224</v>
      </c>
      <c r="BW67" s="43">
        <v>14.657534246575343</v>
      </c>
      <c r="BX67" s="43">
        <v>16.13345521023766</v>
      </c>
      <c r="BY67" s="43">
        <v>15.890027958993477</v>
      </c>
      <c r="BZ67" s="43">
        <v>16.348903717826502</v>
      </c>
      <c r="CA67" s="42">
        <v>87.441860465116278</v>
      </c>
      <c r="CB67" s="42">
        <v>86.956521739130437</v>
      </c>
      <c r="CC67" s="42">
        <v>85</v>
      </c>
      <c r="CD67" s="44">
        <v>88.48</v>
      </c>
      <c r="CE67" s="43">
        <v>3.7209302325581395</v>
      </c>
      <c r="CF67" s="43">
        <v>3.0434782608695654</v>
      </c>
      <c r="CG67" s="43">
        <v>6.5</v>
      </c>
      <c r="CH67" s="44">
        <v>5.53</v>
      </c>
      <c r="CI67" s="49">
        <v>1005</v>
      </c>
      <c r="CJ67" s="49">
        <v>978</v>
      </c>
      <c r="CK67" s="54">
        <v>1038</v>
      </c>
      <c r="CL67" s="51">
        <v>953</v>
      </c>
      <c r="CM67" s="88">
        <v>11.8</v>
      </c>
      <c r="CN67" s="88">
        <v>11.8</v>
      </c>
      <c r="CO67" s="88">
        <v>13</v>
      </c>
      <c r="CP67" s="88">
        <v>12.1</v>
      </c>
      <c r="CQ67" s="53">
        <v>32</v>
      </c>
      <c r="CR67" s="53">
        <v>28</v>
      </c>
      <c r="CS67" s="53">
        <v>33</v>
      </c>
      <c r="CT67" s="53">
        <v>41</v>
      </c>
      <c r="CU67" s="88">
        <v>3.2</v>
      </c>
      <c r="CV67" s="88">
        <v>3</v>
      </c>
      <c r="CW67" s="88">
        <v>3.3</v>
      </c>
      <c r="CX67" s="88">
        <v>4.4000000000000004</v>
      </c>
      <c r="CY67" s="51">
        <v>60</v>
      </c>
      <c r="CZ67" s="53">
        <v>56</v>
      </c>
      <c r="DA67" s="53">
        <v>65</v>
      </c>
      <c r="DB67" s="53">
        <v>85</v>
      </c>
      <c r="DC67" s="88">
        <v>6.4</v>
      </c>
      <c r="DD67" s="88">
        <v>6.5</v>
      </c>
      <c r="DE67" s="88">
        <v>7.7</v>
      </c>
      <c r="DF67" s="88">
        <v>9.9</v>
      </c>
      <c r="DG67" s="88">
        <v>88.3</v>
      </c>
      <c r="DH67" s="88">
        <v>87.9</v>
      </c>
      <c r="DI67" s="88">
        <v>84.1</v>
      </c>
      <c r="DJ67" s="88">
        <v>84.3</v>
      </c>
      <c r="DK67" s="88">
        <v>13.7</v>
      </c>
      <c r="DL67" s="88">
        <v>14.9</v>
      </c>
      <c r="DM67" s="88">
        <v>18</v>
      </c>
      <c r="DN67" s="88">
        <v>18.907563025210084</v>
      </c>
      <c r="DO67" s="88">
        <v>22.2</v>
      </c>
      <c r="DP67" s="88">
        <v>25.1</v>
      </c>
      <c r="DQ67" s="88">
        <v>30.3</v>
      </c>
      <c r="DR67" s="88">
        <v>38.799999999999997</v>
      </c>
      <c r="DS67" s="88">
        <v>30.103806228373703</v>
      </c>
      <c r="DT67" s="88">
        <v>28.155339805825243</v>
      </c>
      <c r="DU67" s="88">
        <v>23.412557644554806</v>
      </c>
      <c r="DV67" s="88">
        <v>29.868578255675029</v>
      </c>
      <c r="DW67" s="54">
        <v>149</v>
      </c>
      <c r="DX67" s="54">
        <v>0</v>
      </c>
      <c r="DY67" s="51">
        <v>9</v>
      </c>
      <c r="DZ67" s="53">
        <v>15</v>
      </c>
      <c r="EA67" s="53">
        <v>4</v>
      </c>
      <c r="EB67" s="53">
        <v>2</v>
      </c>
      <c r="EC67" s="53">
        <v>5</v>
      </c>
      <c r="ED67" s="51">
        <v>2</v>
      </c>
      <c r="EE67" s="53">
        <v>3</v>
      </c>
      <c r="EF67" s="53">
        <v>1070</v>
      </c>
      <c r="EG67" s="53">
        <v>1065</v>
      </c>
      <c r="EH67" s="53">
        <v>1021</v>
      </c>
      <c r="EI67" s="53">
        <v>926</v>
      </c>
      <c r="EJ67" s="92">
        <v>193</v>
      </c>
      <c r="EK67" s="92">
        <v>0</v>
      </c>
      <c r="EL67" s="92">
        <v>5</v>
      </c>
      <c r="EM67" s="92">
        <v>2</v>
      </c>
      <c r="EN67" s="92">
        <v>0</v>
      </c>
      <c r="EO67" s="88">
        <v>1261.3759607676711</v>
      </c>
      <c r="EP67" s="88">
        <v>1290.080312041961</v>
      </c>
      <c r="EQ67" s="88">
        <v>1280.0260769269344</v>
      </c>
      <c r="ER67" s="88">
        <v>1152.6004953324443</v>
      </c>
      <c r="ES67" s="88">
        <v>776.7</v>
      </c>
      <c r="ET67" s="88">
        <v>809.4</v>
      </c>
      <c r="EU67" s="88">
        <v>740.2</v>
      </c>
      <c r="EV67" s="88">
        <v>672.8</v>
      </c>
      <c r="EW67" s="88">
        <v>990.66325128827316</v>
      </c>
      <c r="EX67" s="88">
        <v>1022.5854713337396</v>
      </c>
      <c r="EY67" s="88">
        <v>926.65290745145205</v>
      </c>
      <c r="EZ67" s="88">
        <v>866.53112884572465</v>
      </c>
      <c r="FA67" s="88">
        <v>616.00160961868198</v>
      </c>
      <c r="FB67" s="88">
        <v>632.46311824497275</v>
      </c>
      <c r="FC67" s="88">
        <v>589.51132129723078</v>
      </c>
      <c r="FD67" s="88">
        <v>524.14336466691361</v>
      </c>
      <c r="FE67" s="51">
        <v>251</v>
      </c>
      <c r="FF67" s="54">
        <v>248</v>
      </c>
      <c r="FG67" s="54">
        <v>223</v>
      </c>
      <c r="FH67" s="54">
        <v>227</v>
      </c>
      <c r="FI67" s="88">
        <v>194.89789999999999</v>
      </c>
      <c r="FJ67" s="88">
        <v>200.39230000000001</v>
      </c>
      <c r="FK67" s="88">
        <v>181.34440000000001</v>
      </c>
      <c r="FL67" s="88">
        <v>179.41759999999999</v>
      </c>
      <c r="FM67" s="54">
        <v>349</v>
      </c>
      <c r="FN67" s="54">
        <v>305</v>
      </c>
      <c r="FO67" s="51">
        <v>274</v>
      </c>
      <c r="FP67" s="54">
        <v>208</v>
      </c>
      <c r="FQ67" s="88">
        <v>238.8886</v>
      </c>
      <c r="FR67" s="88">
        <v>223.26009999999999</v>
      </c>
      <c r="FS67" s="88">
        <v>176.9494</v>
      </c>
      <c r="FT67" s="88">
        <v>138.11959999999999</v>
      </c>
      <c r="FU67" s="53">
        <v>102</v>
      </c>
      <c r="FV67" s="53">
        <v>89</v>
      </c>
      <c r="FW67" s="53">
        <v>73</v>
      </c>
      <c r="FX67" s="53">
        <v>60</v>
      </c>
      <c r="FY67" s="88">
        <v>65.581710000000001</v>
      </c>
      <c r="FZ67" s="88">
        <v>57.750219999999999</v>
      </c>
      <c r="GA67" s="88">
        <v>46.28257</v>
      </c>
      <c r="GB67" s="88">
        <v>41.904789999999998</v>
      </c>
      <c r="GC67" s="55">
        <v>49</v>
      </c>
      <c r="GD67" s="56">
        <v>41</v>
      </c>
      <c r="GE67" s="55">
        <v>46</v>
      </c>
      <c r="GF67" s="55">
        <v>45</v>
      </c>
      <c r="GG67" s="91">
        <v>53.129539999999999</v>
      </c>
      <c r="GH67" s="91">
        <v>47.56664</v>
      </c>
      <c r="GI67" s="91">
        <v>45.649850000000001</v>
      </c>
      <c r="GJ67" s="91">
        <v>47.380600000000001</v>
      </c>
      <c r="GK67" s="55"/>
      <c r="GL67" s="55"/>
      <c r="GM67" s="55"/>
      <c r="GN67" s="56"/>
      <c r="GO67" s="55"/>
      <c r="GP67" s="55"/>
      <c r="GQ67" s="55"/>
      <c r="GR67" s="55"/>
      <c r="GS67" s="56"/>
      <c r="GT67" s="55"/>
      <c r="GU67" s="55"/>
      <c r="GV67" s="55"/>
      <c r="GW67" s="55"/>
      <c r="GX67" s="56"/>
      <c r="GY67" s="56"/>
      <c r="GZ67" s="56"/>
      <c r="HA67" s="56"/>
      <c r="HB67" s="56"/>
      <c r="HC67" s="56"/>
      <c r="HD67" s="57"/>
      <c r="HE67" s="57"/>
      <c r="HF67" s="57"/>
      <c r="HG67" s="57"/>
      <c r="HH67" s="57"/>
      <c r="HI67" s="58"/>
      <c r="HJ67" s="58"/>
      <c r="HK67" s="55"/>
      <c r="HL67" s="56"/>
      <c r="HM67" s="56"/>
      <c r="HN67" s="56"/>
      <c r="HO67" s="56"/>
      <c r="HP67" s="56"/>
      <c r="HQ67" s="56"/>
      <c r="HR67" s="56"/>
      <c r="HS67" s="56"/>
      <c r="HT67" s="56"/>
      <c r="HU67" s="38"/>
    </row>
    <row r="68" spans="1:229" x14ac:dyDescent="0.2">
      <c r="A68" s="36">
        <v>65</v>
      </c>
      <c r="B68" s="70" t="s">
        <v>121</v>
      </c>
      <c r="C68" s="77">
        <v>15861</v>
      </c>
      <c r="D68" s="77">
        <v>15718</v>
      </c>
      <c r="E68" s="77">
        <v>15730</v>
      </c>
      <c r="F68" s="77">
        <v>15500</v>
      </c>
      <c r="G68" s="150">
        <v>15369</v>
      </c>
      <c r="H68" s="41">
        <v>14897</v>
      </c>
      <c r="I68" s="41">
        <v>55</v>
      </c>
      <c r="J68" s="41">
        <v>144</v>
      </c>
      <c r="K68" s="41">
        <v>84</v>
      </c>
      <c r="L68" s="41">
        <v>1110</v>
      </c>
      <c r="M68" s="42">
        <v>6817</v>
      </c>
      <c r="N68" s="43">
        <v>6760</v>
      </c>
      <c r="O68" s="43">
        <v>6564</v>
      </c>
      <c r="P68" s="44">
        <v>6516</v>
      </c>
      <c r="Q68" s="44">
        <v>6483</v>
      </c>
      <c r="R68" s="87">
        <v>29.380513231756215</v>
      </c>
      <c r="S68" s="87">
        <v>29.8306824012314</v>
      </c>
      <c r="T68" s="87">
        <v>31.314273961332784</v>
      </c>
      <c r="U68" s="87">
        <v>31.497454016418995</v>
      </c>
      <c r="V68" s="87">
        <v>32.075273338940285</v>
      </c>
      <c r="W68" s="87">
        <v>29.611066559743385</v>
      </c>
      <c r="X68" s="87">
        <v>31.46228835300154</v>
      </c>
      <c r="Y68" s="87">
        <v>30.450431921020158</v>
      </c>
      <c r="Z68" s="87">
        <v>29.574976618518132</v>
      </c>
      <c r="AA68" s="42">
        <v>29.499579478553407</v>
      </c>
      <c r="AB68" s="87">
        <v>58.991579791499596</v>
      </c>
      <c r="AC68" s="87">
        <v>61.29297075423294</v>
      </c>
      <c r="AD68" s="87">
        <v>61.764705882352942</v>
      </c>
      <c r="AE68" s="87">
        <v>61.072430634937128</v>
      </c>
      <c r="AF68" s="87">
        <v>61.574852817493692</v>
      </c>
      <c r="AG68" s="44">
        <v>5.7244464838820699</v>
      </c>
      <c r="AH68" s="44">
        <v>8.1609456694703333</v>
      </c>
      <c r="AI68" s="44">
        <v>7.6399394856278366</v>
      </c>
      <c r="AJ68" s="43">
        <v>6.8776093166337064</v>
      </c>
      <c r="AK68" s="43">
        <v>6.3888569126280652</v>
      </c>
      <c r="AL68" s="47">
        <v>359.58333333333331</v>
      </c>
      <c r="AM68" s="47">
        <v>453.16666666666669</v>
      </c>
      <c r="AN68" s="47">
        <v>359.58333333333331</v>
      </c>
      <c r="AO68" s="47">
        <v>621.25</v>
      </c>
      <c r="AP68" s="47">
        <v>630</v>
      </c>
      <c r="AQ68" s="47">
        <v>44977.370590472172</v>
      </c>
      <c r="AR68" s="47">
        <v>41133.838191152849</v>
      </c>
      <c r="AS68" s="47">
        <v>44285.787100015477</v>
      </c>
      <c r="AT68" s="47">
        <v>45299.975065391809</v>
      </c>
      <c r="AU68" s="47">
        <v>52267.551564838308</v>
      </c>
      <c r="AV68" s="84">
        <v>49508.685154375242</v>
      </c>
      <c r="AW68" s="85">
        <v>50201.458487973352</v>
      </c>
      <c r="AX68" s="85">
        <v>52536.727595545322</v>
      </c>
      <c r="AY68" s="85">
        <v>50169.856259097272</v>
      </c>
      <c r="AZ68" s="85">
        <v>50502</v>
      </c>
      <c r="BA68" s="83">
        <v>10.955995882655687</v>
      </c>
      <c r="BB68" s="83">
        <v>10.700363825363825</v>
      </c>
      <c r="BC68" s="83">
        <v>11.26375415066085</v>
      </c>
      <c r="BD68" s="83">
        <v>11.071546323771843</v>
      </c>
      <c r="BE68" s="83">
        <v>10.486069552496842</v>
      </c>
      <c r="BF68" s="83">
        <v>14.908194025760482</v>
      </c>
      <c r="BG68" s="46">
        <v>15.6957928802589</v>
      </c>
      <c r="BH68" s="46">
        <v>16.973757677275266</v>
      </c>
      <c r="BI68" s="46">
        <v>17.140371229698374</v>
      </c>
      <c r="BJ68" s="46">
        <v>16.418346479696172</v>
      </c>
      <c r="BK68" s="42">
        <v>1969</v>
      </c>
      <c r="BL68" s="42">
        <v>1825</v>
      </c>
      <c r="BM68" s="40">
        <v>1789</v>
      </c>
      <c r="BN68" s="40">
        <v>1806</v>
      </c>
      <c r="BO68" s="43">
        <v>43.473844591163029</v>
      </c>
      <c r="BP68" s="43">
        <v>41.643835616438359</v>
      </c>
      <c r="BQ68" s="44">
        <v>42.817216321967578</v>
      </c>
      <c r="BR68" s="44">
        <v>47.397563676633446</v>
      </c>
      <c r="BS68" s="87">
        <v>9.9035043169121373</v>
      </c>
      <c r="BT68" s="87">
        <v>9.9726027397260282</v>
      </c>
      <c r="BU68" s="87">
        <v>7.8814980435997768</v>
      </c>
      <c r="BV68" s="87">
        <v>8.1395348837209305</v>
      </c>
      <c r="BW68" s="43">
        <v>15.439309294057898</v>
      </c>
      <c r="BX68" s="43">
        <v>15.232876712328768</v>
      </c>
      <c r="BY68" s="43">
        <v>15.259921743991056</v>
      </c>
      <c r="BZ68" s="43">
        <v>15.337763012181616</v>
      </c>
      <c r="CA68" s="42">
        <v>84.530386740331494</v>
      </c>
      <c r="CB68" s="42">
        <v>89.85507246376811</v>
      </c>
      <c r="CC68" s="42">
        <v>87.34</v>
      </c>
      <c r="CD68" s="44">
        <v>89.86</v>
      </c>
      <c r="CE68" s="43">
        <v>2.2099447513812156</v>
      </c>
      <c r="CF68" s="43">
        <v>2.8985507246376812</v>
      </c>
      <c r="CG68" s="43">
        <v>5.0599999999999996</v>
      </c>
      <c r="CH68" s="44">
        <v>3.62</v>
      </c>
      <c r="CI68" s="49">
        <v>983</v>
      </c>
      <c r="CJ68" s="49">
        <v>1002</v>
      </c>
      <c r="CK68" s="51">
        <v>981</v>
      </c>
      <c r="CL68" s="51">
        <v>950</v>
      </c>
      <c r="CM68" s="88">
        <v>11.4</v>
      </c>
      <c r="CN68" s="88">
        <v>11.8</v>
      </c>
      <c r="CO68" s="88">
        <v>11.8</v>
      </c>
      <c r="CP68" s="88">
        <v>12.2</v>
      </c>
      <c r="CQ68" s="53">
        <v>48</v>
      </c>
      <c r="CR68" s="53">
        <v>35</v>
      </c>
      <c r="CS68" s="53">
        <v>51</v>
      </c>
      <c r="CT68" s="53">
        <v>42</v>
      </c>
      <c r="CU68" s="88">
        <v>5</v>
      </c>
      <c r="CV68" s="88">
        <v>3.6</v>
      </c>
      <c r="CW68" s="88">
        <v>5.3</v>
      </c>
      <c r="CX68" s="88">
        <v>4.5999999999999996</v>
      </c>
      <c r="CY68" s="51">
        <v>76</v>
      </c>
      <c r="CZ68" s="53">
        <v>62</v>
      </c>
      <c r="DA68" s="53">
        <v>78</v>
      </c>
      <c r="DB68" s="53">
        <v>61</v>
      </c>
      <c r="DC68" s="88">
        <v>8.4</v>
      </c>
      <c r="DD68" s="88">
        <v>6.8</v>
      </c>
      <c r="DE68" s="88">
        <v>8.9</v>
      </c>
      <c r="DF68" s="88">
        <v>7.2</v>
      </c>
      <c r="DG68" s="88">
        <v>86.2</v>
      </c>
      <c r="DH68" s="88">
        <v>82.5</v>
      </c>
      <c r="DI68" s="88">
        <v>86.2</v>
      </c>
      <c r="DJ68" s="88">
        <v>85.1</v>
      </c>
      <c r="DK68" s="88">
        <v>14</v>
      </c>
      <c r="DL68" s="88">
        <v>15.3</v>
      </c>
      <c r="DM68" s="88">
        <v>14.2</v>
      </c>
      <c r="DN68" s="88">
        <v>18.124341412012644</v>
      </c>
      <c r="DO68" s="88">
        <v>21.4</v>
      </c>
      <c r="DP68" s="88">
        <v>27.7</v>
      </c>
      <c r="DQ68" s="88">
        <v>34.299999999999997</v>
      </c>
      <c r="DR68" s="88">
        <v>38.9</v>
      </c>
      <c r="DS68" s="88">
        <v>37.05118411000764</v>
      </c>
      <c r="DT68" s="88">
        <v>34.958306606799233</v>
      </c>
      <c r="DU68" s="88">
        <v>33.438485804416402</v>
      </c>
      <c r="DV68" s="88">
        <v>39.951573849878933</v>
      </c>
      <c r="DW68" s="54">
        <v>179</v>
      </c>
      <c r="DX68" s="54">
        <v>0</v>
      </c>
      <c r="DY68" s="51">
        <v>2</v>
      </c>
      <c r="DZ68" s="53">
        <v>2</v>
      </c>
      <c r="EA68" s="53">
        <v>26</v>
      </c>
      <c r="EB68" s="53">
        <v>14</v>
      </c>
      <c r="EC68" s="53">
        <v>2</v>
      </c>
      <c r="ED68" s="51">
        <v>4</v>
      </c>
      <c r="EE68" s="53">
        <v>3</v>
      </c>
      <c r="EF68" s="53">
        <v>1098</v>
      </c>
      <c r="EG68" s="53">
        <v>1105</v>
      </c>
      <c r="EH68" s="53">
        <v>982</v>
      </c>
      <c r="EI68" s="53">
        <v>1045</v>
      </c>
      <c r="EJ68" s="92">
        <v>211</v>
      </c>
      <c r="EK68" s="92">
        <v>0</v>
      </c>
      <c r="EL68" s="92">
        <v>2</v>
      </c>
      <c r="EM68" s="92">
        <v>0</v>
      </c>
      <c r="EN68" s="92">
        <v>2</v>
      </c>
      <c r="EO68" s="88">
        <v>1275.9726676893042</v>
      </c>
      <c r="EP68" s="88">
        <v>1300.4436807852092</v>
      </c>
      <c r="EQ68" s="88">
        <v>1183.4319526627219</v>
      </c>
      <c r="ER68" s="88">
        <v>1324.6509258227325</v>
      </c>
      <c r="ES68" s="88">
        <v>801.7</v>
      </c>
      <c r="ET68" s="88">
        <v>800.8</v>
      </c>
      <c r="EU68" s="88">
        <v>729.8</v>
      </c>
      <c r="EV68" s="88">
        <v>807.2</v>
      </c>
      <c r="EW68" s="88">
        <v>1039.5337467132626</v>
      </c>
      <c r="EX68" s="88">
        <v>1019.7777131154703</v>
      </c>
      <c r="EY68" s="88">
        <v>857.44513668428328</v>
      </c>
      <c r="EZ68" s="88">
        <v>965.82817824779454</v>
      </c>
      <c r="FA68" s="88">
        <v>626.2013906981249</v>
      </c>
      <c r="FB68" s="88">
        <v>615.39923804055695</v>
      </c>
      <c r="FC68" s="88">
        <v>626.55472668399295</v>
      </c>
      <c r="FD68" s="88">
        <v>672.8750090968656</v>
      </c>
      <c r="FE68" s="51">
        <v>233</v>
      </c>
      <c r="FF68" s="54">
        <v>227</v>
      </c>
      <c r="FG68" s="54">
        <v>220</v>
      </c>
      <c r="FH68" s="54">
        <v>226</v>
      </c>
      <c r="FI68" s="88">
        <v>176.596</v>
      </c>
      <c r="FJ68" s="88">
        <v>176.8159</v>
      </c>
      <c r="FK68" s="88">
        <v>171.90029999999999</v>
      </c>
      <c r="FL68" s="88">
        <v>190.4264</v>
      </c>
      <c r="FM68" s="54">
        <v>345</v>
      </c>
      <c r="FN68" s="54">
        <v>295</v>
      </c>
      <c r="FO68" s="51">
        <v>231</v>
      </c>
      <c r="FP68" s="54">
        <v>216</v>
      </c>
      <c r="FQ68" s="88">
        <v>239.68809999999999</v>
      </c>
      <c r="FR68" s="88">
        <v>201.58629999999999</v>
      </c>
      <c r="FS68" s="88">
        <v>162.72450000000001</v>
      </c>
      <c r="FT68" s="88">
        <v>159.49709999999999</v>
      </c>
      <c r="FU68" s="53">
        <v>124</v>
      </c>
      <c r="FV68" s="53">
        <v>115</v>
      </c>
      <c r="FW68" s="53">
        <v>64</v>
      </c>
      <c r="FX68" s="53">
        <v>63</v>
      </c>
      <c r="FY68" s="88">
        <v>82.153720000000007</v>
      </c>
      <c r="FZ68" s="88">
        <v>76.14331</v>
      </c>
      <c r="GA68" s="88">
        <v>40.216630000000002</v>
      </c>
      <c r="GB68" s="88">
        <v>40.782220000000002</v>
      </c>
      <c r="GC68" s="55">
        <v>51</v>
      </c>
      <c r="GD68" s="56">
        <v>45</v>
      </c>
      <c r="GE68" s="55">
        <v>49</v>
      </c>
      <c r="GF68" s="55">
        <v>47</v>
      </c>
      <c r="GG68" s="91">
        <v>52.994329999999998</v>
      </c>
      <c r="GH68" s="91">
        <v>45.908180000000002</v>
      </c>
      <c r="GI68" s="91">
        <v>46.030239999999999</v>
      </c>
      <c r="GJ68" s="91">
        <v>48.21284</v>
      </c>
      <c r="GK68" s="55"/>
      <c r="GL68" s="55"/>
      <c r="GM68" s="55"/>
      <c r="GN68" s="56"/>
      <c r="GO68" s="55"/>
      <c r="GP68" s="55"/>
      <c r="GQ68" s="55"/>
      <c r="GR68" s="55"/>
      <c r="GS68" s="56"/>
      <c r="GT68" s="55"/>
      <c r="GU68" s="55"/>
      <c r="GV68" s="55"/>
      <c r="GW68" s="55"/>
      <c r="GX68" s="56"/>
      <c r="GY68" s="56"/>
      <c r="GZ68" s="56"/>
      <c r="HA68" s="56"/>
      <c r="HB68" s="56"/>
      <c r="HC68" s="56"/>
      <c r="HD68" s="57"/>
      <c r="HE68" s="57"/>
      <c r="HF68" s="57"/>
      <c r="HG68" s="57"/>
      <c r="HH68" s="57"/>
      <c r="HI68" s="58"/>
      <c r="HJ68" s="58"/>
      <c r="HK68" s="55"/>
      <c r="HL68" s="56"/>
      <c r="HM68" s="56"/>
      <c r="HN68" s="56"/>
      <c r="HO68" s="56"/>
      <c r="HP68" s="56"/>
      <c r="HQ68" s="56"/>
      <c r="HR68" s="56"/>
      <c r="HS68" s="56"/>
      <c r="HT68" s="56"/>
      <c r="HU68" s="38"/>
    </row>
    <row r="69" spans="1:229" x14ac:dyDescent="0.2">
      <c r="A69" s="36">
        <v>66</v>
      </c>
      <c r="B69" s="70" t="s">
        <v>122</v>
      </c>
      <c r="C69" s="77">
        <v>62390</v>
      </c>
      <c r="D69" s="77">
        <v>62723</v>
      </c>
      <c r="E69" s="77">
        <v>64142</v>
      </c>
      <c r="F69" s="77">
        <v>64409</v>
      </c>
      <c r="G69" s="150">
        <v>64854</v>
      </c>
      <c r="H69" s="41">
        <v>59705</v>
      </c>
      <c r="I69" s="41">
        <v>2361</v>
      </c>
      <c r="J69" s="41">
        <v>405</v>
      </c>
      <c r="K69" s="41">
        <v>1421</v>
      </c>
      <c r="L69" s="41">
        <v>5094</v>
      </c>
      <c r="M69" s="42">
        <v>21914</v>
      </c>
      <c r="N69" s="43">
        <v>21993</v>
      </c>
      <c r="O69" s="43">
        <v>22315</v>
      </c>
      <c r="P69" s="44">
        <v>22423</v>
      </c>
      <c r="Q69" s="44">
        <v>22507</v>
      </c>
      <c r="R69" s="87">
        <v>17.055618145448694</v>
      </c>
      <c r="S69" s="87">
        <v>18.215107271959063</v>
      </c>
      <c r="T69" s="87">
        <v>17.95584516187829</v>
      </c>
      <c r="U69" s="87">
        <v>18.556396445535327</v>
      </c>
      <c r="V69" s="87">
        <v>19.242866517321747</v>
      </c>
      <c r="W69" s="87">
        <v>26.392752856781552</v>
      </c>
      <c r="X69" s="87">
        <v>29.015069715036852</v>
      </c>
      <c r="Y69" s="87">
        <v>28.183454466747168</v>
      </c>
      <c r="Z69" s="87">
        <v>27.824367628008453</v>
      </c>
      <c r="AA69" s="42">
        <v>27.508881497069673</v>
      </c>
      <c r="AB69" s="87">
        <v>43.448371002230246</v>
      </c>
      <c r="AC69" s="87">
        <v>47.230176986995914</v>
      </c>
      <c r="AD69" s="87">
        <v>46.139299628625459</v>
      </c>
      <c r="AE69" s="87">
        <v>46.38076407354378</v>
      </c>
      <c r="AF69" s="87">
        <v>46.751748014391417</v>
      </c>
      <c r="AG69" s="44">
        <v>5.8341956296792254</v>
      </c>
      <c r="AH69" s="44">
        <v>8.826580515130857</v>
      </c>
      <c r="AI69" s="44">
        <v>8.0766374572998672</v>
      </c>
      <c r="AJ69" s="43">
        <v>7.0600696020577995</v>
      </c>
      <c r="AK69" s="43">
        <v>6.378173828125</v>
      </c>
      <c r="AL69" s="47">
        <v>950.08333333333337</v>
      </c>
      <c r="AM69" s="47">
        <v>1357.5</v>
      </c>
      <c r="AN69" s="47">
        <v>950.08333333333337</v>
      </c>
      <c r="AO69" s="47">
        <v>1876.9166666666667</v>
      </c>
      <c r="AP69" s="47">
        <v>1965.6666666666667</v>
      </c>
      <c r="AQ69" s="47">
        <v>33581.955464385232</v>
      </c>
      <c r="AR69" s="47">
        <v>33016.175044885356</v>
      </c>
      <c r="AS69" s="47">
        <v>33340.35691792595</v>
      </c>
      <c r="AT69" s="47">
        <v>33663.801101883881</v>
      </c>
      <c r="AU69" s="47">
        <v>34876.676843371264</v>
      </c>
      <c r="AV69" s="84">
        <v>62514.21909244491</v>
      </c>
      <c r="AW69" s="85">
        <v>59589.149418423847</v>
      </c>
      <c r="AX69" s="85">
        <v>58863.751728173833</v>
      </c>
      <c r="AY69" s="85">
        <v>57955.661063369524</v>
      </c>
      <c r="AZ69" s="85">
        <v>59332</v>
      </c>
      <c r="BA69" s="83">
        <v>9.171157943741159</v>
      </c>
      <c r="BB69" s="83">
        <v>11.783348764333025</v>
      </c>
      <c r="BC69" s="83">
        <v>10.289479217775286</v>
      </c>
      <c r="BD69" s="83">
        <v>11.219034974319555</v>
      </c>
      <c r="BE69" s="83">
        <v>10.708054159687325</v>
      </c>
      <c r="BF69" s="83">
        <v>9.970652971386647</v>
      </c>
      <c r="BG69" s="46">
        <v>14.067151263412946</v>
      </c>
      <c r="BH69" s="46">
        <v>12.134003350083752</v>
      </c>
      <c r="BI69" s="46">
        <v>13.842693565976008</v>
      </c>
      <c r="BJ69" s="46">
        <v>13.550304035378662</v>
      </c>
      <c r="BK69" s="42">
        <v>8598</v>
      </c>
      <c r="BL69" s="42">
        <v>8452</v>
      </c>
      <c r="BM69" s="40">
        <v>8566</v>
      </c>
      <c r="BN69" s="40">
        <v>8647</v>
      </c>
      <c r="BO69" s="43">
        <v>36.903931146778319</v>
      </c>
      <c r="BP69" s="43">
        <v>37.458589682915289</v>
      </c>
      <c r="BQ69" s="44">
        <v>38.32593976184917</v>
      </c>
      <c r="BR69" s="44">
        <v>41.031571643344513</v>
      </c>
      <c r="BS69" s="87">
        <v>10.688532216794604</v>
      </c>
      <c r="BT69" s="87">
        <v>11.133459536204448</v>
      </c>
      <c r="BU69" s="87">
        <v>11.919215503151996</v>
      </c>
      <c r="BV69" s="87">
        <v>12.755869087544813</v>
      </c>
      <c r="BW69" s="43">
        <v>16.573621772505234</v>
      </c>
      <c r="BX69" s="43">
        <v>15.759583530525319</v>
      </c>
      <c r="BY69" s="43">
        <v>16.005136586504786</v>
      </c>
      <c r="BZ69" s="43">
        <v>16.074939285301262</v>
      </c>
      <c r="CA69" s="42">
        <v>74.61809635722679</v>
      </c>
      <c r="CB69" s="42">
        <v>76.477683956574182</v>
      </c>
      <c r="CC69" s="42">
        <v>82.34</v>
      </c>
      <c r="CD69" s="44">
        <v>83.22</v>
      </c>
      <c r="CE69" s="43">
        <v>5.7579318448883665</v>
      </c>
      <c r="CF69" s="43">
        <v>4.704463208685163</v>
      </c>
      <c r="CG69" s="43">
        <v>4.38</v>
      </c>
      <c r="CH69" s="44">
        <v>3.47</v>
      </c>
      <c r="CI69" s="49">
        <v>3161</v>
      </c>
      <c r="CJ69" s="49">
        <v>3441</v>
      </c>
      <c r="CK69" s="54">
        <v>3927</v>
      </c>
      <c r="CL69" s="54">
        <v>3739</v>
      </c>
      <c r="CM69" s="88">
        <v>12.1</v>
      </c>
      <c r="CN69" s="88">
        <v>12.2</v>
      </c>
      <c r="CO69" s="88">
        <v>12.9</v>
      </c>
      <c r="CP69" s="88">
        <v>11.7</v>
      </c>
      <c r="CQ69" s="53">
        <v>145</v>
      </c>
      <c r="CR69" s="53">
        <v>166</v>
      </c>
      <c r="CS69" s="53">
        <v>186</v>
      </c>
      <c r="CT69" s="53">
        <v>183</v>
      </c>
      <c r="CU69" s="88">
        <v>4.7</v>
      </c>
      <c r="CV69" s="88">
        <v>5</v>
      </c>
      <c r="CW69" s="88">
        <v>4.9000000000000004</v>
      </c>
      <c r="CX69" s="88">
        <v>5.0999999999999996</v>
      </c>
      <c r="CY69" s="51">
        <v>222</v>
      </c>
      <c r="CZ69" s="53">
        <v>266</v>
      </c>
      <c r="DA69" s="53">
        <v>298</v>
      </c>
      <c r="DB69" s="53">
        <v>283</v>
      </c>
      <c r="DC69" s="88">
        <v>7.9</v>
      </c>
      <c r="DD69" s="88">
        <v>8.5</v>
      </c>
      <c r="DE69" s="88">
        <v>8.3000000000000007</v>
      </c>
      <c r="DF69" s="88">
        <v>8.6999999999999993</v>
      </c>
      <c r="DG69" s="88">
        <v>84</v>
      </c>
      <c r="DH69" s="88">
        <v>83.6</v>
      </c>
      <c r="DI69" s="88">
        <v>84.5</v>
      </c>
      <c r="DJ69" s="88">
        <v>83.8</v>
      </c>
      <c r="DK69" s="88">
        <v>14.2</v>
      </c>
      <c r="DL69" s="88">
        <v>14.5</v>
      </c>
      <c r="DM69" s="88">
        <v>11.9</v>
      </c>
      <c r="DN69" s="88">
        <v>12.651413189771198</v>
      </c>
      <c r="DO69" s="88">
        <v>24.7</v>
      </c>
      <c r="DP69" s="88">
        <v>29.1</v>
      </c>
      <c r="DQ69" s="88">
        <v>33</v>
      </c>
      <c r="DR69" s="88">
        <v>36.5</v>
      </c>
      <c r="DS69" s="88">
        <v>21.151411335369033</v>
      </c>
      <c r="DT69" s="88">
        <v>20.678970766536441</v>
      </c>
      <c r="DU69" s="88">
        <v>19.872976849006353</v>
      </c>
      <c r="DV69" s="88">
        <v>18.839590443686006</v>
      </c>
      <c r="DW69" s="54">
        <v>594</v>
      </c>
      <c r="DX69" s="54">
        <v>79</v>
      </c>
      <c r="DY69" s="51">
        <v>2</v>
      </c>
      <c r="DZ69" s="53">
        <v>13</v>
      </c>
      <c r="EA69" s="53">
        <v>88</v>
      </c>
      <c r="EB69" s="53">
        <v>16</v>
      </c>
      <c r="EC69" s="53">
        <v>21</v>
      </c>
      <c r="ED69" s="51">
        <v>12</v>
      </c>
      <c r="EE69" s="53">
        <v>13</v>
      </c>
      <c r="EF69" s="53">
        <v>2072</v>
      </c>
      <c r="EG69" s="53">
        <v>2093</v>
      </c>
      <c r="EH69" s="53">
        <v>2123</v>
      </c>
      <c r="EI69" s="53">
        <v>2222</v>
      </c>
      <c r="EJ69" s="92">
        <v>470</v>
      </c>
      <c r="EK69" s="92">
        <v>4</v>
      </c>
      <c r="EL69" s="92">
        <v>0</v>
      </c>
      <c r="EM69" s="92">
        <v>3</v>
      </c>
      <c r="EN69" s="92">
        <v>6</v>
      </c>
      <c r="EO69" s="88">
        <v>792.71255370512779</v>
      </c>
      <c r="EP69" s="88">
        <v>741.60950167243038</v>
      </c>
      <c r="EQ69" s="88">
        <v>696.13632861044891</v>
      </c>
      <c r="ER69" s="88">
        <v>687.12943105840793</v>
      </c>
      <c r="ES69" s="88">
        <v>799.5</v>
      </c>
      <c r="ET69" s="88">
        <v>756.3</v>
      </c>
      <c r="EU69" s="88">
        <v>703.3</v>
      </c>
      <c r="EV69" s="88">
        <v>657.6</v>
      </c>
      <c r="EW69" s="88">
        <v>1043.0618715473302</v>
      </c>
      <c r="EX69" s="88">
        <v>907.37949448019481</v>
      </c>
      <c r="EY69" s="88">
        <v>858.71875010140388</v>
      </c>
      <c r="EZ69" s="88">
        <v>784.17038854529756</v>
      </c>
      <c r="FA69" s="88">
        <v>625.89099488844499</v>
      </c>
      <c r="FB69" s="88">
        <v>647.85564636845857</v>
      </c>
      <c r="FC69" s="88">
        <v>589.50662385220062</v>
      </c>
      <c r="FD69" s="88">
        <v>562.79230099531173</v>
      </c>
      <c r="FE69" s="51">
        <v>471</v>
      </c>
      <c r="FF69" s="54">
        <v>508</v>
      </c>
      <c r="FG69" s="54">
        <v>530</v>
      </c>
      <c r="FH69" s="54">
        <v>550</v>
      </c>
      <c r="FI69" s="88">
        <v>193.06549999999999</v>
      </c>
      <c r="FJ69" s="88">
        <v>194.25040000000001</v>
      </c>
      <c r="FK69" s="88">
        <v>184.65010000000001</v>
      </c>
      <c r="FL69" s="88">
        <v>167.15360000000001</v>
      </c>
      <c r="FM69" s="54">
        <v>550</v>
      </c>
      <c r="FN69" s="54">
        <v>505</v>
      </c>
      <c r="FO69" s="51">
        <v>470</v>
      </c>
      <c r="FP69" s="54">
        <v>424</v>
      </c>
      <c r="FQ69" s="88">
        <v>210.392</v>
      </c>
      <c r="FR69" s="88">
        <v>180.548</v>
      </c>
      <c r="FS69" s="88">
        <v>152.3546</v>
      </c>
      <c r="FT69" s="88">
        <v>123.3729</v>
      </c>
      <c r="FU69" s="53">
        <v>172</v>
      </c>
      <c r="FV69" s="53">
        <v>152</v>
      </c>
      <c r="FW69" s="53">
        <v>124</v>
      </c>
      <c r="FX69" s="53">
        <v>115</v>
      </c>
      <c r="FY69" s="88">
        <v>63.25479</v>
      </c>
      <c r="FZ69" s="88">
        <v>53.017829999999996</v>
      </c>
      <c r="GA69" s="88">
        <v>40.053649999999998</v>
      </c>
      <c r="GB69" s="88">
        <v>33.009320000000002</v>
      </c>
      <c r="GC69" s="55">
        <v>93</v>
      </c>
      <c r="GD69" s="56">
        <v>108</v>
      </c>
      <c r="GE69" s="55">
        <v>107</v>
      </c>
      <c r="GF69" s="55">
        <v>124</v>
      </c>
      <c r="GG69" s="91">
        <v>34.558219999999999</v>
      </c>
      <c r="GH69" s="91">
        <v>37.304209999999998</v>
      </c>
      <c r="GI69" s="91">
        <v>34.001989999999999</v>
      </c>
      <c r="GJ69" s="91">
        <v>36.93618</v>
      </c>
      <c r="GK69" s="55"/>
      <c r="GL69" s="55"/>
      <c r="GM69" s="55"/>
      <c r="GN69" s="56"/>
      <c r="GO69" s="55"/>
      <c r="GP69" s="55"/>
      <c r="GQ69" s="55"/>
      <c r="GR69" s="55"/>
      <c r="GS69" s="56"/>
      <c r="GT69" s="55"/>
      <c r="GU69" s="55"/>
      <c r="GV69" s="55"/>
      <c r="GW69" s="55"/>
      <c r="GX69" s="56"/>
      <c r="GY69" s="56"/>
      <c r="GZ69" s="56"/>
      <c r="HA69" s="56"/>
      <c r="HB69" s="56"/>
      <c r="HC69" s="56"/>
      <c r="HD69" s="57"/>
      <c r="HE69" s="57"/>
      <c r="HF69" s="57"/>
      <c r="HG69" s="57"/>
      <c r="HH69" s="57"/>
      <c r="HI69" s="58"/>
      <c r="HJ69" s="58"/>
      <c r="HK69" s="55"/>
      <c r="HL69" s="56"/>
      <c r="HM69" s="56"/>
      <c r="HN69" s="56"/>
      <c r="HO69" s="56"/>
      <c r="HP69" s="56"/>
      <c r="HQ69" s="56"/>
      <c r="HR69" s="56"/>
      <c r="HS69" s="56"/>
      <c r="HT69" s="56"/>
      <c r="HU69" s="38"/>
    </row>
    <row r="70" spans="1:229" ht="21" customHeight="1" x14ac:dyDescent="0.2">
      <c r="A70" s="36">
        <v>67</v>
      </c>
      <c r="B70" s="70" t="s">
        <v>123</v>
      </c>
      <c r="C70" s="77">
        <v>9476</v>
      </c>
      <c r="D70" s="77">
        <v>9483</v>
      </c>
      <c r="E70" s="77">
        <v>9687</v>
      </c>
      <c r="F70" s="77">
        <v>9614</v>
      </c>
      <c r="G70" s="150">
        <v>9553</v>
      </c>
      <c r="H70" s="41">
        <v>9262</v>
      </c>
      <c r="I70" s="41">
        <v>70</v>
      </c>
      <c r="J70" s="41">
        <v>42</v>
      </c>
      <c r="K70" s="41">
        <v>64</v>
      </c>
      <c r="L70" s="41">
        <v>206</v>
      </c>
      <c r="M70" s="42">
        <v>3923</v>
      </c>
      <c r="N70" s="43">
        <v>3945</v>
      </c>
      <c r="O70" s="43">
        <v>3918</v>
      </c>
      <c r="P70" s="44">
        <v>3915</v>
      </c>
      <c r="Q70" s="44">
        <v>3903</v>
      </c>
      <c r="R70" s="87">
        <v>31.626297577854672</v>
      </c>
      <c r="S70" s="87">
        <v>31.07870695713282</v>
      </c>
      <c r="T70" s="87">
        <v>31.730935500605224</v>
      </c>
      <c r="U70" s="87">
        <v>31.386861313868614</v>
      </c>
      <c r="V70" s="87">
        <v>33.339222614840992</v>
      </c>
      <c r="W70" s="87">
        <v>32.318339100346023</v>
      </c>
      <c r="X70" s="87">
        <v>35.523541813070977</v>
      </c>
      <c r="Y70" s="87">
        <v>35.777278229292754</v>
      </c>
      <c r="Z70" s="87">
        <v>35.696906499826206</v>
      </c>
      <c r="AA70" s="42">
        <v>35.441696113074208</v>
      </c>
      <c r="AB70" s="87">
        <v>63.944636678200695</v>
      </c>
      <c r="AC70" s="87">
        <v>66.602248770203801</v>
      </c>
      <c r="AD70" s="87">
        <v>67.508213729897975</v>
      </c>
      <c r="AE70" s="87">
        <v>67.08376781369482</v>
      </c>
      <c r="AF70" s="87">
        <v>68.780918727915193</v>
      </c>
      <c r="AG70" s="44">
        <v>3.8267875125881168</v>
      </c>
      <c r="AH70" s="44">
        <v>5.5314105096799686</v>
      </c>
      <c r="AI70" s="44">
        <v>5.1870420362514462</v>
      </c>
      <c r="AJ70" s="43">
        <v>4.63768115942029</v>
      </c>
      <c r="AK70" s="43">
        <v>3.8109197508244779</v>
      </c>
      <c r="AL70" s="47">
        <v>130.58333333333334</v>
      </c>
      <c r="AM70" s="47">
        <v>174.58333333333334</v>
      </c>
      <c r="AN70" s="47">
        <v>130.58333333333334</v>
      </c>
      <c r="AO70" s="47">
        <v>287.83333333333331</v>
      </c>
      <c r="AP70" s="47">
        <v>277.5</v>
      </c>
      <c r="AQ70" s="47">
        <v>43440.890109492342</v>
      </c>
      <c r="AR70" s="47">
        <v>39894.336627846395</v>
      </c>
      <c r="AS70" s="47">
        <v>43141.031441738494</v>
      </c>
      <c r="AT70" s="47">
        <v>47034.152018578927</v>
      </c>
      <c r="AU70" s="47">
        <v>49554.590181094944</v>
      </c>
      <c r="AV70" s="84">
        <v>51296.999389710007</v>
      </c>
      <c r="AW70" s="85">
        <v>51514.579414975487</v>
      </c>
      <c r="AX70" s="85">
        <v>47119.430347688169</v>
      </c>
      <c r="AY70" s="85">
        <v>50952.72362732968</v>
      </c>
      <c r="AZ70" s="85">
        <v>51766</v>
      </c>
      <c r="BA70" s="83">
        <v>8.9750513014364408</v>
      </c>
      <c r="BB70" s="83">
        <v>9.2018576520142563</v>
      </c>
      <c r="BC70" s="83">
        <v>10.765322324547475</v>
      </c>
      <c r="BD70" s="83">
        <v>10.899967972670012</v>
      </c>
      <c r="BE70" s="83">
        <v>9.5703544575725026</v>
      </c>
      <c r="BF70" s="83">
        <v>11.175942549371634</v>
      </c>
      <c r="BG70" s="46">
        <v>11.451342281879194</v>
      </c>
      <c r="BH70" s="46">
        <v>13.987730061349692</v>
      </c>
      <c r="BI70" s="46">
        <v>14.620123203285422</v>
      </c>
      <c r="BJ70" s="46">
        <v>11.829319814110688</v>
      </c>
      <c r="BK70" s="42">
        <v>1568</v>
      </c>
      <c r="BL70" s="42">
        <v>1584</v>
      </c>
      <c r="BM70" s="40">
        <v>1592</v>
      </c>
      <c r="BN70" s="40">
        <v>1561</v>
      </c>
      <c r="BO70" s="43">
        <v>33.482142857142854</v>
      </c>
      <c r="BP70" s="43">
        <v>35.479797979797979</v>
      </c>
      <c r="BQ70" s="44">
        <v>34.359296482412063</v>
      </c>
      <c r="BR70" s="44">
        <v>33.888532991672008</v>
      </c>
      <c r="BS70" s="87">
        <v>1.5943877551020409</v>
      </c>
      <c r="BT70" s="87">
        <v>2.0202020202020203</v>
      </c>
      <c r="BU70" s="87">
        <v>1.9472361809045227</v>
      </c>
      <c r="BV70" s="87">
        <v>1.7296604740550929</v>
      </c>
      <c r="BW70" s="43">
        <v>14.158163265306122</v>
      </c>
      <c r="BX70" s="43">
        <v>15.025252525252526</v>
      </c>
      <c r="BY70" s="43">
        <v>13.316582914572864</v>
      </c>
      <c r="BZ70" s="43">
        <v>13.837283792440743</v>
      </c>
      <c r="CA70" s="42">
        <v>85.483870967741936</v>
      </c>
      <c r="CB70" s="42">
        <v>84.552845528455279</v>
      </c>
      <c r="CC70" s="42">
        <v>81.38</v>
      </c>
      <c r="CD70" s="44">
        <v>76.86</v>
      </c>
      <c r="CE70" s="43">
        <v>1.6129032258064515</v>
      </c>
      <c r="CF70" s="43">
        <v>1.6260162601626016</v>
      </c>
      <c r="CG70" s="43">
        <v>6.21</v>
      </c>
      <c r="CH70" s="44">
        <v>2.48</v>
      </c>
      <c r="CI70" s="49">
        <v>575</v>
      </c>
      <c r="CJ70" s="49">
        <v>590</v>
      </c>
      <c r="CK70" s="51">
        <v>666</v>
      </c>
      <c r="CL70" s="51">
        <v>586</v>
      </c>
      <c r="CM70" s="88">
        <v>11.6</v>
      </c>
      <c r="CN70" s="88">
        <v>12.1</v>
      </c>
      <c r="CO70" s="88">
        <v>13.9</v>
      </c>
      <c r="CP70" s="88">
        <v>12.3</v>
      </c>
      <c r="CQ70" s="53">
        <v>19</v>
      </c>
      <c r="CR70" s="53">
        <v>26</v>
      </c>
      <c r="CS70" s="53">
        <v>37</v>
      </c>
      <c r="CT70" s="53">
        <v>25</v>
      </c>
      <c r="CU70" s="88">
        <v>3.4</v>
      </c>
      <c r="CV70" s="88">
        <v>4.5</v>
      </c>
      <c r="CW70" s="88">
        <v>5.7</v>
      </c>
      <c r="CX70" s="88">
        <v>4.3</v>
      </c>
      <c r="CY70" s="51">
        <v>44</v>
      </c>
      <c r="CZ70" s="53">
        <v>45</v>
      </c>
      <c r="DA70" s="53">
        <v>65</v>
      </c>
      <c r="DB70" s="53">
        <v>53</v>
      </c>
      <c r="DC70" s="88">
        <v>8.9</v>
      </c>
      <c r="DD70" s="88">
        <v>8.6999999999999993</v>
      </c>
      <c r="DE70" s="88">
        <v>10.7</v>
      </c>
      <c r="DF70" s="88">
        <v>9.8000000000000007</v>
      </c>
      <c r="DG70" s="88">
        <v>84.1</v>
      </c>
      <c r="DH70" s="88">
        <v>84.9</v>
      </c>
      <c r="DI70" s="88">
        <v>86</v>
      </c>
      <c r="DJ70" s="88">
        <v>86.9</v>
      </c>
      <c r="DK70" s="88">
        <v>9.6</v>
      </c>
      <c r="DL70" s="88">
        <v>12.2</v>
      </c>
      <c r="DM70" s="88">
        <v>7.3</v>
      </c>
      <c r="DN70" s="88">
        <v>11.986301369863014</v>
      </c>
      <c r="DO70" s="88">
        <v>15.5</v>
      </c>
      <c r="DP70" s="88">
        <v>21.4</v>
      </c>
      <c r="DQ70" s="88">
        <v>21.3</v>
      </c>
      <c r="DR70" s="88">
        <v>26.3</v>
      </c>
      <c r="DS70" s="88">
        <v>25.210084033613445</v>
      </c>
      <c r="DT70" s="88">
        <v>36.363636363636367</v>
      </c>
      <c r="DU70" s="88">
        <v>22.770398481973434</v>
      </c>
      <c r="DV70" s="88">
        <v>19.086571233810499</v>
      </c>
      <c r="DW70" s="54">
        <v>109</v>
      </c>
      <c r="DX70" s="54">
        <v>1</v>
      </c>
      <c r="DY70" s="51">
        <v>1</v>
      </c>
      <c r="DZ70" s="53">
        <v>7</v>
      </c>
      <c r="EA70" s="53">
        <v>1</v>
      </c>
      <c r="EB70" s="53">
        <v>6</v>
      </c>
      <c r="EC70" s="53">
        <v>5</v>
      </c>
      <c r="ED70" s="51">
        <v>1</v>
      </c>
      <c r="EE70" s="53">
        <v>1</v>
      </c>
      <c r="EF70" s="53">
        <v>540</v>
      </c>
      <c r="EG70" s="53">
        <v>622</v>
      </c>
      <c r="EH70" s="53">
        <v>615</v>
      </c>
      <c r="EI70" s="53">
        <v>632</v>
      </c>
      <c r="EJ70" s="92">
        <v>122</v>
      </c>
      <c r="EK70" s="92">
        <v>0</v>
      </c>
      <c r="EL70" s="92">
        <v>0</v>
      </c>
      <c r="EM70" s="92">
        <v>0</v>
      </c>
      <c r="EN70" s="92">
        <v>0</v>
      </c>
      <c r="EO70" s="88">
        <v>1091.217718142505</v>
      </c>
      <c r="EP70" s="88">
        <v>1279.0984617915603</v>
      </c>
      <c r="EQ70" s="88">
        <v>1288.0660160013404</v>
      </c>
      <c r="ER70" s="88">
        <v>1332.9848405645582</v>
      </c>
      <c r="ES70" s="88">
        <v>726.1</v>
      </c>
      <c r="ET70" s="88">
        <v>760.6</v>
      </c>
      <c r="EU70" s="88">
        <v>753.5</v>
      </c>
      <c r="EV70" s="88">
        <v>761.3</v>
      </c>
      <c r="EW70" s="88">
        <v>951.68368160830664</v>
      </c>
      <c r="EX70" s="88">
        <v>994.61370495087044</v>
      </c>
      <c r="EY70" s="88">
        <v>1084.973747776691</v>
      </c>
      <c r="EZ70" s="88">
        <v>1096.4486615682054</v>
      </c>
      <c r="FA70" s="88">
        <v>542.78597825476345</v>
      </c>
      <c r="FB70" s="88">
        <v>581.31064379922691</v>
      </c>
      <c r="FC70" s="88">
        <v>549.36732530101176</v>
      </c>
      <c r="FD70" s="88">
        <v>511.34948299929567</v>
      </c>
      <c r="FE70" s="51">
        <v>142</v>
      </c>
      <c r="FF70" s="54">
        <v>130</v>
      </c>
      <c r="FG70" s="54">
        <v>130</v>
      </c>
      <c r="FH70" s="54">
        <v>117</v>
      </c>
      <c r="FI70" s="88">
        <v>200.76169999999999</v>
      </c>
      <c r="FJ70" s="88">
        <v>175.708</v>
      </c>
      <c r="FK70" s="88">
        <v>175.46270000000001</v>
      </c>
      <c r="FL70" s="88">
        <v>151.3073</v>
      </c>
      <c r="FM70" s="54">
        <v>189</v>
      </c>
      <c r="FN70" s="54">
        <v>169</v>
      </c>
      <c r="FO70" s="51">
        <v>151</v>
      </c>
      <c r="FP70" s="54">
        <v>151</v>
      </c>
      <c r="FQ70" s="88">
        <v>234.49160000000001</v>
      </c>
      <c r="FR70" s="88">
        <v>192.98859999999999</v>
      </c>
      <c r="FS70" s="88">
        <v>177.8956</v>
      </c>
      <c r="FT70" s="88">
        <v>170.80950000000001</v>
      </c>
      <c r="FU70" s="53">
        <v>45</v>
      </c>
      <c r="FV70" s="53">
        <v>66</v>
      </c>
      <c r="FW70" s="53">
        <v>55</v>
      </c>
      <c r="FX70" s="53">
        <v>37</v>
      </c>
      <c r="FY70" s="88">
        <v>53.298560000000002</v>
      </c>
      <c r="FZ70" s="88">
        <v>75.233029999999999</v>
      </c>
      <c r="GA70" s="88">
        <v>62.22551</v>
      </c>
      <c r="GB70" s="88">
        <v>42.070010000000003</v>
      </c>
      <c r="GC70" s="55">
        <v>17</v>
      </c>
      <c r="GD70" s="56">
        <v>22</v>
      </c>
      <c r="GE70" s="55">
        <v>23</v>
      </c>
      <c r="GF70" s="55">
        <v>41</v>
      </c>
      <c r="GG70" s="91">
        <v>33.7194</v>
      </c>
      <c r="GH70" s="91">
        <v>36.967849999999999</v>
      </c>
      <c r="GI70" s="91">
        <v>39.903579999999998</v>
      </c>
      <c r="GJ70" s="91">
        <v>59.866070000000001</v>
      </c>
      <c r="GK70" s="55"/>
      <c r="GL70" s="55"/>
      <c r="GM70" s="55"/>
      <c r="GN70" s="56"/>
      <c r="GO70" s="55"/>
      <c r="GP70" s="55"/>
      <c r="GQ70" s="55"/>
      <c r="GR70" s="55"/>
      <c r="GS70" s="56"/>
      <c r="GT70" s="55"/>
      <c r="GU70" s="55"/>
      <c r="GV70" s="55"/>
      <c r="GW70" s="55"/>
      <c r="GX70" s="56"/>
      <c r="GY70" s="56"/>
      <c r="GZ70" s="56"/>
      <c r="HA70" s="56"/>
      <c r="HB70" s="56"/>
      <c r="HC70" s="56"/>
      <c r="HD70" s="57"/>
      <c r="HE70" s="57"/>
      <c r="HF70" s="57"/>
      <c r="HG70" s="57"/>
      <c r="HH70" s="57"/>
      <c r="HI70" s="58"/>
      <c r="HJ70" s="58"/>
      <c r="HK70" s="55"/>
      <c r="HL70" s="56"/>
      <c r="HM70" s="56"/>
      <c r="HN70" s="56"/>
      <c r="HO70" s="56"/>
      <c r="HP70" s="56"/>
      <c r="HQ70" s="56"/>
      <c r="HR70" s="56"/>
      <c r="HS70" s="56"/>
      <c r="HT70" s="56"/>
      <c r="HU70" s="38"/>
    </row>
    <row r="71" spans="1:229" x14ac:dyDescent="0.2">
      <c r="A71" s="36">
        <v>68</v>
      </c>
      <c r="B71" s="70" t="s">
        <v>124</v>
      </c>
      <c r="C71" s="77">
        <v>15865</v>
      </c>
      <c r="D71" s="77">
        <v>15911</v>
      </c>
      <c r="E71" s="77">
        <v>15629</v>
      </c>
      <c r="F71" s="77">
        <v>15540</v>
      </c>
      <c r="G71" s="150">
        <v>15476</v>
      </c>
      <c r="H71" s="41">
        <v>14615</v>
      </c>
      <c r="I71" s="41">
        <v>49</v>
      </c>
      <c r="J71" s="41">
        <v>203</v>
      </c>
      <c r="K71" s="41">
        <v>392</v>
      </c>
      <c r="L71" s="41">
        <v>127</v>
      </c>
      <c r="M71" s="42">
        <v>6376</v>
      </c>
      <c r="N71" s="43">
        <v>6366</v>
      </c>
      <c r="O71" s="43">
        <v>6300</v>
      </c>
      <c r="P71" s="44">
        <v>6301</v>
      </c>
      <c r="Q71" s="44">
        <v>6287</v>
      </c>
      <c r="R71" s="87">
        <v>18.78134165957044</v>
      </c>
      <c r="S71" s="87">
        <v>20.647149460708782</v>
      </c>
      <c r="T71" s="87">
        <v>22.321428571428573</v>
      </c>
      <c r="U71" s="87">
        <v>22.792648821414303</v>
      </c>
      <c r="V71" s="87">
        <v>22.991717393473706</v>
      </c>
      <c r="W71" s="87">
        <v>31.327467120825055</v>
      </c>
      <c r="X71" s="87">
        <v>32.578967642526962</v>
      </c>
      <c r="Y71" s="87">
        <v>32.728174603174601</v>
      </c>
      <c r="Z71" s="87">
        <v>32.42109468637635</v>
      </c>
      <c r="AA71" s="42">
        <v>31.443967667897414</v>
      </c>
      <c r="AB71" s="87">
        <v>50.108808780395499</v>
      </c>
      <c r="AC71" s="87">
        <v>53.226117103235744</v>
      </c>
      <c r="AD71" s="87">
        <v>55.049603174603178</v>
      </c>
      <c r="AE71" s="87">
        <v>55.213743507790653</v>
      </c>
      <c r="AF71" s="87">
        <v>54.435685061371117</v>
      </c>
      <c r="AG71" s="44">
        <v>4.8968535111481559</v>
      </c>
      <c r="AH71" s="44">
        <v>7.9071226859115153</v>
      </c>
      <c r="AI71" s="44">
        <v>6.0693952089375873</v>
      </c>
      <c r="AJ71" s="43">
        <v>5.1735500878734619</v>
      </c>
      <c r="AK71" s="43">
        <v>4.4876014922097873</v>
      </c>
      <c r="AL71" s="47">
        <v>190.16666666666666</v>
      </c>
      <c r="AM71" s="47">
        <v>277.58333333333331</v>
      </c>
      <c r="AN71" s="47">
        <v>190.16666666666666</v>
      </c>
      <c r="AO71" s="47">
        <v>409.66666666666669</v>
      </c>
      <c r="AP71" s="47">
        <v>412</v>
      </c>
      <c r="AQ71" s="47">
        <v>40704.349704902939</v>
      </c>
      <c r="AR71" s="47">
        <v>36680.639889983097</v>
      </c>
      <c r="AS71" s="47">
        <v>37699.81506167067</v>
      </c>
      <c r="AT71" s="47">
        <v>40947.150208538864</v>
      </c>
      <c r="AU71" s="47">
        <v>42924.528301886792</v>
      </c>
      <c r="AV71" s="84">
        <v>53018.1318738068</v>
      </c>
      <c r="AW71" s="85">
        <v>50134.036631085713</v>
      </c>
      <c r="AX71" s="85">
        <v>49710.6778747973</v>
      </c>
      <c r="AY71" s="85">
        <v>49344.120012813022</v>
      </c>
      <c r="AZ71" s="85">
        <v>53261</v>
      </c>
      <c r="BA71" s="83">
        <v>8.2196168876929985</v>
      </c>
      <c r="BB71" s="83">
        <v>8.3924576542026212</v>
      </c>
      <c r="BC71" s="83">
        <v>9.3772416041734594</v>
      </c>
      <c r="BD71" s="83">
        <v>12.14080459770115</v>
      </c>
      <c r="BE71" s="83">
        <v>7.7750098334862985</v>
      </c>
      <c r="BF71" s="83">
        <v>9.5866533864541825</v>
      </c>
      <c r="BG71" s="46">
        <v>10.716025328787142</v>
      </c>
      <c r="BH71" s="46">
        <v>12.462311557788945</v>
      </c>
      <c r="BI71" s="46">
        <v>15.431317986339488</v>
      </c>
      <c r="BJ71" s="46">
        <v>11.027892561983471</v>
      </c>
      <c r="BK71" s="42">
        <v>3064</v>
      </c>
      <c r="BL71" s="42">
        <v>3057</v>
      </c>
      <c r="BM71" s="40">
        <v>3023</v>
      </c>
      <c r="BN71" s="40">
        <v>2941</v>
      </c>
      <c r="BO71" s="43">
        <v>37.206266318537857</v>
      </c>
      <c r="BP71" s="43">
        <v>34.510958456002619</v>
      </c>
      <c r="BQ71" s="44">
        <v>34.270592127026134</v>
      </c>
      <c r="BR71" s="44">
        <v>35.770146208772523</v>
      </c>
      <c r="BS71" s="87">
        <v>0.6201044386422977</v>
      </c>
      <c r="BT71" s="87">
        <v>0.49067713444553485</v>
      </c>
      <c r="BU71" s="87">
        <v>0.6615944426066821</v>
      </c>
      <c r="BV71" s="87">
        <v>0.68004080244814691</v>
      </c>
      <c r="BW71" s="43">
        <v>15.796344647519582</v>
      </c>
      <c r="BX71" s="43">
        <v>16.094210009813544</v>
      </c>
      <c r="BY71" s="43">
        <v>16.109824677472709</v>
      </c>
      <c r="BZ71" s="43">
        <v>16.150969058143488</v>
      </c>
      <c r="CA71" s="42">
        <v>94.676806083650192</v>
      </c>
      <c r="CB71" s="42">
        <v>91.699604743083</v>
      </c>
      <c r="CC71" s="42">
        <v>87.41</v>
      </c>
      <c r="CD71" s="44">
        <v>84.96</v>
      </c>
      <c r="CE71" s="43">
        <v>1.520912547528517</v>
      </c>
      <c r="CF71" s="43">
        <v>3.9525691699604741</v>
      </c>
      <c r="CG71" s="43">
        <v>4.07</v>
      </c>
      <c r="CH71" s="44">
        <v>6.39</v>
      </c>
      <c r="CI71" s="49">
        <v>1288</v>
      </c>
      <c r="CJ71" s="49">
        <v>1050</v>
      </c>
      <c r="CK71" s="54">
        <v>1070</v>
      </c>
      <c r="CL71" s="51">
        <v>947</v>
      </c>
      <c r="CM71" s="88">
        <v>16.2</v>
      </c>
      <c r="CN71" s="88">
        <v>13</v>
      </c>
      <c r="CO71" s="88">
        <v>13.2</v>
      </c>
      <c r="CP71" s="88">
        <v>12.1</v>
      </c>
      <c r="CQ71" s="53">
        <v>44</v>
      </c>
      <c r="CR71" s="53">
        <v>47</v>
      </c>
      <c r="CS71" s="53">
        <v>53</v>
      </c>
      <c r="CT71" s="53">
        <v>40</v>
      </c>
      <c r="CU71" s="88">
        <v>3.5</v>
      </c>
      <c r="CV71" s="88">
        <v>4.5</v>
      </c>
      <c r="CW71" s="88">
        <v>5.0999999999999996</v>
      </c>
      <c r="CX71" s="88">
        <v>4.3</v>
      </c>
      <c r="CY71" s="51">
        <v>79</v>
      </c>
      <c r="CZ71" s="53">
        <v>77</v>
      </c>
      <c r="DA71" s="53">
        <v>70</v>
      </c>
      <c r="DB71" s="53">
        <v>64</v>
      </c>
      <c r="DC71" s="88">
        <v>6.4</v>
      </c>
      <c r="DD71" s="88">
        <v>7.7</v>
      </c>
      <c r="DE71" s="88">
        <v>7.3</v>
      </c>
      <c r="DF71" s="88">
        <v>7.6</v>
      </c>
      <c r="DG71" s="88">
        <v>83.8</v>
      </c>
      <c r="DH71" s="88">
        <v>84.2</v>
      </c>
      <c r="DI71" s="88">
        <v>84.5</v>
      </c>
      <c r="DJ71" s="88">
        <v>84.6</v>
      </c>
      <c r="DK71" s="88">
        <v>15.6</v>
      </c>
      <c r="DL71" s="88">
        <v>17.3</v>
      </c>
      <c r="DM71" s="88">
        <v>15.1</v>
      </c>
      <c r="DN71" s="88">
        <v>17.019027484143763</v>
      </c>
      <c r="DO71" s="88">
        <v>22.1</v>
      </c>
      <c r="DP71" s="88">
        <v>25.2</v>
      </c>
      <c r="DQ71" s="88">
        <v>30.6</v>
      </c>
      <c r="DR71" s="88">
        <v>35.299999999999997</v>
      </c>
      <c r="DS71" s="88">
        <v>52.207293666026871</v>
      </c>
      <c r="DT71" s="88">
        <v>31.25</v>
      </c>
      <c r="DU71" s="88">
        <v>29.488859764089121</v>
      </c>
      <c r="DV71" s="88">
        <v>23.23008849557522</v>
      </c>
      <c r="DW71" s="54">
        <v>163</v>
      </c>
      <c r="DX71" s="54">
        <v>1</v>
      </c>
      <c r="DY71" s="51">
        <v>3</v>
      </c>
      <c r="DZ71" s="53">
        <v>7</v>
      </c>
      <c r="EA71" s="53">
        <v>2</v>
      </c>
      <c r="EB71" s="53">
        <v>7</v>
      </c>
      <c r="EC71" s="53">
        <v>9</v>
      </c>
      <c r="ED71" s="51">
        <v>6</v>
      </c>
      <c r="EE71" s="53">
        <v>4</v>
      </c>
      <c r="EF71" s="53">
        <v>689</v>
      </c>
      <c r="EG71" s="53">
        <v>670</v>
      </c>
      <c r="EH71" s="53">
        <v>675</v>
      </c>
      <c r="EI71" s="53">
        <v>647</v>
      </c>
      <c r="EJ71" s="92">
        <v>118</v>
      </c>
      <c r="EK71" s="92">
        <v>0</v>
      </c>
      <c r="EL71" s="92">
        <v>0</v>
      </c>
      <c r="EM71" s="92">
        <v>2</v>
      </c>
      <c r="EN71" s="92">
        <v>1</v>
      </c>
      <c r="EO71" s="88">
        <v>864.87165003451958</v>
      </c>
      <c r="EP71" s="88">
        <v>827.04817864240658</v>
      </c>
      <c r="EQ71" s="88">
        <v>830.58522419648568</v>
      </c>
      <c r="ER71" s="88">
        <v>837.23885932163</v>
      </c>
      <c r="ES71" s="88">
        <v>822.7</v>
      </c>
      <c r="ET71" s="88">
        <v>758.9</v>
      </c>
      <c r="EU71" s="88">
        <v>733.6</v>
      </c>
      <c r="EV71" s="88">
        <v>686.4</v>
      </c>
      <c r="EW71" s="88">
        <v>979.66660025224292</v>
      </c>
      <c r="EX71" s="88">
        <v>922.26223125241768</v>
      </c>
      <c r="EY71" s="88">
        <v>922.43061698819588</v>
      </c>
      <c r="EZ71" s="88">
        <v>830.7620801734206</v>
      </c>
      <c r="FA71" s="88">
        <v>672.04647253868188</v>
      </c>
      <c r="FB71" s="88">
        <v>614.60655522019874</v>
      </c>
      <c r="FC71" s="88">
        <v>573.84869569416674</v>
      </c>
      <c r="FD71" s="88">
        <v>555.66898934389133</v>
      </c>
      <c r="FE71" s="51">
        <v>155</v>
      </c>
      <c r="FF71" s="54">
        <v>152</v>
      </c>
      <c r="FG71" s="54">
        <v>154</v>
      </c>
      <c r="FH71" s="54">
        <v>141</v>
      </c>
      <c r="FI71" s="88">
        <v>187.1225</v>
      </c>
      <c r="FJ71" s="88">
        <v>181.8092</v>
      </c>
      <c r="FK71" s="88">
        <v>179.35939999999999</v>
      </c>
      <c r="FL71" s="88">
        <v>152.50460000000001</v>
      </c>
      <c r="FM71" s="54">
        <v>195</v>
      </c>
      <c r="FN71" s="54">
        <v>226</v>
      </c>
      <c r="FO71" s="51">
        <v>177</v>
      </c>
      <c r="FP71" s="54">
        <v>151</v>
      </c>
      <c r="FQ71" s="88">
        <v>233.48609999999999</v>
      </c>
      <c r="FR71" s="88">
        <v>252.38659999999999</v>
      </c>
      <c r="FS71" s="88">
        <v>183.9014</v>
      </c>
      <c r="FT71" s="88">
        <v>158.6934</v>
      </c>
      <c r="FU71" s="53">
        <v>57</v>
      </c>
      <c r="FV71" s="53">
        <v>49</v>
      </c>
      <c r="FW71" s="53">
        <v>44</v>
      </c>
      <c r="FX71" s="53">
        <v>41</v>
      </c>
      <c r="FY71" s="88">
        <v>65.325490000000002</v>
      </c>
      <c r="FZ71" s="88">
        <v>52.278959999999998</v>
      </c>
      <c r="GA71" s="88">
        <v>45.909410000000001</v>
      </c>
      <c r="GB71" s="88">
        <v>41.459519999999998</v>
      </c>
      <c r="GC71" s="55">
        <v>47</v>
      </c>
      <c r="GD71" s="56">
        <v>31</v>
      </c>
      <c r="GE71" s="55">
        <v>38</v>
      </c>
      <c r="GF71" s="55">
        <v>31</v>
      </c>
      <c r="GG71" s="91">
        <v>59.061729999999997</v>
      </c>
      <c r="GH71" s="91">
        <v>37.164189999999998</v>
      </c>
      <c r="GI71" s="91">
        <v>43.020769999999999</v>
      </c>
      <c r="GJ71" s="91">
        <v>34.389130000000002</v>
      </c>
      <c r="GK71" s="55"/>
      <c r="GL71" s="55"/>
      <c r="GM71" s="55"/>
      <c r="GN71" s="56"/>
      <c r="GO71" s="55"/>
      <c r="GP71" s="55"/>
      <c r="GQ71" s="55"/>
      <c r="GR71" s="55"/>
      <c r="GS71" s="56"/>
      <c r="GT71" s="55"/>
      <c r="GU71" s="55"/>
      <c r="GV71" s="55"/>
      <c r="GW71" s="55"/>
      <c r="GX71" s="56"/>
      <c r="GY71" s="56"/>
      <c r="GZ71" s="56"/>
      <c r="HA71" s="56"/>
      <c r="HB71" s="56"/>
      <c r="HC71" s="56"/>
      <c r="HD71" s="57"/>
      <c r="HE71" s="57"/>
      <c r="HF71" s="57"/>
      <c r="HG71" s="57"/>
      <c r="HH71" s="57"/>
      <c r="HI71" s="58"/>
      <c r="HJ71" s="58"/>
      <c r="HK71" s="55"/>
      <c r="HL71" s="56"/>
      <c r="HM71" s="56"/>
      <c r="HN71" s="56"/>
      <c r="HO71" s="56"/>
      <c r="HP71" s="56"/>
      <c r="HQ71" s="56"/>
      <c r="HR71" s="56"/>
      <c r="HS71" s="56"/>
      <c r="HT71" s="56"/>
      <c r="HU71" s="38"/>
    </row>
    <row r="72" spans="1:229" x14ac:dyDescent="0.2">
      <c r="A72" s="36">
        <v>69</v>
      </c>
      <c r="B72" s="70" t="s">
        <v>125</v>
      </c>
      <c r="C72" s="77">
        <v>196864</v>
      </c>
      <c r="D72" s="77">
        <v>197767</v>
      </c>
      <c r="E72" s="77">
        <v>200226</v>
      </c>
      <c r="F72" s="77">
        <v>200255</v>
      </c>
      <c r="G72" s="150">
        <v>200319</v>
      </c>
      <c r="H72" s="41">
        <v>186383</v>
      </c>
      <c r="I72" s="41">
        <v>2921</v>
      </c>
      <c r="J72" s="41">
        <v>4601</v>
      </c>
      <c r="K72" s="41">
        <v>1979</v>
      </c>
      <c r="L72" s="41">
        <v>2660</v>
      </c>
      <c r="M72" s="42">
        <v>84553</v>
      </c>
      <c r="N72" s="43">
        <v>84657</v>
      </c>
      <c r="O72" s="43">
        <v>84783</v>
      </c>
      <c r="P72" s="44">
        <v>84993</v>
      </c>
      <c r="Q72" s="44">
        <v>85098</v>
      </c>
      <c r="R72" s="87">
        <v>23.019097776754343</v>
      </c>
      <c r="S72" s="87">
        <v>23.708426009268834</v>
      </c>
      <c r="T72" s="87">
        <v>23.383457541414945</v>
      </c>
      <c r="U72" s="87">
        <v>23.531960201196902</v>
      </c>
      <c r="V72" s="87">
        <v>24.326681448632669</v>
      </c>
      <c r="W72" s="87">
        <v>23.214458153510172</v>
      </c>
      <c r="X72" s="87">
        <v>23.407895617761049</v>
      </c>
      <c r="Y72" s="87">
        <v>23.774455762814011</v>
      </c>
      <c r="Z72" s="87">
        <v>23.514337114953921</v>
      </c>
      <c r="AA72" s="42">
        <v>23.728750923872877</v>
      </c>
      <c r="AB72" s="87">
        <v>46.233555930264515</v>
      </c>
      <c r="AC72" s="87">
        <v>47.116321627029883</v>
      </c>
      <c r="AD72" s="87">
        <v>47.157913304228956</v>
      </c>
      <c r="AE72" s="87">
        <v>47.046297316150827</v>
      </c>
      <c r="AF72" s="87">
        <v>48.055432372505543</v>
      </c>
      <c r="AG72" s="44">
        <v>6.277423785722462</v>
      </c>
      <c r="AH72" s="44">
        <v>9.4989197195988346</v>
      </c>
      <c r="AI72" s="44">
        <v>7.9291835389396361</v>
      </c>
      <c r="AJ72" s="43">
        <v>7.3589579970721823</v>
      </c>
      <c r="AK72" s="43">
        <v>6.6597474485383152</v>
      </c>
      <c r="AL72" s="47">
        <v>7562.75</v>
      </c>
      <c r="AM72" s="47">
        <v>9437.6666666666661</v>
      </c>
      <c r="AN72" s="47">
        <v>7562.75</v>
      </c>
      <c r="AO72" s="47">
        <v>12565.333333333334</v>
      </c>
      <c r="AP72" s="47">
        <v>13073.166666666666</v>
      </c>
      <c r="AQ72" s="47">
        <v>38665.641230294779</v>
      </c>
      <c r="AR72" s="47">
        <v>37807.053242775721</v>
      </c>
      <c r="AS72" s="47">
        <v>38350.897612103254</v>
      </c>
      <c r="AT72" s="47">
        <v>39725.386764782503</v>
      </c>
      <c r="AU72" s="47">
        <v>39976.138059794626</v>
      </c>
      <c r="AV72" s="84">
        <v>46871.534824033632</v>
      </c>
      <c r="AW72" s="85">
        <v>46482.554477107478</v>
      </c>
      <c r="AX72" s="85">
        <v>44314.439119643182</v>
      </c>
      <c r="AY72" s="85">
        <v>45395.079794180441</v>
      </c>
      <c r="AZ72" s="85">
        <v>46601</v>
      </c>
      <c r="BA72" s="83">
        <v>14.392523364485982</v>
      </c>
      <c r="BB72" s="83">
        <v>16.415768697322097</v>
      </c>
      <c r="BC72" s="83">
        <v>17.359595338685057</v>
      </c>
      <c r="BD72" s="83">
        <v>17.523862091949116</v>
      </c>
      <c r="BE72" s="83">
        <v>15.16756503398172</v>
      </c>
      <c r="BF72" s="83">
        <v>14.544344455947545</v>
      </c>
      <c r="BG72" s="46">
        <v>18.151569196369152</v>
      </c>
      <c r="BH72" s="46">
        <v>21.597787518263409</v>
      </c>
      <c r="BI72" s="46">
        <v>21.279580708348774</v>
      </c>
      <c r="BJ72" s="46">
        <v>17.748309242805995</v>
      </c>
      <c r="BK72" s="42">
        <v>25506</v>
      </c>
      <c r="BL72" s="42">
        <v>25167</v>
      </c>
      <c r="BM72" s="40">
        <v>25150</v>
      </c>
      <c r="BN72" s="40">
        <v>25100</v>
      </c>
      <c r="BO72" s="43">
        <v>39.857288481141694</v>
      </c>
      <c r="BP72" s="43">
        <v>40.863034926689714</v>
      </c>
      <c r="BQ72" s="44">
        <v>42.190854870775347</v>
      </c>
      <c r="BR72" s="44">
        <v>42.17529880478088</v>
      </c>
      <c r="BS72" s="87">
        <v>0.2077942444914922</v>
      </c>
      <c r="BT72" s="87">
        <v>0.15099137759764772</v>
      </c>
      <c r="BU72" s="87">
        <v>0.15904572564612326</v>
      </c>
      <c r="BV72" s="87">
        <v>0.1752988047808765</v>
      </c>
      <c r="BW72" s="43">
        <v>16.36085626911315</v>
      </c>
      <c r="BX72" s="43">
        <v>16.438192871617595</v>
      </c>
      <c r="BY72" s="43">
        <v>16.652087475149106</v>
      </c>
      <c r="BZ72" s="43">
        <v>16.354581673306772</v>
      </c>
      <c r="CA72" s="42">
        <v>77.297990594271056</v>
      </c>
      <c r="CB72" s="42">
        <v>76.288209606986896</v>
      </c>
      <c r="CC72" s="42">
        <v>76.73</v>
      </c>
      <c r="CD72" s="44">
        <v>78.17</v>
      </c>
      <c r="CE72" s="43">
        <v>7.3535699016673792</v>
      </c>
      <c r="CF72" s="43">
        <v>6.5938864628820957</v>
      </c>
      <c r="CG72" s="43">
        <v>7.07</v>
      </c>
      <c r="CH72" s="44">
        <v>7.01</v>
      </c>
      <c r="CI72" s="49">
        <v>10213</v>
      </c>
      <c r="CJ72" s="49">
        <v>10057</v>
      </c>
      <c r="CK72" s="54">
        <v>10623</v>
      </c>
      <c r="CL72" s="54">
        <v>10500</v>
      </c>
      <c r="CM72" s="88">
        <v>10.4</v>
      </c>
      <c r="CN72" s="88">
        <v>10.199999999999999</v>
      </c>
      <c r="CO72" s="88">
        <v>10.8</v>
      </c>
      <c r="CP72" s="88">
        <v>10.5</v>
      </c>
      <c r="CQ72" s="53">
        <v>425</v>
      </c>
      <c r="CR72" s="53">
        <v>465</v>
      </c>
      <c r="CS72" s="53">
        <v>480</v>
      </c>
      <c r="CT72" s="53">
        <v>460</v>
      </c>
      <c r="CU72" s="88">
        <v>4.3</v>
      </c>
      <c r="CV72" s="88">
        <v>4.8</v>
      </c>
      <c r="CW72" s="88">
        <v>4.7</v>
      </c>
      <c r="CX72" s="88">
        <v>4.5</v>
      </c>
      <c r="CY72" s="51">
        <v>695</v>
      </c>
      <c r="CZ72" s="53">
        <v>765</v>
      </c>
      <c r="DA72" s="53">
        <v>968</v>
      </c>
      <c r="DB72" s="53">
        <v>787</v>
      </c>
      <c r="DC72" s="88">
        <v>7.4</v>
      </c>
      <c r="DD72" s="88">
        <v>8.5</v>
      </c>
      <c r="DE72" s="88">
        <v>9.6999999999999993</v>
      </c>
      <c r="DF72" s="88">
        <v>8.1999999999999993</v>
      </c>
      <c r="DG72" s="88">
        <v>88.1</v>
      </c>
      <c r="DH72" s="88">
        <v>87.6</v>
      </c>
      <c r="DI72" s="88">
        <v>88.5</v>
      </c>
      <c r="DJ72" s="88">
        <v>88.1</v>
      </c>
      <c r="DK72" s="88">
        <v>22.4</v>
      </c>
      <c r="DL72" s="88">
        <v>22</v>
      </c>
      <c r="DM72" s="88">
        <v>22.6</v>
      </c>
      <c r="DN72" s="88">
        <v>19.94745548311764</v>
      </c>
      <c r="DO72" s="88">
        <v>30.9</v>
      </c>
      <c r="DP72" s="88">
        <v>34.1</v>
      </c>
      <c r="DQ72" s="88">
        <v>39.5</v>
      </c>
      <c r="DR72" s="88">
        <v>40.6</v>
      </c>
      <c r="DS72" s="88">
        <v>29.599121361889072</v>
      </c>
      <c r="DT72" s="88">
        <v>25.412701247671777</v>
      </c>
      <c r="DU72" s="88">
        <v>23.728126820127123</v>
      </c>
      <c r="DV72" s="88">
        <v>18.920775857512815</v>
      </c>
      <c r="DW72" s="54">
        <v>1892</v>
      </c>
      <c r="DX72" s="54">
        <v>60</v>
      </c>
      <c r="DY72" s="51">
        <v>86</v>
      </c>
      <c r="DZ72" s="53">
        <v>31</v>
      </c>
      <c r="EA72" s="53">
        <v>37</v>
      </c>
      <c r="EB72" s="53">
        <v>78</v>
      </c>
      <c r="EC72" s="53">
        <v>61</v>
      </c>
      <c r="ED72" s="51">
        <v>55</v>
      </c>
      <c r="EE72" s="53">
        <v>46</v>
      </c>
      <c r="EF72" s="53">
        <v>11035</v>
      </c>
      <c r="EG72" s="53">
        <v>11003</v>
      </c>
      <c r="EH72" s="53">
        <v>10446</v>
      </c>
      <c r="EI72" s="53">
        <v>10409</v>
      </c>
      <c r="EJ72" s="92">
        <v>2088</v>
      </c>
      <c r="EK72" s="92">
        <v>20</v>
      </c>
      <c r="EL72" s="92">
        <v>43</v>
      </c>
      <c r="EM72" s="92">
        <v>2</v>
      </c>
      <c r="EN72" s="92">
        <v>2</v>
      </c>
      <c r="EO72" s="88">
        <v>1120.6310874335975</v>
      </c>
      <c r="EP72" s="88">
        <v>1113.2876132967194</v>
      </c>
      <c r="EQ72" s="88">
        <v>1058.4927169094362</v>
      </c>
      <c r="ER72" s="88">
        <v>1037.8412097918281</v>
      </c>
      <c r="ES72" s="88">
        <v>901.8</v>
      </c>
      <c r="ET72" s="88">
        <v>861.6</v>
      </c>
      <c r="EU72" s="88">
        <v>781.1</v>
      </c>
      <c r="EV72" s="88">
        <v>765.8</v>
      </c>
      <c r="EW72" s="88">
        <v>1141.8961114246117</v>
      </c>
      <c r="EX72" s="88">
        <v>1052.9979159163361</v>
      </c>
      <c r="EY72" s="88">
        <v>936.87968798711142</v>
      </c>
      <c r="EZ72" s="88">
        <v>917.61106645650807</v>
      </c>
      <c r="FA72" s="88">
        <v>738.55250661469245</v>
      </c>
      <c r="FB72" s="88">
        <v>716.23487784683914</v>
      </c>
      <c r="FC72" s="88">
        <v>663.23120546605992</v>
      </c>
      <c r="FD72" s="88">
        <v>644.60974176622426</v>
      </c>
      <c r="FE72" s="51">
        <v>2437</v>
      </c>
      <c r="FF72" s="54">
        <v>2491</v>
      </c>
      <c r="FG72" s="54">
        <v>2477</v>
      </c>
      <c r="FH72" s="54">
        <v>2465</v>
      </c>
      <c r="FI72" s="88">
        <v>200.10570000000001</v>
      </c>
      <c r="FJ72" s="88">
        <v>200.4735</v>
      </c>
      <c r="FK72" s="88">
        <v>194.32830000000001</v>
      </c>
      <c r="FL72" s="88">
        <v>187.32249999999999</v>
      </c>
      <c r="FM72" s="54">
        <v>3363</v>
      </c>
      <c r="FN72" s="54">
        <v>2875</v>
      </c>
      <c r="FO72" s="51">
        <v>2562</v>
      </c>
      <c r="FP72" s="54">
        <v>2230</v>
      </c>
      <c r="FQ72" s="88">
        <v>269.14150000000001</v>
      </c>
      <c r="FR72" s="88">
        <v>219.15450000000001</v>
      </c>
      <c r="FS72" s="88">
        <v>181.9211</v>
      </c>
      <c r="FT72" s="88">
        <v>158.16079999999999</v>
      </c>
      <c r="FU72" s="53">
        <v>876</v>
      </c>
      <c r="FV72" s="53">
        <v>783</v>
      </c>
      <c r="FW72" s="53">
        <v>602</v>
      </c>
      <c r="FX72" s="53">
        <v>473</v>
      </c>
      <c r="FY72" s="88">
        <v>69.131469999999993</v>
      </c>
      <c r="FZ72" s="88">
        <v>57.781129999999997</v>
      </c>
      <c r="GA72" s="88">
        <v>42.217840000000002</v>
      </c>
      <c r="GB72" s="88">
        <v>32.516669999999998</v>
      </c>
      <c r="GC72" s="55">
        <v>407</v>
      </c>
      <c r="GD72" s="56">
        <v>470</v>
      </c>
      <c r="GE72" s="55">
        <v>478</v>
      </c>
      <c r="GF72" s="55">
        <v>522</v>
      </c>
      <c r="GG72" s="91">
        <v>37.629399999999997</v>
      </c>
      <c r="GH72" s="91">
        <v>41.149149999999999</v>
      </c>
      <c r="GI72" s="91">
        <v>41.665329999999997</v>
      </c>
      <c r="GJ72" s="91">
        <v>43.59498</v>
      </c>
      <c r="GK72" s="55"/>
      <c r="GL72" s="55"/>
      <c r="GM72" s="55"/>
      <c r="GN72" s="56"/>
      <c r="GO72" s="55"/>
      <c r="GP72" s="55"/>
      <c r="GQ72" s="55"/>
      <c r="GR72" s="55"/>
      <c r="GS72" s="56"/>
      <c r="GT72" s="55"/>
      <c r="GU72" s="55"/>
      <c r="GV72" s="55"/>
      <c r="GW72" s="55"/>
      <c r="GX72" s="56"/>
      <c r="GY72" s="56"/>
      <c r="GZ72" s="56"/>
      <c r="HA72" s="56"/>
      <c r="HB72" s="56"/>
      <c r="HC72" s="56"/>
      <c r="HD72" s="57"/>
      <c r="HE72" s="57"/>
      <c r="HF72" s="57"/>
      <c r="HG72" s="57"/>
      <c r="HH72" s="57"/>
      <c r="HI72" s="58"/>
      <c r="HJ72" s="58"/>
      <c r="HK72" s="55"/>
      <c r="HL72" s="56"/>
      <c r="HM72" s="56"/>
      <c r="HN72" s="56"/>
      <c r="HO72" s="56"/>
      <c r="HP72" s="56"/>
      <c r="HQ72" s="56"/>
      <c r="HR72" s="56"/>
      <c r="HS72" s="56"/>
      <c r="HT72" s="56"/>
      <c r="HU72" s="38"/>
    </row>
    <row r="73" spans="1:229" x14ac:dyDescent="0.2">
      <c r="A73" s="36">
        <v>70</v>
      </c>
      <c r="B73" s="70" t="s">
        <v>126</v>
      </c>
      <c r="C73" s="77">
        <v>128937</v>
      </c>
      <c r="D73" s="77">
        <v>131939</v>
      </c>
      <c r="E73" s="77">
        <v>129928</v>
      </c>
      <c r="F73" s="77">
        <v>132556</v>
      </c>
      <c r="G73" s="150">
        <v>135152</v>
      </c>
      <c r="H73" s="41">
        <v>118793</v>
      </c>
      <c r="I73" s="41">
        <v>4135</v>
      </c>
      <c r="J73" s="41">
        <v>1299</v>
      </c>
      <c r="K73" s="41">
        <v>8247</v>
      </c>
      <c r="L73" s="41">
        <v>6251</v>
      </c>
      <c r="M73" s="42">
        <v>44645</v>
      </c>
      <c r="N73" s="43">
        <v>45396</v>
      </c>
      <c r="O73" s="43">
        <v>45108</v>
      </c>
      <c r="P73" s="44">
        <v>45656</v>
      </c>
      <c r="Q73" s="44">
        <v>46140</v>
      </c>
      <c r="R73" s="87">
        <v>9.9151498563021754</v>
      </c>
      <c r="S73" s="87">
        <v>10.776087804334503</v>
      </c>
      <c r="T73" s="87">
        <v>11.537309650517198</v>
      </c>
      <c r="U73" s="87">
        <v>12.014341443615127</v>
      </c>
      <c r="V73" s="87">
        <v>12.667028307630993</v>
      </c>
      <c r="W73" s="87">
        <v>37.132201998084028</v>
      </c>
      <c r="X73" s="87">
        <v>36.23934481029584</v>
      </c>
      <c r="Y73" s="87">
        <v>38.125187181790956</v>
      </c>
      <c r="Z73" s="87">
        <v>37.438834644959073</v>
      </c>
      <c r="AA73" s="42">
        <v>36.954909276090739</v>
      </c>
      <c r="AB73" s="87">
        <v>47.047351854386207</v>
      </c>
      <c r="AC73" s="87">
        <v>47.015432614630342</v>
      </c>
      <c r="AD73" s="87">
        <v>49.66249683230815</v>
      </c>
      <c r="AE73" s="87">
        <v>49.453176088574196</v>
      </c>
      <c r="AF73" s="87">
        <v>49.621937583721731</v>
      </c>
      <c r="AG73" s="44">
        <v>4.9242271978132415</v>
      </c>
      <c r="AH73" s="44">
        <v>7.5619070429656832</v>
      </c>
      <c r="AI73" s="44">
        <v>6.9648833873452691</v>
      </c>
      <c r="AJ73" s="43">
        <v>5.9929416759539356</v>
      </c>
      <c r="AK73" s="43">
        <v>5.2221096416382249</v>
      </c>
      <c r="AL73" s="47">
        <v>1179.0833333333333</v>
      </c>
      <c r="AM73" s="47">
        <v>1574.0833333333333</v>
      </c>
      <c r="AN73" s="47">
        <v>1179.0833333333333</v>
      </c>
      <c r="AO73" s="47">
        <v>2476.5833333333335</v>
      </c>
      <c r="AP73" s="47">
        <v>2634.8333333333335</v>
      </c>
      <c r="AQ73" s="47">
        <v>44864.157351438647</v>
      </c>
      <c r="AR73" s="47">
        <v>43842.404256364644</v>
      </c>
      <c r="AS73" s="47">
        <v>45161.335886102068</v>
      </c>
      <c r="AT73" s="47">
        <v>46975.006450330991</v>
      </c>
      <c r="AU73" s="47">
        <v>47230.47383686516</v>
      </c>
      <c r="AV73" s="84">
        <v>86200.585100349417</v>
      </c>
      <c r="AW73" s="85">
        <v>90032.793273704883</v>
      </c>
      <c r="AX73" s="85">
        <v>82451.369404849451</v>
      </c>
      <c r="AY73" s="85">
        <v>83273.816303271626</v>
      </c>
      <c r="AZ73" s="85">
        <v>86324</v>
      </c>
      <c r="BA73" s="83">
        <v>4.3504493844960388</v>
      </c>
      <c r="BB73" s="83">
        <v>4.8460276828277564</v>
      </c>
      <c r="BC73" s="83">
        <v>5.0515775523331961</v>
      </c>
      <c r="BD73" s="83">
        <v>5.7679102769512474</v>
      </c>
      <c r="BE73" s="83">
        <v>5.3306912924813998</v>
      </c>
      <c r="BF73" s="83">
        <v>5.1438489454583705</v>
      </c>
      <c r="BG73" s="46">
        <v>5.8888596260205421</v>
      </c>
      <c r="BH73" s="46">
        <v>6.1661923441786533</v>
      </c>
      <c r="BI73" s="46">
        <v>7.1293165283328213</v>
      </c>
      <c r="BJ73" s="46">
        <v>6.5259459184193105</v>
      </c>
      <c r="BK73" s="42">
        <v>21202</v>
      </c>
      <c r="BL73" s="42">
        <v>21751</v>
      </c>
      <c r="BM73" s="40">
        <v>22330</v>
      </c>
      <c r="BN73" s="40">
        <v>22849</v>
      </c>
      <c r="BO73" s="43">
        <v>19.163286482407319</v>
      </c>
      <c r="BP73" s="43">
        <v>20.109420256539931</v>
      </c>
      <c r="BQ73" s="44">
        <v>21.692789968652036</v>
      </c>
      <c r="BR73" s="44">
        <v>22.600551446452798</v>
      </c>
      <c r="BS73" s="87">
        <v>5.8626544665597589</v>
      </c>
      <c r="BT73" s="87">
        <v>5.751459703002161</v>
      </c>
      <c r="BU73" s="87">
        <v>5.5396327810120916</v>
      </c>
      <c r="BV73" s="87">
        <v>5.9652501203553765</v>
      </c>
      <c r="BW73" s="43">
        <v>13.442128101122536</v>
      </c>
      <c r="BX73" s="43">
        <v>13.512022435750081</v>
      </c>
      <c r="BY73" s="43">
        <v>13.300492610837438</v>
      </c>
      <c r="BZ73" s="43">
        <v>13.492931856974048</v>
      </c>
      <c r="CA73" s="42">
        <v>83.197278911564624</v>
      </c>
      <c r="CB73" s="42">
        <v>86.653386454183263</v>
      </c>
      <c r="CC73" s="42">
        <v>86.08</v>
      </c>
      <c r="CD73" s="44">
        <v>84.92</v>
      </c>
      <c r="CE73" s="43">
        <v>3.8775510204081631</v>
      </c>
      <c r="CF73" s="43">
        <v>3.5192563081009296</v>
      </c>
      <c r="CG73" s="43">
        <v>4.16</v>
      </c>
      <c r="CH73" s="44">
        <v>4.13</v>
      </c>
      <c r="CI73" s="49">
        <v>6470</v>
      </c>
      <c r="CJ73" s="49">
        <v>8440</v>
      </c>
      <c r="CK73" s="54">
        <v>10634</v>
      </c>
      <c r="CL73" s="54">
        <v>9857</v>
      </c>
      <c r="CM73" s="88">
        <v>18.399999999999999</v>
      </c>
      <c r="CN73" s="88">
        <v>18.600000000000001</v>
      </c>
      <c r="CO73" s="88">
        <v>17.899999999999999</v>
      </c>
      <c r="CP73" s="88">
        <v>15</v>
      </c>
      <c r="CQ73" s="53">
        <v>228</v>
      </c>
      <c r="CR73" s="53">
        <v>261</v>
      </c>
      <c r="CS73" s="53">
        <v>429</v>
      </c>
      <c r="CT73" s="53">
        <v>380</v>
      </c>
      <c r="CU73" s="88">
        <v>3.6</v>
      </c>
      <c r="CV73" s="88">
        <v>3.2</v>
      </c>
      <c r="CW73" s="88">
        <v>4.2</v>
      </c>
      <c r="CX73" s="88">
        <v>4</v>
      </c>
      <c r="CY73" s="51">
        <v>418</v>
      </c>
      <c r="CZ73" s="53">
        <v>481</v>
      </c>
      <c r="DA73" s="53">
        <v>735</v>
      </c>
      <c r="DB73" s="53">
        <v>638</v>
      </c>
      <c r="DC73" s="88">
        <v>7.3</v>
      </c>
      <c r="DD73" s="88">
        <v>6.6</v>
      </c>
      <c r="DE73" s="88">
        <v>7.8</v>
      </c>
      <c r="DF73" s="88">
        <v>7.1</v>
      </c>
      <c r="DG73" s="88">
        <v>86.2</v>
      </c>
      <c r="DH73" s="88">
        <v>87.8</v>
      </c>
      <c r="DI73" s="88">
        <v>89.7</v>
      </c>
      <c r="DJ73" s="88">
        <v>88.4</v>
      </c>
      <c r="DK73" s="88">
        <v>8.6999999999999993</v>
      </c>
      <c r="DL73" s="88">
        <v>5.2</v>
      </c>
      <c r="DM73" s="88">
        <v>3.8</v>
      </c>
      <c r="DN73" s="88">
        <v>5.4669000308864408</v>
      </c>
      <c r="DO73" s="88">
        <v>13.7</v>
      </c>
      <c r="DP73" s="88">
        <v>12.9</v>
      </c>
      <c r="DQ73" s="88">
        <v>16.7</v>
      </c>
      <c r="DR73" s="88">
        <v>20.2</v>
      </c>
      <c r="DS73" s="88">
        <v>22.434565849605317</v>
      </c>
      <c r="DT73" s="88">
        <v>20.565552699228792</v>
      </c>
      <c r="DU73" s="88">
        <v>18.703898840885142</v>
      </c>
      <c r="DV73" s="88">
        <v>13.962176044828391</v>
      </c>
      <c r="DW73" s="54">
        <v>1684</v>
      </c>
      <c r="DX73" s="54">
        <v>84</v>
      </c>
      <c r="DY73" s="51">
        <v>17</v>
      </c>
      <c r="DZ73" s="53">
        <v>167</v>
      </c>
      <c r="EA73" s="53">
        <v>101</v>
      </c>
      <c r="EB73" s="53">
        <v>40</v>
      </c>
      <c r="EC73" s="53">
        <v>22</v>
      </c>
      <c r="ED73" s="51">
        <v>35</v>
      </c>
      <c r="EE73" s="53">
        <v>47</v>
      </c>
      <c r="EF73" s="53">
        <v>1675</v>
      </c>
      <c r="EG73" s="53">
        <v>1948</v>
      </c>
      <c r="EH73" s="53">
        <v>2294</v>
      </c>
      <c r="EI73" s="53">
        <v>2683</v>
      </c>
      <c r="EJ73" s="92">
        <v>526</v>
      </c>
      <c r="EK73" s="92">
        <v>8</v>
      </c>
      <c r="EL73" s="92">
        <v>3</v>
      </c>
      <c r="EM73" s="92">
        <v>7</v>
      </c>
      <c r="EN73" s="92">
        <v>0</v>
      </c>
      <c r="EO73" s="88">
        <v>476.14174526558759</v>
      </c>
      <c r="EP73" s="88">
        <v>430.33651520205711</v>
      </c>
      <c r="EQ73" s="88">
        <v>386.24015247562426</v>
      </c>
      <c r="ER73" s="88">
        <v>408.51421583613575</v>
      </c>
      <c r="ES73" s="88">
        <v>743.3</v>
      </c>
      <c r="ET73" s="88">
        <v>759.8</v>
      </c>
      <c r="EU73" s="88">
        <v>699.8</v>
      </c>
      <c r="EV73" s="88">
        <v>621.6</v>
      </c>
      <c r="EW73" s="88">
        <v>952.60916463046101</v>
      </c>
      <c r="EX73" s="88">
        <v>935.51091914182689</v>
      </c>
      <c r="EY73" s="88">
        <v>832.64022841317455</v>
      </c>
      <c r="EZ73" s="88">
        <v>722.59193405755445</v>
      </c>
      <c r="FA73" s="88">
        <v>589.29242648706906</v>
      </c>
      <c r="FB73" s="88">
        <v>637.71186016029515</v>
      </c>
      <c r="FC73" s="88">
        <v>599.79665905668617</v>
      </c>
      <c r="FD73" s="88">
        <v>541.53846856701955</v>
      </c>
      <c r="FE73" s="51">
        <v>402</v>
      </c>
      <c r="FF73" s="54">
        <v>492</v>
      </c>
      <c r="FG73" s="54">
        <v>649</v>
      </c>
      <c r="FH73" s="54">
        <v>747</v>
      </c>
      <c r="FI73" s="88">
        <v>177.5564</v>
      </c>
      <c r="FJ73" s="88">
        <v>181.89269999999999</v>
      </c>
      <c r="FK73" s="88">
        <v>186.5744</v>
      </c>
      <c r="FL73" s="88">
        <v>166.00790000000001</v>
      </c>
      <c r="FM73" s="54">
        <v>448</v>
      </c>
      <c r="FN73" s="54">
        <v>426</v>
      </c>
      <c r="FO73" s="51">
        <v>453</v>
      </c>
      <c r="FP73" s="54">
        <v>472</v>
      </c>
      <c r="FQ73" s="88">
        <v>209.48159999999999</v>
      </c>
      <c r="FR73" s="88">
        <v>174.56110000000001</v>
      </c>
      <c r="FS73" s="88">
        <v>148.8434</v>
      </c>
      <c r="FT73" s="88">
        <v>115.6122</v>
      </c>
      <c r="FU73" s="53">
        <v>134</v>
      </c>
      <c r="FV73" s="53">
        <v>171</v>
      </c>
      <c r="FW73" s="53">
        <v>137</v>
      </c>
      <c r="FX73" s="53">
        <v>123</v>
      </c>
      <c r="FY73" s="88">
        <v>63.394030000000001</v>
      </c>
      <c r="FZ73" s="88">
        <v>74.765460000000004</v>
      </c>
      <c r="GA73" s="88">
        <v>47.404150000000001</v>
      </c>
      <c r="GB73" s="88">
        <v>32.126829999999998</v>
      </c>
      <c r="GC73" s="55">
        <v>102</v>
      </c>
      <c r="GD73" s="56">
        <v>122</v>
      </c>
      <c r="GE73" s="55">
        <v>134</v>
      </c>
      <c r="GF73" s="55">
        <v>195</v>
      </c>
      <c r="GG73" s="91">
        <v>38.030270000000002</v>
      </c>
      <c r="GH73" s="91">
        <v>37.855820000000001</v>
      </c>
      <c r="GI73" s="91">
        <v>31.093240000000002</v>
      </c>
      <c r="GJ73" s="91">
        <v>38.96828</v>
      </c>
      <c r="GK73" s="55"/>
      <c r="GL73" s="55"/>
      <c r="GM73" s="55"/>
      <c r="GN73" s="56"/>
      <c r="GO73" s="55"/>
      <c r="GP73" s="55"/>
      <c r="GQ73" s="55"/>
      <c r="GR73" s="55"/>
      <c r="GS73" s="56"/>
      <c r="GT73" s="55"/>
      <c r="GU73" s="55"/>
      <c r="GV73" s="55"/>
      <c r="GW73" s="55"/>
      <c r="GX73" s="56"/>
      <c r="GY73" s="56"/>
      <c r="GZ73" s="56"/>
      <c r="HA73" s="56"/>
      <c r="HB73" s="56"/>
      <c r="HC73" s="56"/>
      <c r="HD73" s="57"/>
      <c r="HE73" s="57"/>
      <c r="HF73" s="57"/>
      <c r="HG73" s="57"/>
      <c r="HH73" s="57"/>
      <c r="HI73" s="58"/>
      <c r="HJ73" s="58"/>
      <c r="HK73" s="55"/>
      <c r="HL73" s="56"/>
      <c r="HM73" s="56"/>
      <c r="HN73" s="56"/>
      <c r="HO73" s="56"/>
      <c r="HP73" s="56"/>
      <c r="HQ73" s="56"/>
      <c r="HR73" s="56"/>
      <c r="HS73" s="56"/>
      <c r="HT73" s="56"/>
      <c r="HU73" s="38"/>
    </row>
    <row r="74" spans="1:229" x14ac:dyDescent="0.2">
      <c r="A74" s="36">
        <v>71</v>
      </c>
      <c r="B74" s="70" t="s">
        <v>127</v>
      </c>
      <c r="C74" s="77">
        <v>87660</v>
      </c>
      <c r="D74" s="77">
        <v>87832</v>
      </c>
      <c r="E74" s="77">
        <v>88499</v>
      </c>
      <c r="F74" s="77">
        <v>89319</v>
      </c>
      <c r="G74" s="150">
        <v>89455</v>
      </c>
      <c r="H74" s="41">
        <v>84700</v>
      </c>
      <c r="I74" s="41">
        <v>1730</v>
      </c>
      <c r="J74" s="41">
        <v>479</v>
      </c>
      <c r="K74" s="41">
        <v>1144</v>
      </c>
      <c r="L74" s="41">
        <v>1982</v>
      </c>
      <c r="M74" s="42">
        <v>29837</v>
      </c>
      <c r="N74" s="43">
        <v>30054</v>
      </c>
      <c r="O74" s="43">
        <v>30212</v>
      </c>
      <c r="P74" s="44">
        <v>30439</v>
      </c>
      <c r="Q74" s="44">
        <v>30659</v>
      </c>
      <c r="R74" s="87">
        <v>10.955403511664331</v>
      </c>
      <c r="S74" s="87">
        <v>10.230657224171024</v>
      </c>
      <c r="T74" s="87">
        <v>12.251433553536099</v>
      </c>
      <c r="U74" s="87">
        <v>12.772234560944078</v>
      </c>
      <c r="V74" s="87">
        <v>13.678422512749805</v>
      </c>
      <c r="W74" s="87">
        <v>33.566894732503506</v>
      </c>
      <c r="X74" s="87">
        <v>35.099940432854588</v>
      </c>
      <c r="Y74" s="87">
        <v>36.132255792897624</v>
      </c>
      <c r="Z74" s="87">
        <v>35.268671064408132</v>
      </c>
      <c r="AA74" s="42">
        <v>34.925328504742758</v>
      </c>
      <c r="AB74" s="87">
        <v>44.522298244167835</v>
      </c>
      <c r="AC74" s="87">
        <v>45.330597657025614</v>
      </c>
      <c r="AD74" s="87">
        <v>48.383689346433719</v>
      </c>
      <c r="AE74" s="87">
        <v>48.04090562535221</v>
      </c>
      <c r="AF74" s="87">
        <v>48.603751017492563</v>
      </c>
      <c r="AG74" s="44">
        <v>6.1169144234632382</v>
      </c>
      <c r="AH74" s="44">
        <v>9.4323603137381742</v>
      </c>
      <c r="AI74" s="44">
        <v>8.4692533684530442</v>
      </c>
      <c r="AJ74" s="43">
        <v>7.2860447185813415</v>
      </c>
      <c r="AK74" s="43">
        <v>6.3544273145532326</v>
      </c>
      <c r="AL74" s="47">
        <v>913.33333333333337</v>
      </c>
      <c r="AM74" s="47">
        <v>1251.9166666666667</v>
      </c>
      <c r="AN74" s="47">
        <v>913.33333333333337</v>
      </c>
      <c r="AO74" s="47">
        <v>1996.4166666666667</v>
      </c>
      <c r="AP74" s="47">
        <v>2142.5833333333335</v>
      </c>
      <c r="AQ74" s="47">
        <v>33331.073054259723</v>
      </c>
      <c r="AR74" s="47">
        <v>33176.370166309745</v>
      </c>
      <c r="AS74" s="47">
        <v>33267.704750360863</v>
      </c>
      <c r="AT74" s="47">
        <v>34658.724105789857</v>
      </c>
      <c r="AU74" s="47">
        <v>35435.034374825329</v>
      </c>
      <c r="AV74" s="84">
        <v>74872.462189221667</v>
      </c>
      <c r="AW74" s="85">
        <v>76762.459537089948</v>
      </c>
      <c r="AX74" s="85">
        <v>73387.794145460837</v>
      </c>
      <c r="AY74" s="85">
        <v>70066.119113014283</v>
      </c>
      <c r="AZ74" s="85">
        <v>69865</v>
      </c>
      <c r="BA74" s="83">
        <v>5.7886023410903329</v>
      </c>
      <c r="BB74" s="83">
        <v>7.1457699791440925</v>
      </c>
      <c r="BC74" s="83">
        <v>7.1702307487466861</v>
      </c>
      <c r="BD74" s="83">
        <v>7.6105075587745015</v>
      </c>
      <c r="BE74" s="83">
        <v>6.7975085743126211</v>
      </c>
      <c r="BF74" s="83">
        <v>6.1993144385920909</v>
      </c>
      <c r="BG74" s="46">
        <v>8.2128514056224908</v>
      </c>
      <c r="BH74" s="46">
        <v>8.4372909369957885</v>
      </c>
      <c r="BI74" s="46">
        <v>9.1894045010953995</v>
      </c>
      <c r="BJ74" s="46">
        <v>7.7843587574036022</v>
      </c>
      <c r="BK74" s="42">
        <v>19400</v>
      </c>
      <c r="BL74" s="42">
        <v>19621</v>
      </c>
      <c r="BM74" s="40">
        <v>18943</v>
      </c>
      <c r="BN74" s="40">
        <v>18867</v>
      </c>
      <c r="BO74" s="43">
        <v>21.63917525773196</v>
      </c>
      <c r="BP74" s="43">
        <v>24.198562764385098</v>
      </c>
      <c r="BQ74" s="44">
        <v>23.290925407802355</v>
      </c>
      <c r="BR74" s="44">
        <v>22.849419621561456</v>
      </c>
      <c r="BS74" s="87">
        <v>2.4226804123711339</v>
      </c>
      <c r="BT74" s="87">
        <v>2.4871311350084095</v>
      </c>
      <c r="BU74" s="87">
        <v>2.6342184448081087</v>
      </c>
      <c r="BV74" s="87">
        <v>2.5812264800975249</v>
      </c>
      <c r="BW74" s="43">
        <v>14.216494845360824</v>
      </c>
      <c r="BX74" s="43">
        <v>14.515060394475308</v>
      </c>
      <c r="BY74" s="43">
        <v>14.622815815868659</v>
      </c>
      <c r="BZ74" s="43">
        <v>13.706471617109239</v>
      </c>
      <c r="CA74" s="42">
        <v>85.887850467289724</v>
      </c>
      <c r="CB74" s="42">
        <v>89.116859946476367</v>
      </c>
      <c r="CC74" s="42">
        <v>88.32</v>
      </c>
      <c r="CD74" s="44">
        <v>87.63</v>
      </c>
      <c r="CE74" s="43">
        <v>3.1775700934579438</v>
      </c>
      <c r="CF74" s="43">
        <v>1.6057091882247994</v>
      </c>
      <c r="CG74" s="43">
        <v>3.26</v>
      </c>
      <c r="CH74" s="44">
        <v>1.59</v>
      </c>
      <c r="CI74" s="49">
        <v>4211</v>
      </c>
      <c r="CJ74" s="49">
        <v>5478</v>
      </c>
      <c r="CK74" s="54">
        <v>6534</v>
      </c>
      <c r="CL74" s="54">
        <v>6140</v>
      </c>
      <c r="CM74" s="88">
        <v>15.9</v>
      </c>
      <c r="CN74" s="88">
        <v>16.7</v>
      </c>
      <c r="CO74" s="88">
        <v>16.100000000000001</v>
      </c>
      <c r="CP74" s="88">
        <v>13.9</v>
      </c>
      <c r="CQ74" s="53">
        <v>172</v>
      </c>
      <c r="CR74" s="53">
        <v>203</v>
      </c>
      <c r="CS74" s="53">
        <v>253</v>
      </c>
      <c r="CT74" s="53">
        <v>239</v>
      </c>
      <c r="CU74" s="88">
        <v>4.2</v>
      </c>
      <c r="CV74" s="88">
        <v>3.9</v>
      </c>
      <c r="CW74" s="88">
        <v>4</v>
      </c>
      <c r="CX74" s="88">
        <v>4.0999999999999996</v>
      </c>
      <c r="CY74" s="51">
        <v>261</v>
      </c>
      <c r="CZ74" s="53">
        <v>377</v>
      </c>
      <c r="DA74" s="53">
        <v>443</v>
      </c>
      <c r="DB74" s="53">
        <v>404</v>
      </c>
      <c r="DC74" s="88">
        <v>6.8</v>
      </c>
      <c r="DD74" s="88">
        <v>7.8</v>
      </c>
      <c r="DE74" s="88">
        <v>8.1</v>
      </c>
      <c r="DF74" s="88">
        <v>7.6</v>
      </c>
      <c r="DG74" s="88">
        <v>88.2</v>
      </c>
      <c r="DH74" s="88">
        <v>91.2</v>
      </c>
      <c r="DI74" s="88">
        <v>90.1</v>
      </c>
      <c r="DJ74" s="88">
        <v>89.3</v>
      </c>
      <c r="DK74" s="88">
        <v>13.8</v>
      </c>
      <c r="DL74" s="88">
        <v>11</v>
      </c>
      <c r="DM74" s="88">
        <v>9.8000000000000007</v>
      </c>
      <c r="DN74" s="88">
        <v>10.532369372329937</v>
      </c>
      <c r="DO74" s="88">
        <v>19.3</v>
      </c>
      <c r="DP74" s="88">
        <v>17.3</v>
      </c>
      <c r="DQ74" s="88">
        <v>20.3</v>
      </c>
      <c r="DR74" s="88">
        <v>24.4</v>
      </c>
      <c r="DS74" s="88">
        <v>26.30834512022631</v>
      </c>
      <c r="DT74" s="88">
        <v>22.484932777005099</v>
      </c>
      <c r="DU74" s="88">
        <v>20.151133501259444</v>
      </c>
      <c r="DV74" s="88">
        <v>17.616998386229156</v>
      </c>
      <c r="DW74" s="54">
        <v>1131</v>
      </c>
      <c r="DX74" s="54">
        <v>20</v>
      </c>
      <c r="DY74" s="51">
        <v>6</v>
      </c>
      <c r="DZ74" s="53">
        <v>19</v>
      </c>
      <c r="EA74" s="53">
        <v>30</v>
      </c>
      <c r="EB74" s="53">
        <v>25</v>
      </c>
      <c r="EC74" s="53">
        <v>20</v>
      </c>
      <c r="ED74" s="51">
        <v>29</v>
      </c>
      <c r="EE74" s="53">
        <v>33</v>
      </c>
      <c r="EF74" s="53">
        <v>1479</v>
      </c>
      <c r="EG74" s="53">
        <v>1759</v>
      </c>
      <c r="EH74" s="53">
        <v>2050</v>
      </c>
      <c r="EI74" s="53">
        <v>2243</v>
      </c>
      <c r="EJ74" s="92">
        <v>436</v>
      </c>
      <c r="EK74" s="92">
        <v>6</v>
      </c>
      <c r="EL74" s="92">
        <v>2</v>
      </c>
      <c r="EM74" s="92">
        <v>3</v>
      </c>
      <c r="EN74" s="92">
        <v>2</v>
      </c>
      <c r="EO74" s="88">
        <v>558.23749438554239</v>
      </c>
      <c r="EP74" s="88">
        <v>536.8418803810082</v>
      </c>
      <c r="EQ74" s="88">
        <v>504.35094953292179</v>
      </c>
      <c r="ER74" s="88">
        <v>508.05241855594238</v>
      </c>
      <c r="ES74" s="88">
        <v>914.2</v>
      </c>
      <c r="ET74" s="88">
        <v>858.4</v>
      </c>
      <c r="EU74" s="88">
        <v>781.1</v>
      </c>
      <c r="EV74" s="88">
        <v>718.3</v>
      </c>
      <c r="EW74" s="88">
        <v>999.93449953523759</v>
      </c>
      <c r="EX74" s="88">
        <v>999.18285456217359</v>
      </c>
      <c r="EY74" s="88">
        <v>882.87514671596591</v>
      </c>
      <c r="EZ74" s="88">
        <v>820.43038158235072</v>
      </c>
      <c r="FA74" s="88">
        <v>837.0571068696446</v>
      </c>
      <c r="FB74" s="88">
        <v>769.84430360653528</v>
      </c>
      <c r="FC74" s="88">
        <v>695.42819153468918</v>
      </c>
      <c r="FD74" s="88">
        <v>642.79230326713252</v>
      </c>
      <c r="FE74" s="51">
        <v>345</v>
      </c>
      <c r="FF74" s="54">
        <v>421</v>
      </c>
      <c r="FG74" s="54">
        <v>432</v>
      </c>
      <c r="FH74" s="54">
        <v>580</v>
      </c>
      <c r="FI74" s="88">
        <v>211.99850000000001</v>
      </c>
      <c r="FJ74" s="88">
        <v>200.99440000000001</v>
      </c>
      <c r="FK74" s="88">
        <v>161.7055</v>
      </c>
      <c r="FL74" s="88">
        <v>179.02770000000001</v>
      </c>
      <c r="FM74" s="54">
        <v>375</v>
      </c>
      <c r="FN74" s="54">
        <v>388</v>
      </c>
      <c r="FO74" s="51">
        <v>426</v>
      </c>
      <c r="FP74" s="54">
        <v>376</v>
      </c>
      <c r="FQ74" s="88">
        <v>239.45849999999999</v>
      </c>
      <c r="FR74" s="88">
        <v>197.14830000000001</v>
      </c>
      <c r="FS74" s="88">
        <v>170.5934</v>
      </c>
      <c r="FT74" s="88">
        <v>122.145</v>
      </c>
      <c r="FU74" s="53">
        <v>124</v>
      </c>
      <c r="FV74" s="53">
        <v>116</v>
      </c>
      <c r="FW74" s="53">
        <v>137</v>
      </c>
      <c r="FX74" s="53">
        <v>99</v>
      </c>
      <c r="FY74" s="88">
        <v>79.951369999999997</v>
      </c>
      <c r="FZ74" s="88">
        <v>60.44415</v>
      </c>
      <c r="GA74" s="88">
        <v>56.739089999999997</v>
      </c>
      <c r="GB74" s="88">
        <v>34.200580000000002</v>
      </c>
      <c r="GC74" s="55">
        <v>75</v>
      </c>
      <c r="GD74" s="56">
        <v>97</v>
      </c>
      <c r="GE74" s="55">
        <v>144</v>
      </c>
      <c r="GF74" s="55">
        <v>133</v>
      </c>
      <c r="GG74" s="91">
        <v>35.737099999999998</v>
      </c>
      <c r="GH74" s="91">
        <v>36.13991</v>
      </c>
      <c r="GI74" s="91">
        <v>42.23245</v>
      </c>
      <c r="GJ74" s="91">
        <v>35.816189999999999</v>
      </c>
      <c r="GK74" s="55"/>
      <c r="GL74" s="55"/>
      <c r="GM74" s="55"/>
      <c r="GN74" s="56"/>
      <c r="GO74" s="55"/>
      <c r="GP74" s="55"/>
      <c r="GQ74" s="55"/>
      <c r="GR74" s="55"/>
      <c r="GS74" s="56"/>
      <c r="GT74" s="55"/>
      <c r="GU74" s="55"/>
      <c r="GV74" s="55"/>
      <c r="GW74" s="55"/>
      <c r="GX74" s="56"/>
      <c r="GY74" s="56"/>
      <c r="GZ74" s="56"/>
      <c r="HA74" s="56"/>
      <c r="HB74" s="56"/>
      <c r="HC74" s="56"/>
      <c r="HD74" s="57"/>
      <c r="HE74" s="57"/>
      <c r="HF74" s="57"/>
      <c r="HG74" s="57"/>
      <c r="HH74" s="57"/>
      <c r="HI74" s="58"/>
      <c r="HJ74" s="58"/>
      <c r="HK74" s="55"/>
      <c r="HL74" s="56"/>
      <c r="HM74" s="56"/>
      <c r="HN74" s="56"/>
      <c r="HO74" s="56"/>
      <c r="HP74" s="56"/>
      <c r="HQ74" s="56"/>
      <c r="HR74" s="56"/>
      <c r="HS74" s="56"/>
      <c r="HT74" s="56"/>
      <c r="HU74" s="38"/>
    </row>
    <row r="75" spans="1:229" ht="21" customHeight="1" x14ac:dyDescent="0.2">
      <c r="A75" s="36">
        <v>72</v>
      </c>
      <c r="B75" s="70" t="s">
        <v>128</v>
      </c>
      <c r="C75" s="77">
        <v>14954</v>
      </c>
      <c r="D75" s="77">
        <v>14925</v>
      </c>
      <c r="E75" s="77">
        <v>15226</v>
      </c>
      <c r="F75" s="77">
        <v>15169</v>
      </c>
      <c r="G75" s="150">
        <v>15123</v>
      </c>
      <c r="H75" s="41">
        <v>14757</v>
      </c>
      <c r="I75" s="41">
        <v>63</v>
      </c>
      <c r="J75" s="41">
        <v>44</v>
      </c>
      <c r="K75" s="41">
        <v>91</v>
      </c>
      <c r="L75" s="41">
        <v>1166</v>
      </c>
      <c r="M75" s="42">
        <v>5945</v>
      </c>
      <c r="N75" s="43">
        <v>5947</v>
      </c>
      <c r="O75" s="43">
        <v>6034</v>
      </c>
      <c r="P75" s="44">
        <v>6039</v>
      </c>
      <c r="Q75" s="44">
        <v>6018</v>
      </c>
      <c r="R75" s="87">
        <v>24.013704318936878</v>
      </c>
      <c r="S75" s="87">
        <v>25.389259612329202</v>
      </c>
      <c r="T75" s="87">
        <v>26.105728727885424</v>
      </c>
      <c r="U75" s="87">
        <v>25.973753280839894</v>
      </c>
      <c r="V75" s="87">
        <v>26.993021780503277</v>
      </c>
      <c r="W75" s="87">
        <v>31.239617940199334</v>
      </c>
      <c r="X75" s="87">
        <v>32.697807435653004</v>
      </c>
      <c r="Y75" s="87">
        <v>34.235467565290648</v>
      </c>
      <c r="Z75" s="87">
        <v>33.280839895013123</v>
      </c>
      <c r="AA75" s="42">
        <v>32.903362233030236</v>
      </c>
      <c r="AB75" s="87">
        <v>55.253322259136212</v>
      </c>
      <c r="AC75" s="87">
        <v>58.087067047982202</v>
      </c>
      <c r="AD75" s="87">
        <v>60.341196293176075</v>
      </c>
      <c r="AE75" s="87">
        <v>59.254593175853017</v>
      </c>
      <c r="AF75" s="87">
        <v>59.896384013533513</v>
      </c>
      <c r="AG75" s="44">
        <v>6.1967288643169773</v>
      </c>
      <c r="AH75" s="44">
        <v>8.1735620585267412</v>
      </c>
      <c r="AI75" s="44">
        <v>7.1631671041119862</v>
      </c>
      <c r="AJ75" s="43">
        <v>6.2269872211392681</v>
      </c>
      <c r="AK75" s="43">
        <v>4.8490749756572544</v>
      </c>
      <c r="AL75" s="47">
        <v>218.91666666666666</v>
      </c>
      <c r="AM75" s="47">
        <v>295.08333333333331</v>
      </c>
      <c r="AN75" s="47">
        <v>218.91666666666666</v>
      </c>
      <c r="AO75" s="47">
        <v>406.83333333333331</v>
      </c>
      <c r="AP75" s="47">
        <v>415.41666666666669</v>
      </c>
      <c r="AQ75" s="47">
        <v>38659.95170084016</v>
      </c>
      <c r="AR75" s="47">
        <v>37987.934896505649</v>
      </c>
      <c r="AS75" s="47">
        <v>39741.180282645357</v>
      </c>
      <c r="AT75" s="47">
        <v>40978.177755780329</v>
      </c>
      <c r="AU75" s="47">
        <v>44323.282417509756</v>
      </c>
      <c r="AV75" s="84">
        <v>55846.16368782457</v>
      </c>
      <c r="AW75" s="85">
        <v>52536.609150335753</v>
      </c>
      <c r="AX75" s="85">
        <v>49537.998234632367</v>
      </c>
      <c r="AY75" s="85">
        <v>54144.413667046421</v>
      </c>
      <c r="AZ75" s="85">
        <v>53732</v>
      </c>
      <c r="BA75" s="83">
        <v>10.034719858397441</v>
      </c>
      <c r="BB75" s="83">
        <v>10.492183766810021</v>
      </c>
      <c r="BC75" s="83">
        <v>10.035913806863528</v>
      </c>
      <c r="BD75" s="83">
        <v>11.638478507921652</v>
      </c>
      <c r="BE75" s="83">
        <v>10.516085790884718</v>
      </c>
      <c r="BF75" s="83">
        <v>14.735969035111971</v>
      </c>
      <c r="BG75" s="46">
        <v>14.477285166940339</v>
      </c>
      <c r="BH75" s="46">
        <v>14.801255230125523</v>
      </c>
      <c r="BI75" s="46">
        <v>16.898395721925134</v>
      </c>
      <c r="BJ75" s="46">
        <v>15.487571701720841</v>
      </c>
      <c r="BK75" s="42">
        <v>2229</v>
      </c>
      <c r="BL75" s="42">
        <v>2219</v>
      </c>
      <c r="BM75" s="40">
        <v>2214</v>
      </c>
      <c r="BN75" s="40">
        <v>2203</v>
      </c>
      <c r="BO75" s="43">
        <v>43.606998654104977</v>
      </c>
      <c r="BP75" s="43">
        <v>41.640378548895896</v>
      </c>
      <c r="BQ75" s="44">
        <v>42.27642276422764</v>
      </c>
      <c r="BR75" s="44">
        <v>42.21516114389469</v>
      </c>
      <c r="BS75" s="87">
        <v>10.408254822790489</v>
      </c>
      <c r="BT75" s="87">
        <v>9.7791798107255516</v>
      </c>
      <c r="BU75" s="87">
        <v>9.1689250225835597</v>
      </c>
      <c r="BV75" s="87">
        <v>8.579210167952791</v>
      </c>
      <c r="BW75" s="43">
        <v>13.862718707940781</v>
      </c>
      <c r="BX75" s="43">
        <v>14.511041009463723</v>
      </c>
      <c r="BY75" s="43">
        <v>15.130984643179765</v>
      </c>
      <c r="BZ75" s="43">
        <v>15.705855651384475</v>
      </c>
      <c r="CA75" s="42">
        <v>86.740331491712709</v>
      </c>
      <c r="CB75" s="42">
        <v>84.946236559139791</v>
      </c>
      <c r="CC75" s="42">
        <v>82.58</v>
      </c>
      <c r="CD75" s="44">
        <v>82.39</v>
      </c>
      <c r="CE75" s="43">
        <v>2.2099447513812156</v>
      </c>
      <c r="CF75" s="43">
        <v>3.225806451612903</v>
      </c>
      <c r="CG75" s="43">
        <v>5.0599999999999996</v>
      </c>
      <c r="CH75" s="44">
        <v>1.7</v>
      </c>
      <c r="CI75" s="49">
        <v>892</v>
      </c>
      <c r="CJ75" s="49">
        <v>955</v>
      </c>
      <c r="CK75" s="54">
        <v>1021</v>
      </c>
      <c r="CL75" s="51">
        <v>949</v>
      </c>
      <c r="CM75" s="88">
        <v>12.2</v>
      </c>
      <c r="CN75" s="88">
        <v>12.6</v>
      </c>
      <c r="CO75" s="88">
        <v>13.5</v>
      </c>
      <c r="CP75" s="88">
        <v>12.6</v>
      </c>
      <c r="CQ75" s="53">
        <v>38</v>
      </c>
      <c r="CR75" s="53">
        <v>45</v>
      </c>
      <c r="CS75" s="53">
        <v>41</v>
      </c>
      <c r="CT75" s="53">
        <v>30</v>
      </c>
      <c r="CU75" s="88">
        <v>4.3</v>
      </c>
      <c r="CV75" s="88">
        <v>4.9000000000000004</v>
      </c>
      <c r="CW75" s="88">
        <v>4.2</v>
      </c>
      <c r="CX75" s="88">
        <v>3.3</v>
      </c>
      <c r="CY75" s="51">
        <v>55</v>
      </c>
      <c r="CZ75" s="53">
        <v>75</v>
      </c>
      <c r="DA75" s="53">
        <v>78</v>
      </c>
      <c r="DB75" s="53">
        <v>49</v>
      </c>
      <c r="DC75" s="88">
        <v>6.7</v>
      </c>
      <c r="DD75" s="88">
        <v>8.6999999999999993</v>
      </c>
      <c r="DE75" s="88">
        <v>8.9</v>
      </c>
      <c r="DF75" s="88">
        <v>5.9</v>
      </c>
      <c r="DG75" s="88">
        <v>82</v>
      </c>
      <c r="DH75" s="88">
        <v>84.5</v>
      </c>
      <c r="DI75" s="88">
        <v>85.5</v>
      </c>
      <c r="DJ75" s="88">
        <v>84.9</v>
      </c>
      <c r="DK75" s="88">
        <v>10</v>
      </c>
      <c r="DL75" s="88">
        <v>8.9</v>
      </c>
      <c r="DM75" s="88">
        <v>10.1</v>
      </c>
      <c r="DN75" s="88">
        <v>10.559662090813093</v>
      </c>
      <c r="DO75" s="88">
        <v>20.2</v>
      </c>
      <c r="DP75" s="88">
        <v>24.8</v>
      </c>
      <c r="DQ75" s="88">
        <v>27.1</v>
      </c>
      <c r="DR75" s="88">
        <v>33.200000000000003</v>
      </c>
      <c r="DS75" s="88">
        <v>33.39115351257589</v>
      </c>
      <c r="DT75" s="88">
        <v>31.10135382363703</v>
      </c>
      <c r="DU75" s="88">
        <v>35.573122529644266</v>
      </c>
      <c r="DV75" s="88">
        <v>23.391812865497077</v>
      </c>
      <c r="DW75" s="54">
        <v>160</v>
      </c>
      <c r="DX75" s="54">
        <v>0</v>
      </c>
      <c r="DY75" s="51">
        <v>0</v>
      </c>
      <c r="DZ75" s="53">
        <v>0</v>
      </c>
      <c r="EA75" s="53">
        <v>29</v>
      </c>
      <c r="EB75" s="53">
        <v>5</v>
      </c>
      <c r="EC75" s="53">
        <v>3</v>
      </c>
      <c r="ED75" s="51">
        <v>1</v>
      </c>
      <c r="EE75" s="53">
        <v>3</v>
      </c>
      <c r="EF75" s="53">
        <v>753</v>
      </c>
      <c r="EG75" s="53">
        <v>772</v>
      </c>
      <c r="EH75" s="53">
        <v>676</v>
      </c>
      <c r="EI75" s="53">
        <v>700</v>
      </c>
      <c r="EJ75" s="92">
        <v>149</v>
      </c>
      <c r="EK75" s="92">
        <v>0</v>
      </c>
      <c r="EL75" s="92">
        <v>0</v>
      </c>
      <c r="EM75" s="92">
        <v>0</v>
      </c>
      <c r="EN75" s="92">
        <v>1</v>
      </c>
      <c r="EO75" s="88">
        <v>1033.5172527382031</v>
      </c>
      <c r="EP75" s="88">
        <v>1022.5436435402262</v>
      </c>
      <c r="EQ75" s="88">
        <v>890.91556071009666</v>
      </c>
      <c r="ER75" s="88">
        <v>912.49958522746124</v>
      </c>
      <c r="ES75" s="88">
        <v>746.2</v>
      </c>
      <c r="ET75" s="88">
        <v>759.4</v>
      </c>
      <c r="EU75" s="88">
        <v>641.6</v>
      </c>
      <c r="EV75" s="88">
        <v>665.9</v>
      </c>
      <c r="EW75" s="88">
        <v>934.23583014058636</v>
      </c>
      <c r="EX75" s="88">
        <v>955.56944136736115</v>
      </c>
      <c r="EY75" s="88">
        <v>813.23770624467761</v>
      </c>
      <c r="EZ75" s="88">
        <v>878.46318563983846</v>
      </c>
      <c r="FA75" s="88">
        <v>604.16636518736152</v>
      </c>
      <c r="FB75" s="88">
        <v>603.90894104162066</v>
      </c>
      <c r="FC75" s="88">
        <v>518.87018208941913</v>
      </c>
      <c r="FD75" s="88">
        <v>517.54165555285272</v>
      </c>
      <c r="FE75" s="51">
        <v>178</v>
      </c>
      <c r="FF75" s="54">
        <v>176</v>
      </c>
      <c r="FG75" s="54">
        <v>155</v>
      </c>
      <c r="FH75" s="54">
        <v>184</v>
      </c>
      <c r="FI75" s="88">
        <v>187.63130000000001</v>
      </c>
      <c r="FJ75" s="88">
        <v>183.01089999999999</v>
      </c>
      <c r="FK75" s="88">
        <v>162.0436</v>
      </c>
      <c r="FL75" s="88">
        <v>183.6729</v>
      </c>
      <c r="FM75" s="54">
        <v>197</v>
      </c>
      <c r="FN75" s="54">
        <v>233</v>
      </c>
      <c r="FO75" s="51">
        <v>187</v>
      </c>
      <c r="FP75" s="54">
        <v>158</v>
      </c>
      <c r="FQ75" s="88">
        <v>188.1884</v>
      </c>
      <c r="FR75" s="88">
        <v>217.02959999999999</v>
      </c>
      <c r="FS75" s="88">
        <v>163.3331</v>
      </c>
      <c r="FT75" s="88">
        <v>141.1806</v>
      </c>
      <c r="FU75" s="53">
        <v>61</v>
      </c>
      <c r="FV75" s="53">
        <v>57</v>
      </c>
      <c r="FW75" s="53">
        <v>54</v>
      </c>
      <c r="FX75" s="53">
        <v>40</v>
      </c>
      <c r="FY75" s="88">
        <v>57.899419999999999</v>
      </c>
      <c r="FZ75" s="88">
        <v>53.814920000000001</v>
      </c>
      <c r="GA75" s="88">
        <v>47.325180000000003</v>
      </c>
      <c r="GB75" s="88">
        <v>35.691189999999999</v>
      </c>
      <c r="GC75" s="55">
        <v>42</v>
      </c>
      <c r="GD75" s="56">
        <v>42</v>
      </c>
      <c r="GE75" s="55">
        <v>21</v>
      </c>
      <c r="GF75" s="55">
        <v>49</v>
      </c>
      <c r="GG75" s="91">
        <v>50.289569999999998</v>
      </c>
      <c r="GH75" s="91">
        <v>46.319479999999999</v>
      </c>
      <c r="GI75" s="91">
        <v>22.74436</v>
      </c>
      <c r="GJ75" s="91">
        <v>51.203780000000002</v>
      </c>
      <c r="GK75" s="55"/>
      <c r="GL75" s="55"/>
      <c r="GM75" s="55"/>
      <c r="GN75" s="56"/>
      <c r="GO75" s="55"/>
      <c r="GP75" s="55"/>
      <c r="GQ75" s="55"/>
      <c r="GR75" s="55"/>
      <c r="GS75" s="56"/>
      <c r="GT75" s="55"/>
      <c r="GU75" s="55"/>
      <c r="GV75" s="55"/>
      <c r="GW75" s="55"/>
      <c r="GX75" s="56"/>
      <c r="GY75" s="56"/>
      <c r="GZ75" s="56"/>
      <c r="HA75" s="56"/>
      <c r="HB75" s="56"/>
      <c r="HC75" s="56"/>
      <c r="HD75" s="57"/>
      <c r="HE75" s="57"/>
      <c r="HF75" s="57"/>
      <c r="HG75" s="57"/>
      <c r="HH75" s="57"/>
      <c r="HI75" s="58"/>
      <c r="HJ75" s="58"/>
      <c r="HK75" s="55"/>
      <c r="HL75" s="56"/>
      <c r="HM75" s="56"/>
      <c r="HN75" s="56"/>
      <c r="HO75" s="56"/>
      <c r="HP75" s="56"/>
      <c r="HQ75" s="56"/>
      <c r="HR75" s="56"/>
      <c r="HS75" s="56"/>
      <c r="HT75" s="56"/>
      <c r="HU75" s="38"/>
    </row>
    <row r="76" spans="1:229" x14ac:dyDescent="0.2">
      <c r="A76" s="36">
        <v>73</v>
      </c>
      <c r="B76" s="70" t="s">
        <v>129</v>
      </c>
      <c r="C76" s="77">
        <v>147076</v>
      </c>
      <c r="D76" s="77">
        <v>148955</v>
      </c>
      <c r="E76" s="77">
        <v>150642</v>
      </c>
      <c r="F76" s="77">
        <v>151343</v>
      </c>
      <c r="G76" s="150">
        <v>151606</v>
      </c>
      <c r="H76" s="41">
        <v>140405</v>
      </c>
      <c r="I76" s="41">
        <v>5147</v>
      </c>
      <c r="J76" s="41">
        <v>579</v>
      </c>
      <c r="K76" s="41">
        <v>3255</v>
      </c>
      <c r="L76" s="41">
        <v>4471</v>
      </c>
      <c r="M76" s="42">
        <v>55217</v>
      </c>
      <c r="N76" s="43">
        <v>56487</v>
      </c>
      <c r="O76" s="43">
        <v>56232</v>
      </c>
      <c r="P76" s="44">
        <v>56514</v>
      </c>
      <c r="Q76" s="44">
        <v>56755</v>
      </c>
      <c r="R76" s="87">
        <v>17.55785249948368</v>
      </c>
      <c r="S76" s="87">
        <v>18.814813357208919</v>
      </c>
      <c r="T76" s="87">
        <v>17.621809744779583</v>
      </c>
      <c r="U76" s="87">
        <v>18.078574040923179</v>
      </c>
      <c r="V76" s="87">
        <v>18.645589910967768</v>
      </c>
      <c r="W76" s="87">
        <v>27.086673026425782</v>
      </c>
      <c r="X76" s="87">
        <v>27.739624943426673</v>
      </c>
      <c r="Y76" s="87">
        <v>28.01044083526682</v>
      </c>
      <c r="Z76" s="87">
        <v>27.580797289753807</v>
      </c>
      <c r="AA76" s="42">
        <v>27.751598138241373</v>
      </c>
      <c r="AB76" s="87">
        <v>44.644525525909465</v>
      </c>
      <c r="AC76" s="87">
        <v>46.554438300635589</v>
      </c>
      <c r="AD76" s="87">
        <v>45.632250580046403</v>
      </c>
      <c r="AE76" s="87">
        <v>45.659371330676983</v>
      </c>
      <c r="AF76" s="87">
        <v>46.397188049209142</v>
      </c>
      <c r="AG76" s="44">
        <v>5.5037992198776138</v>
      </c>
      <c r="AH76" s="44">
        <v>8.0712713849648612</v>
      </c>
      <c r="AI76" s="44">
        <v>7.1815765749944385</v>
      </c>
      <c r="AJ76" s="43">
        <v>6.387505552827851</v>
      </c>
      <c r="AK76" s="43">
        <v>5.5452541720603152</v>
      </c>
      <c r="AL76" s="47">
        <v>2942</v>
      </c>
      <c r="AM76" s="47">
        <v>3865</v>
      </c>
      <c r="AN76" s="47">
        <v>2942</v>
      </c>
      <c r="AO76" s="47">
        <v>5810.583333333333</v>
      </c>
      <c r="AP76" s="47">
        <v>6036.416666666667</v>
      </c>
      <c r="AQ76" s="47">
        <v>36526.671398688384</v>
      </c>
      <c r="AR76" s="47">
        <v>35644.203246375189</v>
      </c>
      <c r="AS76" s="47">
        <v>35902.161609077404</v>
      </c>
      <c r="AT76" s="47">
        <v>37085.096573427851</v>
      </c>
      <c r="AU76" s="47">
        <v>37843.066897088509</v>
      </c>
      <c r="AV76" s="84">
        <v>55494.259276578014</v>
      </c>
      <c r="AW76" s="85">
        <v>51778.91590150322</v>
      </c>
      <c r="AX76" s="85">
        <v>52851.552061455783</v>
      </c>
      <c r="AY76" s="85">
        <v>53129.850219819549</v>
      </c>
      <c r="AZ76" s="85">
        <v>53986</v>
      </c>
      <c r="BA76" s="83">
        <v>10.082380775918589</v>
      </c>
      <c r="BB76" s="83">
        <v>12.508712518569105</v>
      </c>
      <c r="BC76" s="83">
        <v>12.12822299651568</v>
      </c>
      <c r="BD76" s="83">
        <v>13.45418191159216</v>
      </c>
      <c r="BE76" s="83">
        <v>12.967600022134912</v>
      </c>
      <c r="BF76" s="83">
        <v>9.2061943665406663</v>
      </c>
      <c r="BG76" s="46">
        <v>12.376802884615385</v>
      </c>
      <c r="BH76" s="46">
        <v>12.980039687171706</v>
      </c>
      <c r="BI76" s="46">
        <v>12.96586375055416</v>
      </c>
      <c r="BJ76" s="46">
        <v>11.804717175583757</v>
      </c>
      <c r="BK76" s="42">
        <v>23094</v>
      </c>
      <c r="BL76" s="42">
        <v>23264</v>
      </c>
      <c r="BM76" s="40">
        <v>23363</v>
      </c>
      <c r="BN76" s="40">
        <v>23549</v>
      </c>
      <c r="BO76" s="43">
        <v>36.182558240235558</v>
      </c>
      <c r="BP76" s="43">
        <v>36.335110041265473</v>
      </c>
      <c r="BQ76" s="44">
        <v>35.564781920130123</v>
      </c>
      <c r="BR76" s="44">
        <v>38.328591447619857</v>
      </c>
      <c r="BS76" s="87">
        <v>5.624837620161081</v>
      </c>
      <c r="BT76" s="87">
        <v>6.4047455295735904</v>
      </c>
      <c r="BU76" s="87">
        <v>6.4546505157728031</v>
      </c>
      <c r="BV76" s="87">
        <v>6.9642023015839314</v>
      </c>
      <c r="BW76" s="43">
        <v>16.878842989521086</v>
      </c>
      <c r="BX76" s="43">
        <v>17.297111416781291</v>
      </c>
      <c r="BY76" s="43">
        <v>17.198133801309762</v>
      </c>
      <c r="BZ76" s="43">
        <v>17.40625928914179</v>
      </c>
      <c r="CA76" s="42">
        <v>80</v>
      </c>
      <c r="CB76" s="42">
        <v>84.008307372793354</v>
      </c>
      <c r="CC76" s="42">
        <v>82.32</v>
      </c>
      <c r="CD76" s="44">
        <v>82.52</v>
      </c>
      <c r="CE76" s="43">
        <v>3.6049382716049383</v>
      </c>
      <c r="CF76" s="43">
        <v>2.3883696780893042</v>
      </c>
      <c r="CG76" s="43">
        <v>3.95</v>
      </c>
      <c r="CH76" s="44">
        <v>3.5</v>
      </c>
      <c r="CI76" s="49">
        <v>8126</v>
      </c>
      <c r="CJ76" s="49">
        <v>8641</v>
      </c>
      <c r="CK76" s="54">
        <v>9552</v>
      </c>
      <c r="CL76" s="54">
        <v>9667</v>
      </c>
      <c r="CM76" s="88">
        <v>12.9</v>
      </c>
      <c r="CN76" s="88">
        <v>13.1</v>
      </c>
      <c r="CO76" s="88">
        <v>13.4</v>
      </c>
      <c r="CP76" s="88">
        <v>12.9</v>
      </c>
      <c r="CQ76" s="53">
        <v>341</v>
      </c>
      <c r="CR76" s="53">
        <v>387</v>
      </c>
      <c r="CS76" s="53">
        <v>489</v>
      </c>
      <c r="CT76" s="53">
        <v>422</v>
      </c>
      <c r="CU76" s="88">
        <v>4.3</v>
      </c>
      <c r="CV76" s="88">
        <v>4.5999999999999996</v>
      </c>
      <c r="CW76" s="88">
        <v>5.3</v>
      </c>
      <c r="CX76" s="88">
        <v>4.5</v>
      </c>
      <c r="CY76" s="51">
        <v>516</v>
      </c>
      <c r="CZ76" s="53">
        <v>636</v>
      </c>
      <c r="DA76" s="53">
        <v>880</v>
      </c>
      <c r="DB76" s="53">
        <v>817</v>
      </c>
      <c r="DC76" s="88">
        <v>6.7</v>
      </c>
      <c r="DD76" s="88">
        <v>7.7</v>
      </c>
      <c r="DE76" s="88">
        <v>9.6999999999999993</v>
      </c>
      <c r="DF76" s="88">
        <v>8.9</v>
      </c>
      <c r="DG76" s="88">
        <v>87.9</v>
      </c>
      <c r="DH76" s="88">
        <v>89.2</v>
      </c>
      <c r="DI76" s="88">
        <v>88.6</v>
      </c>
      <c r="DJ76" s="88">
        <v>88.4</v>
      </c>
      <c r="DK76" s="88">
        <v>14.5</v>
      </c>
      <c r="DL76" s="88">
        <v>13.2</v>
      </c>
      <c r="DM76" s="88">
        <v>12.7</v>
      </c>
      <c r="DN76" s="88">
        <v>12.189312344656173</v>
      </c>
      <c r="DO76" s="88">
        <v>20.2</v>
      </c>
      <c r="DP76" s="88">
        <v>23.1</v>
      </c>
      <c r="DQ76" s="88">
        <v>26.5</v>
      </c>
      <c r="DR76" s="88">
        <v>29.5</v>
      </c>
      <c r="DS76" s="88">
        <v>18.131832166001178</v>
      </c>
      <c r="DT76" s="88">
        <v>18.100908052197969</v>
      </c>
      <c r="DU76" s="88">
        <v>18.030601231667831</v>
      </c>
      <c r="DV76" s="88">
        <v>15.838005085316913</v>
      </c>
      <c r="DW76" s="54">
        <v>1611</v>
      </c>
      <c r="DX76" s="54">
        <v>166</v>
      </c>
      <c r="DY76" s="51">
        <v>10</v>
      </c>
      <c r="DZ76" s="53">
        <v>34</v>
      </c>
      <c r="EA76" s="53">
        <v>95</v>
      </c>
      <c r="EB76" s="53">
        <v>51</v>
      </c>
      <c r="EC76" s="53">
        <v>46</v>
      </c>
      <c r="ED76" s="51">
        <v>54</v>
      </c>
      <c r="EE76" s="53">
        <v>44</v>
      </c>
      <c r="EF76" s="53">
        <v>3584</v>
      </c>
      <c r="EG76" s="53">
        <v>3869</v>
      </c>
      <c r="EH76" s="53">
        <v>3886</v>
      </c>
      <c r="EI76" s="53">
        <v>4500</v>
      </c>
      <c r="EJ76" s="92">
        <v>936</v>
      </c>
      <c r="EK76" s="92">
        <v>14</v>
      </c>
      <c r="EL76" s="92">
        <v>2</v>
      </c>
      <c r="EM76" s="92">
        <v>3</v>
      </c>
      <c r="EN76" s="92">
        <v>4</v>
      </c>
      <c r="EO76" s="88">
        <v>570.99522683677571</v>
      </c>
      <c r="EP76" s="88">
        <v>584.42607969281755</v>
      </c>
      <c r="EQ76" s="88">
        <v>546.55030555340682</v>
      </c>
      <c r="ER76" s="88">
        <v>591.79018621575347</v>
      </c>
      <c r="ES76" s="88">
        <v>676.7</v>
      </c>
      <c r="ET76" s="88">
        <v>653.5</v>
      </c>
      <c r="EU76" s="88">
        <v>559.1</v>
      </c>
      <c r="EV76" s="88">
        <v>574.79999999999995</v>
      </c>
      <c r="EW76" s="88">
        <v>888.42900897580637</v>
      </c>
      <c r="EX76" s="88">
        <v>867.12474949194529</v>
      </c>
      <c r="EY76" s="88">
        <v>711.95951333522009</v>
      </c>
      <c r="EZ76" s="88">
        <v>718.26013921186313</v>
      </c>
      <c r="FA76" s="88">
        <v>516.22312286592432</v>
      </c>
      <c r="FB76" s="88">
        <v>492.49401708911444</v>
      </c>
      <c r="FC76" s="88">
        <v>442.59489446387988</v>
      </c>
      <c r="FD76" s="88">
        <v>459.61225899667613</v>
      </c>
      <c r="FE76" s="51">
        <v>936</v>
      </c>
      <c r="FF76" s="54">
        <v>1013</v>
      </c>
      <c r="FG76" s="54">
        <v>1010</v>
      </c>
      <c r="FH76" s="54">
        <v>1185</v>
      </c>
      <c r="FI76" s="88">
        <v>178.22470000000001</v>
      </c>
      <c r="FJ76" s="88">
        <v>172.93109999999999</v>
      </c>
      <c r="FK76" s="88">
        <v>150.09950000000001</v>
      </c>
      <c r="FL76" s="88">
        <v>154.3537</v>
      </c>
      <c r="FM76" s="54">
        <v>1011</v>
      </c>
      <c r="FN76" s="54">
        <v>1042</v>
      </c>
      <c r="FO76" s="51">
        <v>910</v>
      </c>
      <c r="FP76" s="54">
        <v>881</v>
      </c>
      <c r="FQ76" s="88">
        <v>193.94030000000001</v>
      </c>
      <c r="FR76" s="88">
        <v>177.17429999999999</v>
      </c>
      <c r="FS76" s="88">
        <v>129.80090000000001</v>
      </c>
      <c r="FT76" s="88">
        <v>110.1515</v>
      </c>
      <c r="FU76" s="53">
        <v>269</v>
      </c>
      <c r="FV76" s="53">
        <v>253</v>
      </c>
      <c r="FW76" s="53">
        <v>233</v>
      </c>
      <c r="FX76" s="53">
        <v>232</v>
      </c>
      <c r="FY76" s="88">
        <v>51.5456</v>
      </c>
      <c r="FZ76" s="88">
        <v>42.993949999999998</v>
      </c>
      <c r="GA76" s="88">
        <v>32.76014</v>
      </c>
      <c r="GB76" s="88">
        <v>29.513210000000001</v>
      </c>
      <c r="GC76" s="55">
        <v>198</v>
      </c>
      <c r="GD76" s="56">
        <v>194</v>
      </c>
      <c r="GE76" s="55">
        <v>242</v>
      </c>
      <c r="GF76" s="55">
        <v>238</v>
      </c>
      <c r="GG76" s="91">
        <v>33.22813</v>
      </c>
      <c r="GH76" s="91">
        <v>30.356850000000001</v>
      </c>
      <c r="GI76" s="91">
        <v>33.14949</v>
      </c>
      <c r="GJ76" s="91">
        <v>30.64874</v>
      </c>
      <c r="GK76" s="55"/>
      <c r="GL76" s="55"/>
      <c r="GM76" s="55"/>
      <c r="GN76" s="56"/>
      <c r="GO76" s="55"/>
      <c r="GP76" s="55"/>
      <c r="GQ76" s="55"/>
      <c r="GR76" s="55"/>
      <c r="GS76" s="56"/>
      <c r="GT76" s="55"/>
      <c r="GU76" s="55"/>
      <c r="GV76" s="55"/>
      <c r="GW76" s="55"/>
      <c r="GX76" s="56"/>
      <c r="GY76" s="56"/>
      <c r="GZ76" s="56"/>
      <c r="HA76" s="56"/>
      <c r="HB76" s="56"/>
      <c r="HC76" s="56"/>
      <c r="HD76" s="57"/>
      <c r="HE76" s="57"/>
      <c r="HF76" s="57"/>
      <c r="HG76" s="57"/>
      <c r="HH76" s="57"/>
      <c r="HI76" s="58"/>
      <c r="HJ76" s="58"/>
      <c r="HK76" s="55"/>
      <c r="HL76" s="56"/>
      <c r="HM76" s="56"/>
      <c r="HN76" s="56"/>
      <c r="HO76" s="56"/>
      <c r="HP76" s="56"/>
      <c r="HQ76" s="56"/>
      <c r="HR76" s="56"/>
      <c r="HS76" s="56"/>
      <c r="HT76" s="56"/>
      <c r="HU76" s="38"/>
    </row>
    <row r="77" spans="1:229" x14ac:dyDescent="0.2">
      <c r="A77" s="36">
        <v>74</v>
      </c>
      <c r="B77" s="70" t="s">
        <v>130</v>
      </c>
      <c r="C77" s="77">
        <v>36546</v>
      </c>
      <c r="D77" s="77">
        <v>36775</v>
      </c>
      <c r="E77" s="77">
        <v>36576</v>
      </c>
      <c r="F77" s="77">
        <v>36534</v>
      </c>
      <c r="G77" s="150">
        <v>36322</v>
      </c>
      <c r="H77" s="41">
        <v>34462</v>
      </c>
      <c r="I77" s="41">
        <v>982</v>
      </c>
      <c r="J77" s="41">
        <v>121</v>
      </c>
      <c r="K77" s="41">
        <v>295</v>
      </c>
      <c r="L77" s="41">
        <v>2483</v>
      </c>
      <c r="M77" s="42">
        <v>14374</v>
      </c>
      <c r="N77" s="43">
        <v>14398</v>
      </c>
      <c r="O77" s="43">
        <v>14330</v>
      </c>
      <c r="P77" s="44">
        <v>14343</v>
      </c>
      <c r="Q77" s="44">
        <v>14335</v>
      </c>
      <c r="R77" s="87">
        <v>20.990813373044173</v>
      </c>
      <c r="S77" s="87">
        <v>20.924142591653997</v>
      </c>
      <c r="T77" s="87">
        <v>22.608322608322609</v>
      </c>
      <c r="U77" s="87">
        <v>22.8979784540109</v>
      </c>
      <c r="V77" s="87">
        <v>23.826071847443639</v>
      </c>
      <c r="W77" s="87">
        <v>32.312597004907921</v>
      </c>
      <c r="X77" s="87">
        <v>34.401926001013685</v>
      </c>
      <c r="Y77" s="87">
        <v>34.302874302874301</v>
      </c>
      <c r="Z77" s="87">
        <v>33.907034636679683</v>
      </c>
      <c r="AA77" s="42">
        <v>33.951609400112943</v>
      </c>
      <c r="AB77" s="87">
        <v>53.303410377952098</v>
      </c>
      <c r="AC77" s="87">
        <v>55.326068592667681</v>
      </c>
      <c r="AD77" s="87">
        <v>56.91119691119691</v>
      </c>
      <c r="AE77" s="87">
        <v>56.805013090690586</v>
      </c>
      <c r="AF77" s="87">
        <v>57.777681247556579</v>
      </c>
      <c r="AG77" s="44">
        <v>5.028976483548063</v>
      </c>
      <c r="AH77" s="44">
        <v>8.9311368642850297</v>
      </c>
      <c r="AI77" s="44">
        <v>7.6706280238620881</v>
      </c>
      <c r="AJ77" s="43">
        <v>6.5431519699812384</v>
      </c>
      <c r="AK77" s="43">
        <v>5.5189186661054208</v>
      </c>
      <c r="AL77" s="47">
        <v>759.25</v>
      </c>
      <c r="AM77" s="47">
        <v>1068.75</v>
      </c>
      <c r="AN77" s="47">
        <v>759.25</v>
      </c>
      <c r="AO77" s="47">
        <v>1570.3333333333333</v>
      </c>
      <c r="AP77" s="47">
        <v>1707.3333333333333</v>
      </c>
      <c r="AQ77" s="47">
        <v>39903.904488717933</v>
      </c>
      <c r="AR77" s="47">
        <v>39476.916015181007</v>
      </c>
      <c r="AS77" s="47">
        <v>40215.209851145511</v>
      </c>
      <c r="AT77" s="47">
        <v>41466.993377178442</v>
      </c>
      <c r="AU77" s="47">
        <v>42945.928087660373</v>
      </c>
      <c r="AV77" s="84">
        <v>60180.986208179864</v>
      </c>
      <c r="AW77" s="85">
        <v>62049.512100720436</v>
      </c>
      <c r="AX77" s="85">
        <v>53771.808192578646</v>
      </c>
      <c r="AY77" s="85">
        <v>56108.216556849758</v>
      </c>
      <c r="AZ77" s="85">
        <v>56940</v>
      </c>
      <c r="BA77" s="83">
        <v>7.6948682385575591</v>
      </c>
      <c r="BB77" s="83">
        <v>7.7462068965517243</v>
      </c>
      <c r="BC77" s="83">
        <v>10.353052111933883</v>
      </c>
      <c r="BD77" s="83">
        <v>9.6448390677025522</v>
      </c>
      <c r="BE77" s="83">
        <v>8.3000864882961807</v>
      </c>
      <c r="BF77" s="83">
        <v>9.9617695248498084</v>
      </c>
      <c r="BG77" s="46">
        <v>10.891191709844559</v>
      </c>
      <c r="BH77" s="46">
        <v>13.628691983122362</v>
      </c>
      <c r="BI77" s="46">
        <v>13.596770766942852</v>
      </c>
      <c r="BJ77" s="46">
        <v>12.669537136706136</v>
      </c>
      <c r="BK77" s="42">
        <v>6454</v>
      </c>
      <c r="BL77" s="42">
        <v>6484</v>
      </c>
      <c r="BM77" s="40">
        <v>6449</v>
      </c>
      <c r="BN77" s="40">
        <v>6498</v>
      </c>
      <c r="BO77" s="43">
        <v>33.885962193988227</v>
      </c>
      <c r="BP77" s="43">
        <v>32.341147439851945</v>
      </c>
      <c r="BQ77" s="44">
        <v>36.625833462552336</v>
      </c>
      <c r="BR77" s="44">
        <v>39.212065250846415</v>
      </c>
      <c r="BS77" s="87">
        <v>6.4766036566470406</v>
      </c>
      <c r="BT77" s="87">
        <v>6.8013571869216536</v>
      </c>
      <c r="BU77" s="87">
        <v>6.4816250581485502</v>
      </c>
      <c r="BV77" s="87">
        <v>7.4484456755924899</v>
      </c>
      <c r="BW77" s="43">
        <v>12.674310505113109</v>
      </c>
      <c r="BX77" s="43">
        <v>12.754472547809995</v>
      </c>
      <c r="BY77" s="43">
        <v>12.668630795472167</v>
      </c>
      <c r="BZ77" s="43">
        <v>12.957833179439827</v>
      </c>
      <c r="CA77" s="42">
        <v>82.918149466192176</v>
      </c>
      <c r="CB77" s="42">
        <v>85.074626865671647</v>
      </c>
      <c r="CC77" s="42">
        <v>85.77</v>
      </c>
      <c r="CD77" s="44">
        <v>86.92</v>
      </c>
      <c r="CE77" s="43">
        <v>4.6263345195729535</v>
      </c>
      <c r="CF77" s="43">
        <v>3.3582089552238807</v>
      </c>
      <c r="CG77" s="43">
        <v>5.31</v>
      </c>
      <c r="CH77" s="44">
        <v>5.58</v>
      </c>
      <c r="CI77" s="49">
        <v>2065</v>
      </c>
      <c r="CJ77" s="49">
        <v>2256</v>
      </c>
      <c r="CK77" s="54">
        <v>2653</v>
      </c>
      <c r="CL77" s="54">
        <v>2488</v>
      </c>
      <c r="CM77" s="88">
        <v>13.1</v>
      </c>
      <c r="CN77" s="88">
        <v>13.6</v>
      </c>
      <c r="CO77" s="88">
        <v>14.9</v>
      </c>
      <c r="CP77" s="88">
        <v>13.6</v>
      </c>
      <c r="CQ77" s="53">
        <v>102</v>
      </c>
      <c r="CR77" s="53">
        <v>98</v>
      </c>
      <c r="CS77" s="53">
        <v>101</v>
      </c>
      <c r="CT77" s="53">
        <v>110</v>
      </c>
      <c r="CU77" s="88">
        <v>5.0999999999999996</v>
      </c>
      <c r="CV77" s="88">
        <v>4.5</v>
      </c>
      <c r="CW77" s="88">
        <v>4</v>
      </c>
      <c r="CX77" s="88">
        <v>4.5999999999999996</v>
      </c>
      <c r="CY77" s="51">
        <v>144</v>
      </c>
      <c r="CZ77" s="53">
        <v>151</v>
      </c>
      <c r="DA77" s="53">
        <v>189</v>
      </c>
      <c r="DB77" s="53">
        <v>185</v>
      </c>
      <c r="DC77" s="88">
        <v>8.1999999999999993</v>
      </c>
      <c r="DD77" s="88">
        <v>7.3</v>
      </c>
      <c r="DE77" s="88">
        <v>8</v>
      </c>
      <c r="DF77" s="88">
        <v>8</v>
      </c>
      <c r="DG77" s="88">
        <v>86.7</v>
      </c>
      <c r="DH77" s="88">
        <v>84.8</v>
      </c>
      <c r="DI77" s="88">
        <v>85.6</v>
      </c>
      <c r="DJ77" s="88">
        <v>86.9</v>
      </c>
      <c r="DK77" s="88">
        <v>15.8</v>
      </c>
      <c r="DL77" s="88">
        <v>16.8</v>
      </c>
      <c r="DM77" s="88">
        <v>14.9</v>
      </c>
      <c r="DN77" s="88">
        <v>14.176399516713653</v>
      </c>
      <c r="DO77" s="88">
        <v>20.9</v>
      </c>
      <c r="DP77" s="88">
        <v>25.8</v>
      </c>
      <c r="DQ77" s="88">
        <v>31.1</v>
      </c>
      <c r="DR77" s="88">
        <v>36.4</v>
      </c>
      <c r="DS77" s="88">
        <v>33.463469046291131</v>
      </c>
      <c r="DT77" s="88">
        <v>33.412135539795116</v>
      </c>
      <c r="DU77" s="88">
        <v>34.498834498834498</v>
      </c>
      <c r="DV77" s="88">
        <v>30.242605516782984</v>
      </c>
      <c r="DW77" s="54">
        <v>374</v>
      </c>
      <c r="DX77" s="54">
        <v>30</v>
      </c>
      <c r="DY77" s="51">
        <v>2</v>
      </c>
      <c r="DZ77" s="53">
        <v>4</v>
      </c>
      <c r="EA77" s="53">
        <v>46</v>
      </c>
      <c r="EB77" s="53">
        <v>16</v>
      </c>
      <c r="EC77" s="53">
        <v>14</v>
      </c>
      <c r="ED77" s="51">
        <v>10</v>
      </c>
      <c r="EE77" s="53">
        <v>8</v>
      </c>
      <c r="EF77" s="53">
        <v>1314</v>
      </c>
      <c r="EG77" s="53">
        <v>1374</v>
      </c>
      <c r="EH77" s="53">
        <v>1288</v>
      </c>
      <c r="EI77" s="53">
        <v>1428</v>
      </c>
      <c r="EJ77" s="92">
        <v>291</v>
      </c>
      <c r="EK77" s="92">
        <v>1</v>
      </c>
      <c r="EL77" s="92">
        <v>0</v>
      </c>
      <c r="EM77" s="92">
        <v>1</v>
      </c>
      <c r="EN77" s="92">
        <v>3</v>
      </c>
      <c r="EO77" s="88">
        <v>836.29281704662617</v>
      </c>
      <c r="EP77" s="88">
        <v>827.28723244121989</v>
      </c>
      <c r="EQ77" s="88">
        <v>722.48742097793831</v>
      </c>
      <c r="ER77" s="88">
        <v>773.0603492429882</v>
      </c>
      <c r="ES77" s="88">
        <v>746.8</v>
      </c>
      <c r="ET77" s="88">
        <v>730.3</v>
      </c>
      <c r="EU77" s="88">
        <v>628.20000000000005</v>
      </c>
      <c r="EV77" s="88">
        <v>633.6</v>
      </c>
      <c r="EW77" s="88">
        <v>933.72007564836917</v>
      </c>
      <c r="EX77" s="88">
        <v>862.11297367766542</v>
      </c>
      <c r="EY77" s="88">
        <v>780.43716019790691</v>
      </c>
      <c r="EZ77" s="88">
        <v>766.33846917142284</v>
      </c>
      <c r="FA77" s="88">
        <v>616.5015954411266</v>
      </c>
      <c r="FB77" s="88">
        <v>631.62385313215259</v>
      </c>
      <c r="FC77" s="88">
        <v>514.37101008140326</v>
      </c>
      <c r="FD77" s="88">
        <v>531.34141460118485</v>
      </c>
      <c r="FE77" s="51">
        <v>316</v>
      </c>
      <c r="FF77" s="54">
        <v>316</v>
      </c>
      <c r="FG77" s="54">
        <v>320</v>
      </c>
      <c r="FH77" s="54">
        <v>342</v>
      </c>
      <c r="FI77" s="88">
        <v>186.00749999999999</v>
      </c>
      <c r="FJ77" s="88">
        <v>176.55529999999999</v>
      </c>
      <c r="FK77" s="88">
        <v>165.26660000000001</v>
      </c>
      <c r="FL77" s="88">
        <v>160.6523</v>
      </c>
      <c r="FM77" s="54">
        <v>389</v>
      </c>
      <c r="FN77" s="54">
        <v>362</v>
      </c>
      <c r="FO77" s="51">
        <v>341</v>
      </c>
      <c r="FP77" s="54">
        <v>340</v>
      </c>
      <c r="FQ77" s="88">
        <v>218.69229999999999</v>
      </c>
      <c r="FR77" s="88">
        <v>188.5411</v>
      </c>
      <c r="FS77" s="88">
        <v>162.04599999999999</v>
      </c>
      <c r="FT77" s="88">
        <v>146.2176</v>
      </c>
      <c r="FU77" s="53">
        <v>99</v>
      </c>
      <c r="FV77" s="53">
        <v>95</v>
      </c>
      <c r="FW77" s="53">
        <v>85</v>
      </c>
      <c r="FX77" s="53">
        <v>86</v>
      </c>
      <c r="FY77" s="88">
        <v>54.42024</v>
      </c>
      <c r="FZ77" s="88">
        <v>48.540320000000001</v>
      </c>
      <c r="GA77" s="88">
        <v>39.23263</v>
      </c>
      <c r="GB77" s="88">
        <v>35.299480000000003</v>
      </c>
      <c r="GC77" s="55">
        <v>57</v>
      </c>
      <c r="GD77" s="56">
        <v>67</v>
      </c>
      <c r="GE77" s="55">
        <v>82</v>
      </c>
      <c r="GF77" s="55">
        <v>82</v>
      </c>
      <c r="GG77" s="91">
        <v>35.082140000000003</v>
      </c>
      <c r="GH77" s="91">
        <v>37.546289999999999</v>
      </c>
      <c r="GI77" s="91">
        <v>41.163139999999999</v>
      </c>
      <c r="GJ77" s="91">
        <v>39.200479999999999</v>
      </c>
      <c r="GK77" s="55"/>
      <c r="GL77" s="55"/>
      <c r="GM77" s="55"/>
      <c r="GN77" s="56"/>
      <c r="GO77" s="55"/>
      <c r="GP77" s="55"/>
      <c r="GQ77" s="55"/>
      <c r="GR77" s="55"/>
      <c r="GS77" s="56"/>
      <c r="GT77" s="55"/>
      <c r="GU77" s="55"/>
      <c r="GV77" s="55"/>
      <c r="GW77" s="55"/>
      <c r="GX77" s="56"/>
      <c r="GY77" s="56"/>
      <c r="GZ77" s="56"/>
      <c r="HA77" s="56"/>
      <c r="HB77" s="56"/>
      <c r="HC77" s="56"/>
      <c r="HD77" s="57"/>
      <c r="HE77" s="57"/>
      <c r="HF77" s="57"/>
      <c r="HG77" s="57"/>
      <c r="HH77" s="57"/>
      <c r="HI77" s="58"/>
      <c r="HJ77" s="58"/>
      <c r="HK77" s="55"/>
      <c r="HL77" s="56"/>
      <c r="HM77" s="56"/>
      <c r="HN77" s="56"/>
      <c r="HO77" s="56"/>
      <c r="HP77" s="56"/>
      <c r="HQ77" s="56"/>
      <c r="HR77" s="56"/>
      <c r="HS77" s="56"/>
      <c r="HT77" s="56"/>
      <c r="HU77" s="38"/>
    </row>
    <row r="78" spans="1:229" x14ac:dyDescent="0.2">
      <c r="A78" s="36">
        <v>75</v>
      </c>
      <c r="B78" s="70" t="s">
        <v>131</v>
      </c>
      <c r="C78" s="77">
        <v>9661</v>
      </c>
      <c r="D78" s="77">
        <v>9629</v>
      </c>
      <c r="E78" s="77">
        <v>9726</v>
      </c>
      <c r="F78" s="77">
        <v>9685</v>
      </c>
      <c r="G78" s="150">
        <v>9663</v>
      </c>
      <c r="H78" s="41">
        <v>9132</v>
      </c>
      <c r="I78" s="41">
        <v>114</v>
      </c>
      <c r="J78" s="41">
        <v>96</v>
      </c>
      <c r="K78" s="41">
        <v>166</v>
      </c>
      <c r="L78" s="41">
        <v>373</v>
      </c>
      <c r="M78" s="42">
        <v>3873</v>
      </c>
      <c r="N78" s="43">
        <v>3877</v>
      </c>
      <c r="O78" s="43">
        <v>3726</v>
      </c>
      <c r="P78" s="44">
        <v>3724</v>
      </c>
      <c r="Q78" s="44">
        <v>3713</v>
      </c>
      <c r="R78" s="87">
        <v>25.260736196319019</v>
      </c>
      <c r="S78" s="87">
        <v>25.054500155714731</v>
      </c>
      <c r="T78" s="87">
        <v>24.875389408099689</v>
      </c>
      <c r="U78" s="87">
        <v>24.338951600432967</v>
      </c>
      <c r="V78" s="87">
        <v>24.968494013862635</v>
      </c>
      <c r="W78" s="87">
        <v>22.914110429447852</v>
      </c>
      <c r="X78" s="87">
        <v>24.883213952039863</v>
      </c>
      <c r="Y78" s="87">
        <v>26.619937694704049</v>
      </c>
      <c r="Z78" s="87">
        <v>25.421370032472552</v>
      </c>
      <c r="AA78" s="42">
        <v>27.252678008821675</v>
      </c>
      <c r="AB78" s="87">
        <v>48.174846625766868</v>
      </c>
      <c r="AC78" s="87">
        <v>49.937714107754594</v>
      </c>
      <c r="AD78" s="87">
        <v>51.495327102803735</v>
      </c>
      <c r="AE78" s="87">
        <v>49.760321632905523</v>
      </c>
      <c r="AF78" s="87">
        <v>52.221172022684307</v>
      </c>
      <c r="AG78" s="44">
        <v>4.6202867764206053</v>
      </c>
      <c r="AH78" s="44">
        <v>5.5663889381315368</v>
      </c>
      <c r="AI78" s="44">
        <v>5.3463984871927108</v>
      </c>
      <c r="AJ78" s="43">
        <v>4.7546272711835629</v>
      </c>
      <c r="AK78" s="43">
        <v>3.6810753016648845</v>
      </c>
      <c r="AL78" s="47">
        <v>154.33333333333334</v>
      </c>
      <c r="AM78" s="47">
        <v>185.08333333333334</v>
      </c>
      <c r="AN78" s="47">
        <v>154.33333333333334</v>
      </c>
      <c r="AO78" s="47">
        <v>268.91666666666669</v>
      </c>
      <c r="AP78" s="47">
        <v>257.83333333333331</v>
      </c>
      <c r="AQ78" s="47">
        <v>46455.098297088603</v>
      </c>
      <c r="AR78" s="47">
        <v>40647.913670179536</v>
      </c>
      <c r="AS78" s="47">
        <v>45120.942962793451</v>
      </c>
      <c r="AT78" s="47">
        <v>50027.108746553684</v>
      </c>
      <c r="AU78" s="47">
        <v>58127.496636655284</v>
      </c>
      <c r="AV78" s="84">
        <v>53155.694507294087</v>
      </c>
      <c r="AW78" s="85">
        <v>57671.372155842073</v>
      </c>
      <c r="AX78" s="85">
        <v>51472.220789406631</v>
      </c>
      <c r="AY78" s="85">
        <v>47862.081657306553</v>
      </c>
      <c r="AZ78" s="85">
        <v>50832</v>
      </c>
      <c r="BA78" s="83">
        <v>12.319004524886878</v>
      </c>
      <c r="BB78" s="83">
        <v>12.095400340715502</v>
      </c>
      <c r="BC78" s="83">
        <v>11.413777577667718</v>
      </c>
      <c r="BD78" s="83">
        <v>13.255735111312013</v>
      </c>
      <c r="BE78" s="83">
        <v>12.773722627737227</v>
      </c>
      <c r="BF78" s="83">
        <v>9.0449438202247183</v>
      </c>
      <c r="BG78" s="46">
        <v>10.23454157782516</v>
      </c>
      <c r="BH78" s="46">
        <v>11.00597609561753</v>
      </c>
      <c r="BI78" s="46">
        <v>12.157268494568029</v>
      </c>
      <c r="BJ78" s="46">
        <v>11.717974180734856</v>
      </c>
      <c r="BK78" s="42">
        <v>1489</v>
      </c>
      <c r="BL78" s="42">
        <v>1411</v>
      </c>
      <c r="BM78" s="40">
        <v>1458</v>
      </c>
      <c r="BN78" s="40">
        <v>1480</v>
      </c>
      <c r="BO78" s="43">
        <v>29.214237743451982</v>
      </c>
      <c r="BP78" s="43">
        <v>29.128277817150956</v>
      </c>
      <c r="BQ78" s="44">
        <v>29.561042524005487</v>
      </c>
      <c r="BR78" s="44">
        <v>31.148648648648649</v>
      </c>
      <c r="BS78" s="87">
        <v>1.1417058428475486</v>
      </c>
      <c r="BT78" s="87">
        <v>1.559177888022679</v>
      </c>
      <c r="BU78" s="87">
        <v>1.9890260631001371</v>
      </c>
      <c r="BV78" s="87">
        <v>2.5675675675675675</v>
      </c>
      <c r="BW78" s="43">
        <v>19.140362659503023</v>
      </c>
      <c r="BX78" s="43">
        <v>19.489723600283487</v>
      </c>
      <c r="BY78" s="43">
        <v>18.930041152263374</v>
      </c>
      <c r="BZ78" s="43">
        <v>18.986486486486488</v>
      </c>
      <c r="CA78" s="42">
        <v>95.934959349593498</v>
      </c>
      <c r="CB78" s="42">
        <v>89.473684210526315</v>
      </c>
      <c r="CC78" s="42">
        <v>89.81</v>
      </c>
      <c r="CD78" s="44">
        <v>92.92</v>
      </c>
      <c r="CE78" s="43">
        <v>0</v>
      </c>
      <c r="CF78" s="43">
        <v>0</v>
      </c>
      <c r="CG78" s="43">
        <v>0.93</v>
      </c>
      <c r="CH78" s="44">
        <v>1.77</v>
      </c>
      <c r="CI78" s="49">
        <v>471</v>
      </c>
      <c r="CJ78" s="49">
        <v>527</v>
      </c>
      <c r="CK78" s="51">
        <v>559</v>
      </c>
      <c r="CL78" s="51">
        <v>576</v>
      </c>
      <c r="CM78" s="88">
        <v>9.1999999999999993</v>
      </c>
      <c r="CN78" s="88">
        <v>10.5</v>
      </c>
      <c r="CO78" s="88">
        <v>11.4</v>
      </c>
      <c r="CP78" s="88">
        <v>11.9</v>
      </c>
      <c r="CQ78" s="53">
        <v>18</v>
      </c>
      <c r="CR78" s="53">
        <v>23</v>
      </c>
      <c r="CS78" s="53">
        <v>20</v>
      </c>
      <c r="CT78" s="53">
        <v>19</v>
      </c>
      <c r="CU78" s="88">
        <v>3.9</v>
      </c>
      <c r="CV78" s="88">
        <v>4.5</v>
      </c>
      <c r="CW78" s="88">
        <v>3.7</v>
      </c>
      <c r="CX78" s="88">
        <v>3.4</v>
      </c>
      <c r="CY78" s="51">
        <v>28</v>
      </c>
      <c r="CZ78" s="53">
        <v>36</v>
      </c>
      <c r="DA78" s="53">
        <v>30</v>
      </c>
      <c r="DB78" s="53">
        <v>43</v>
      </c>
      <c r="DC78" s="88">
        <v>6.2</v>
      </c>
      <c r="DD78" s="88">
        <v>7.1</v>
      </c>
      <c r="DE78" s="88">
        <v>5.6</v>
      </c>
      <c r="DF78" s="88">
        <v>7.7</v>
      </c>
      <c r="DG78" s="88">
        <v>79.400000000000006</v>
      </c>
      <c r="DH78" s="88">
        <v>82</v>
      </c>
      <c r="DI78" s="88">
        <v>90.5</v>
      </c>
      <c r="DJ78" s="88">
        <v>91.8</v>
      </c>
      <c r="DK78" s="88">
        <v>7.3</v>
      </c>
      <c r="DL78" s="88">
        <v>7.6</v>
      </c>
      <c r="DM78" s="88">
        <v>7.9</v>
      </c>
      <c r="DN78" s="88">
        <v>9.2013888888888893</v>
      </c>
      <c r="DO78" s="88">
        <v>14.6</v>
      </c>
      <c r="DP78" s="88">
        <v>18.600000000000001</v>
      </c>
      <c r="DQ78" s="88">
        <v>19.7</v>
      </c>
      <c r="DR78" s="88">
        <v>21.9</v>
      </c>
      <c r="DS78" s="88" t="s">
        <v>39</v>
      </c>
      <c r="DT78" s="88">
        <v>10.197775030902349</v>
      </c>
      <c r="DU78" s="88">
        <v>8.5470085470085468</v>
      </c>
      <c r="DV78" s="88">
        <v>10.111953773925604</v>
      </c>
      <c r="DW78" s="54">
        <v>94</v>
      </c>
      <c r="DX78" s="54">
        <v>1</v>
      </c>
      <c r="DY78" s="51">
        <v>1</v>
      </c>
      <c r="DZ78" s="53">
        <v>0</v>
      </c>
      <c r="EA78" s="53">
        <v>12</v>
      </c>
      <c r="EB78" s="53">
        <v>5</v>
      </c>
      <c r="EC78" s="53">
        <v>2</v>
      </c>
      <c r="ED78" s="51">
        <v>5</v>
      </c>
      <c r="EE78" s="53">
        <v>2</v>
      </c>
      <c r="EF78" s="53">
        <v>475</v>
      </c>
      <c r="EG78" s="53">
        <v>466</v>
      </c>
      <c r="EH78" s="53">
        <v>384</v>
      </c>
      <c r="EI78" s="53">
        <v>445</v>
      </c>
      <c r="EJ78" s="92">
        <v>81</v>
      </c>
      <c r="EK78" s="92">
        <v>0</v>
      </c>
      <c r="EL78" s="92">
        <v>1</v>
      </c>
      <c r="EM78" s="92">
        <v>0</v>
      </c>
      <c r="EN78" s="92">
        <v>0</v>
      </c>
      <c r="EO78" s="88">
        <v>923.45976631607596</v>
      </c>
      <c r="EP78" s="88">
        <v>931.42251803881595</v>
      </c>
      <c r="EQ78" s="88">
        <v>782.07739307535644</v>
      </c>
      <c r="ER78" s="88">
        <v>937.96025942482106</v>
      </c>
      <c r="ES78" s="88">
        <v>721.2</v>
      </c>
      <c r="ET78" s="88">
        <v>656.7</v>
      </c>
      <c r="EU78" s="88">
        <v>513.9</v>
      </c>
      <c r="EV78" s="88">
        <v>607.20000000000005</v>
      </c>
      <c r="EW78" s="88">
        <v>949.70164206184518</v>
      </c>
      <c r="EX78" s="88">
        <v>759.83360499257969</v>
      </c>
      <c r="EY78" s="88">
        <v>601.00891854817939</v>
      </c>
      <c r="EZ78" s="88">
        <v>727.31585988765391</v>
      </c>
      <c r="FA78" s="88">
        <v>551.25966543944605</v>
      </c>
      <c r="FB78" s="88">
        <v>589.13878479501238</v>
      </c>
      <c r="FC78" s="88">
        <v>449.30914993158729</v>
      </c>
      <c r="FD78" s="88">
        <v>496.17240416168147</v>
      </c>
      <c r="FE78" s="51">
        <v>96</v>
      </c>
      <c r="FF78" s="54">
        <v>107</v>
      </c>
      <c r="FG78" s="54">
        <v>101</v>
      </c>
      <c r="FH78" s="54">
        <v>100</v>
      </c>
      <c r="FI78" s="88">
        <v>157.52680000000001</v>
      </c>
      <c r="FJ78" s="88">
        <v>169.5308</v>
      </c>
      <c r="FK78" s="88">
        <v>142.10589999999999</v>
      </c>
      <c r="FL78" s="88">
        <v>158.14940000000001</v>
      </c>
      <c r="FM78" s="54">
        <v>143</v>
      </c>
      <c r="FN78" s="54">
        <v>104</v>
      </c>
      <c r="FO78" s="51">
        <v>73</v>
      </c>
      <c r="FP78" s="54">
        <v>104</v>
      </c>
      <c r="FQ78" s="88">
        <v>201.089</v>
      </c>
      <c r="FR78" s="88">
        <v>141.69409999999999</v>
      </c>
      <c r="FS78" s="88">
        <v>88.563770000000005</v>
      </c>
      <c r="FT78" s="88">
        <v>129.5241</v>
      </c>
      <c r="FU78" s="53">
        <v>33</v>
      </c>
      <c r="FV78" s="53">
        <v>39</v>
      </c>
      <c r="FW78" s="53">
        <v>29</v>
      </c>
      <c r="FX78" s="53">
        <v>24</v>
      </c>
      <c r="FY78" s="88">
        <v>43.602440000000001</v>
      </c>
      <c r="FZ78" s="88">
        <v>51.987430000000003</v>
      </c>
      <c r="GA78" s="88">
        <v>35.671140000000001</v>
      </c>
      <c r="GB78" s="88">
        <v>30.639250000000001</v>
      </c>
      <c r="GC78" s="55">
        <v>21</v>
      </c>
      <c r="GD78" s="56">
        <v>23</v>
      </c>
      <c r="GE78" s="55">
        <v>28</v>
      </c>
      <c r="GF78" s="55">
        <v>24</v>
      </c>
      <c r="GG78" s="91">
        <v>39.664050000000003</v>
      </c>
      <c r="GH78" s="91">
        <v>34.77957</v>
      </c>
      <c r="GI78" s="91">
        <v>43.817419999999998</v>
      </c>
      <c r="GJ78" s="91">
        <v>44.261299999999999</v>
      </c>
      <c r="GK78" s="55"/>
      <c r="GL78" s="55"/>
      <c r="GM78" s="55"/>
      <c r="GN78" s="56"/>
      <c r="GO78" s="55"/>
      <c r="GP78" s="55"/>
      <c r="GQ78" s="55"/>
      <c r="GR78" s="55"/>
      <c r="GS78" s="56"/>
      <c r="GT78" s="55"/>
      <c r="GU78" s="55"/>
      <c r="GV78" s="55"/>
      <c r="GW78" s="55"/>
      <c r="GX78" s="56"/>
      <c r="GY78" s="56"/>
      <c r="GZ78" s="56"/>
      <c r="HA78" s="56"/>
      <c r="HB78" s="56"/>
      <c r="HC78" s="56"/>
      <c r="HD78" s="57"/>
      <c r="HE78" s="57"/>
      <c r="HF78" s="57"/>
      <c r="HG78" s="57"/>
      <c r="HH78" s="57"/>
      <c r="HI78" s="58"/>
      <c r="HJ78" s="58"/>
      <c r="HK78" s="55"/>
      <c r="HL78" s="56"/>
      <c r="HM78" s="56"/>
      <c r="HN78" s="56"/>
      <c r="HO78" s="56"/>
      <c r="HP78" s="56"/>
      <c r="HQ78" s="56"/>
      <c r="HR78" s="56"/>
      <c r="HS78" s="56"/>
      <c r="HT78" s="56"/>
      <c r="HU78" s="38"/>
    </row>
    <row r="79" spans="1:229" x14ac:dyDescent="0.2">
      <c r="A79" s="36">
        <v>76</v>
      </c>
      <c r="B79" s="70" t="s">
        <v>132</v>
      </c>
      <c r="C79" s="77">
        <v>11035</v>
      </c>
      <c r="D79" s="77">
        <v>10823</v>
      </c>
      <c r="E79" s="77">
        <v>9783</v>
      </c>
      <c r="F79" s="77">
        <v>9640</v>
      </c>
      <c r="G79" s="150">
        <v>9594</v>
      </c>
      <c r="H79" s="41">
        <v>9333</v>
      </c>
      <c r="I79" s="41">
        <v>77</v>
      </c>
      <c r="J79" s="41">
        <v>47</v>
      </c>
      <c r="K79" s="41">
        <v>32</v>
      </c>
      <c r="L79" s="41">
        <v>367</v>
      </c>
      <c r="M79" s="42">
        <v>4310</v>
      </c>
      <c r="N79" s="43">
        <v>4289</v>
      </c>
      <c r="O79" s="43">
        <v>4236</v>
      </c>
      <c r="P79" s="44">
        <v>4216</v>
      </c>
      <c r="Q79" s="44">
        <v>4208</v>
      </c>
      <c r="R79" s="87">
        <v>27.998357064622123</v>
      </c>
      <c r="S79" s="87">
        <v>27.547434996486295</v>
      </c>
      <c r="T79" s="87">
        <v>32.372797628849007</v>
      </c>
      <c r="U79" s="87">
        <v>32.396251673360105</v>
      </c>
      <c r="V79" s="87">
        <v>33.571185864763848</v>
      </c>
      <c r="W79" s="87">
        <v>23.083242059145675</v>
      </c>
      <c r="X79" s="87">
        <v>24.567814476458185</v>
      </c>
      <c r="Y79" s="87">
        <v>28.717273176354354</v>
      </c>
      <c r="Z79" s="87">
        <v>28.91566265060241</v>
      </c>
      <c r="AA79" s="42">
        <v>29.425756031260619</v>
      </c>
      <c r="AB79" s="87">
        <v>51.081599123767802</v>
      </c>
      <c r="AC79" s="87">
        <v>52.115249472944484</v>
      </c>
      <c r="AD79" s="87">
        <v>61.090070805203361</v>
      </c>
      <c r="AE79" s="87">
        <v>61.311914323962519</v>
      </c>
      <c r="AF79" s="87">
        <v>62.996941896024467</v>
      </c>
      <c r="AG79" s="44">
        <v>6.0270837306885374</v>
      </c>
      <c r="AH79" s="44">
        <v>7.442955450923578</v>
      </c>
      <c r="AI79" s="44">
        <v>8.0043859649122808</v>
      </c>
      <c r="AJ79" s="43">
        <v>7.4660633484162897</v>
      </c>
      <c r="AK79" s="43">
        <v>5.8701003597803449</v>
      </c>
      <c r="AL79" s="47">
        <v>230.83333333333334</v>
      </c>
      <c r="AM79" s="47">
        <v>283</v>
      </c>
      <c r="AN79" s="47">
        <v>230.83333333333334</v>
      </c>
      <c r="AO79" s="47">
        <v>425.66666666666669</v>
      </c>
      <c r="AP79" s="47">
        <v>414.25</v>
      </c>
      <c r="AQ79" s="47">
        <v>38527.390075067269</v>
      </c>
      <c r="AR79" s="47">
        <v>37775.127965575586</v>
      </c>
      <c r="AS79" s="47">
        <v>40109.230682599984</v>
      </c>
      <c r="AT79" s="47">
        <v>42313.078970631643</v>
      </c>
      <c r="AU79" s="47">
        <v>48537.940379403793</v>
      </c>
      <c r="AV79" s="84">
        <v>46523.895920802184</v>
      </c>
      <c r="AW79" s="85">
        <v>47570.935881150814</v>
      </c>
      <c r="AX79" s="85">
        <v>45651.653406286248</v>
      </c>
      <c r="AY79" s="85">
        <v>47164.95204517783</v>
      </c>
      <c r="AZ79" s="85">
        <v>48660</v>
      </c>
      <c r="BA79" s="83">
        <v>11.73469387755102</v>
      </c>
      <c r="BB79" s="83">
        <v>11.429842116966867</v>
      </c>
      <c r="BC79" s="83">
        <v>9.9301865166197771</v>
      </c>
      <c r="BD79" s="83">
        <v>10.542422963275644</v>
      </c>
      <c r="BE79" s="83">
        <v>11.332555920703912</v>
      </c>
      <c r="BF79" s="83">
        <v>11.933174224343675</v>
      </c>
      <c r="BG79" s="46">
        <v>13.25187969924812</v>
      </c>
      <c r="BH79" s="46">
        <v>13.736521331458039</v>
      </c>
      <c r="BI79" s="46">
        <v>15.016738402678145</v>
      </c>
      <c r="BJ79" s="46">
        <v>15.626511852926948</v>
      </c>
      <c r="BK79" s="42">
        <v>1507</v>
      </c>
      <c r="BL79" s="42">
        <v>1527</v>
      </c>
      <c r="BM79" s="40">
        <v>1483</v>
      </c>
      <c r="BN79" s="40">
        <v>1503</v>
      </c>
      <c r="BO79" s="43">
        <v>34.771068347710681</v>
      </c>
      <c r="BP79" s="43">
        <v>37.917485265225935</v>
      </c>
      <c r="BQ79" s="44">
        <v>37.491571139581929</v>
      </c>
      <c r="BR79" s="44">
        <v>38.522954091816366</v>
      </c>
      <c r="BS79" s="87">
        <v>1.3934970139349701</v>
      </c>
      <c r="BT79" s="87">
        <v>1.7026850032743943</v>
      </c>
      <c r="BU79" s="87">
        <v>2.22521915037087</v>
      </c>
      <c r="BV79" s="87">
        <v>2.328675981370592</v>
      </c>
      <c r="BW79" s="43">
        <v>14.863968148639682</v>
      </c>
      <c r="BX79" s="43">
        <v>15.324165029469548</v>
      </c>
      <c r="BY79" s="43">
        <v>15.374241402562374</v>
      </c>
      <c r="BZ79" s="43">
        <v>16.167664670658684</v>
      </c>
      <c r="CA79" s="42">
        <v>86.111111111111114</v>
      </c>
      <c r="CB79" s="42">
        <v>82.065217391304344</v>
      </c>
      <c r="CC79" s="42">
        <v>76.92</v>
      </c>
      <c r="CD79" s="44">
        <v>88.6</v>
      </c>
      <c r="CE79" s="43">
        <v>1.3888888888888888</v>
      </c>
      <c r="CF79" s="43">
        <v>1.6304347826086956</v>
      </c>
      <c r="CG79" s="43">
        <v>3.08</v>
      </c>
      <c r="CH79" s="44">
        <v>2.63</v>
      </c>
      <c r="CI79" s="49">
        <v>605</v>
      </c>
      <c r="CJ79" s="49">
        <v>618</v>
      </c>
      <c r="CK79" s="51">
        <v>576</v>
      </c>
      <c r="CL79" s="51">
        <v>550</v>
      </c>
      <c r="CM79" s="88">
        <v>11.2</v>
      </c>
      <c r="CN79" s="88">
        <v>10.8</v>
      </c>
      <c r="CO79" s="88">
        <v>10.3</v>
      </c>
      <c r="CP79" s="88">
        <v>10.8</v>
      </c>
      <c r="CQ79" s="53">
        <v>22</v>
      </c>
      <c r="CR79" s="53">
        <v>28</v>
      </c>
      <c r="CS79" s="53">
        <v>21</v>
      </c>
      <c r="CT79" s="53">
        <v>19</v>
      </c>
      <c r="CU79" s="88">
        <v>3.7</v>
      </c>
      <c r="CV79" s="88">
        <v>4.5999999999999996</v>
      </c>
      <c r="CW79" s="88">
        <v>3.7</v>
      </c>
      <c r="CX79" s="88">
        <v>3.6</v>
      </c>
      <c r="CY79" s="51">
        <v>24</v>
      </c>
      <c r="CZ79" s="53">
        <v>41</v>
      </c>
      <c r="DA79" s="53">
        <v>23</v>
      </c>
      <c r="DB79" s="53">
        <v>34</v>
      </c>
      <c r="DC79" s="88">
        <v>4.2</v>
      </c>
      <c r="DD79" s="88">
        <v>7.1</v>
      </c>
      <c r="DE79" s="88">
        <v>4.4000000000000004</v>
      </c>
      <c r="DF79" s="88">
        <v>6.8</v>
      </c>
      <c r="DG79" s="88">
        <v>86</v>
      </c>
      <c r="DH79" s="88">
        <v>85</v>
      </c>
      <c r="DI79" s="88">
        <v>90.1</v>
      </c>
      <c r="DJ79" s="88">
        <v>90.4</v>
      </c>
      <c r="DK79" s="88">
        <v>14.1</v>
      </c>
      <c r="DL79" s="88">
        <v>17.5</v>
      </c>
      <c r="DM79" s="88">
        <v>18.7</v>
      </c>
      <c r="DN79" s="88">
        <v>17.486338797814209</v>
      </c>
      <c r="DO79" s="88">
        <v>19.2</v>
      </c>
      <c r="DP79" s="88">
        <v>24.4</v>
      </c>
      <c r="DQ79" s="88">
        <v>27.8</v>
      </c>
      <c r="DR79" s="88">
        <v>32.9</v>
      </c>
      <c r="DS79" s="88">
        <v>35.479632063074902</v>
      </c>
      <c r="DT79" s="88">
        <v>32.351242056614673</v>
      </c>
      <c r="DU79" s="88">
        <v>24.528301886792452</v>
      </c>
      <c r="DV79" s="88">
        <v>25.096525096525095</v>
      </c>
      <c r="DW79" s="54">
        <v>100</v>
      </c>
      <c r="DX79" s="54">
        <v>0</v>
      </c>
      <c r="DY79" s="51">
        <v>0</v>
      </c>
      <c r="DZ79" s="53">
        <v>1</v>
      </c>
      <c r="EA79" s="53">
        <v>8</v>
      </c>
      <c r="EB79" s="53">
        <v>1</v>
      </c>
      <c r="EC79" s="53">
        <v>2</v>
      </c>
      <c r="ED79" s="51">
        <v>4</v>
      </c>
      <c r="EE79" s="53">
        <v>2</v>
      </c>
      <c r="EF79" s="53">
        <v>692</v>
      </c>
      <c r="EG79" s="53">
        <v>662</v>
      </c>
      <c r="EH79" s="53">
        <v>579</v>
      </c>
      <c r="EI79" s="53">
        <v>561</v>
      </c>
      <c r="EJ79" s="92">
        <v>94</v>
      </c>
      <c r="EK79" s="92">
        <v>0</v>
      </c>
      <c r="EL79" s="92">
        <v>0</v>
      </c>
      <c r="EM79" s="92">
        <v>0</v>
      </c>
      <c r="EN79" s="92">
        <v>0</v>
      </c>
      <c r="EO79" s="88">
        <v>1283.2875899413991</v>
      </c>
      <c r="EP79" s="88">
        <v>1154.5571872056926</v>
      </c>
      <c r="EQ79" s="88">
        <v>1034.7230909448326</v>
      </c>
      <c r="ER79" s="88">
        <v>1128.8486228531285</v>
      </c>
      <c r="ES79" s="88">
        <v>805.7</v>
      </c>
      <c r="ET79" s="88">
        <v>722.3</v>
      </c>
      <c r="EU79" s="88">
        <v>622.5</v>
      </c>
      <c r="EV79" s="88">
        <v>628.79999999999995</v>
      </c>
      <c r="EW79" s="88">
        <v>1052.4924119164332</v>
      </c>
      <c r="EX79" s="88">
        <v>894.54361779295095</v>
      </c>
      <c r="EY79" s="88">
        <v>766.82906609055453</v>
      </c>
      <c r="EZ79" s="88">
        <v>732.37559224782171</v>
      </c>
      <c r="FA79" s="88">
        <v>619.84043371663972</v>
      </c>
      <c r="FB79" s="88">
        <v>588.0737488559339</v>
      </c>
      <c r="FC79" s="88">
        <v>522.87058092548341</v>
      </c>
      <c r="FD79" s="88">
        <v>535.84035937981412</v>
      </c>
      <c r="FE79" s="51">
        <v>170</v>
      </c>
      <c r="FF79" s="54">
        <v>151</v>
      </c>
      <c r="FG79" s="54">
        <v>144</v>
      </c>
      <c r="FH79" s="54">
        <v>139</v>
      </c>
      <c r="FI79" s="88">
        <v>214.50200000000001</v>
      </c>
      <c r="FJ79" s="88">
        <v>186.90440000000001</v>
      </c>
      <c r="FK79" s="88">
        <v>170.20750000000001</v>
      </c>
      <c r="FL79" s="88">
        <v>174.43709999999999</v>
      </c>
      <c r="FM79" s="54">
        <v>239</v>
      </c>
      <c r="FN79" s="54">
        <v>203</v>
      </c>
      <c r="FO79" s="51">
        <v>153</v>
      </c>
      <c r="FP79" s="54">
        <v>136</v>
      </c>
      <c r="FQ79" s="88">
        <v>259.06849999999997</v>
      </c>
      <c r="FR79" s="88">
        <v>209.06909999999999</v>
      </c>
      <c r="FS79" s="88">
        <v>154.15950000000001</v>
      </c>
      <c r="FT79" s="88">
        <v>133.74629999999999</v>
      </c>
      <c r="FU79" s="53">
        <v>50</v>
      </c>
      <c r="FV79" s="53">
        <v>62</v>
      </c>
      <c r="FW79" s="53">
        <v>52</v>
      </c>
      <c r="FX79" s="53">
        <v>25</v>
      </c>
      <c r="FY79" s="88">
        <v>54.868519999999997</v>
      </c>
      <c r="FZ79" s="88">
        <v>62.108319999999999</v>
      </c>
      <c r="GA79" s="88">
        <v>46.891480000000001</v>
      </c>
      <c r="GB79" s="88">
        <v>24.280419999999999</v>
      </c>
      <c r="GC79" s="55">
        <v>30</v>
      </c>
      <c r="GD79" s="56">
        <v>22</v>
      </c>
      <c r="GE79" s="55">
        <v>18</v>
      </c>
      <c r="GF79" s="55">
        <v>32</v>
      </c>
      <c r="GG79" s="91">
        <v>42.842979999999997</v>
      </c>
      <c r="GH79" s="91">
        <v>29.33475</v>
      </c>
      <c r="GI79" s="91">
        <v>27.37555</v>
      </c>
      <c r="GJ79" s="91">
        <v>48.754980000000003</v>
      </c>
      <c r="GK79" s="55"/>
      <c r="GL79" s="55"/>
      <c r="GM79" s="55"/>
      <c r="GN79" s="56"/>
      <c r="GO79" s="55"/>
      <c r="GP79" s="55"/>
      <c r="GQ79" s="55"/>
      <c r="GR79" s="55"/>
      <c r="GS79" s="56"/>
      <c r="GT79" s="55"/>
      <c r="GU79" s="55"/>
      <c r="GV79" s="55"/>
      <c r="GW79" s="55"/>
      <c r="GX79" s="56"/>
      <c r="GY79" s="56"/>
      <c r="GZ79" s="56"/>
      <c r="HA79" s="56"/>
      <c r="HB79" s="56"/>
      <c r="HC79" s="56"/>
      <c r="HD79" s="57"/>
      <c r="HE79" s="57"/>
      <c r="HF79" s="57"/>
      <c r="HG79" s="57"/>
      <c r="HH79" s="57"/>
      <c r="HI79" s="58"/>
      <c r="HJ79" s="58"/>
      <c r="HK79" s="55"/>
      <c r="HL79" s="56"/>
      <c r="HM79" s="56"/>
      <c r="HN79" s="56"/>
      <c r="HO79" s="56"/>
      <c r="HP79" s="56"/>
      <c r="HQ79" s="56"/>
      <c r="HR79" s="56"/>
      <c r="HS79" s="56"/>
      <c r="HT79" s="56"/>
      <c r="HU79" s="38"/>
    </row>
    <row r="80" spans="1:229" ht="21" customHeight="1" x14ac:dyDescent="0.2">
      <c r="A80" s="36">
        <v>77</v>
      </c>
      <c r="B80" s="70" t="s">
        <v>133</v>
      </c>
      <c r="C80" s="77">
        <v>23917</v>
      </c>
      <c r="D80" s="77">
        <v>23869</v>
      </c>
      <c r="E80" s="77">
        <v>24895</v>
      </c>
      <c r="F80" s="77">
        <v>24836</v>
      </c>
      <c r="G80" s="150">
        <v>24509</v>
      </c>
      <c r="H80" s="41">
        <v>23772</v>
      </c>
      <c r="I80" s="41">
        <v>121</v>
      </c>
      <c r="J80" s="41">
        <v>104</v>
      </c>
      <c r="K80" s="41">
        <v>167</v>
      </c>
      <c r="L80" s="41">
        <v>1293</v>
      </c>
      <c r="M80" s="42">
        <v>9764</v>
      </c>
      <c r="N80" s="43">
        <v>9784</v>
      </c>
      <c r="O80" s="43">
        <v>9756</v>
      </c>
      <c r="P80" s="44">
        <v>9777</v>
      </c>
      <c r="Q80" s="44">
        <v>9693</v>
      </c>
      <c r="R80" s="87">
        <v>25.87276958882855</v>
      </c>
      <c r="S80" s="87">
        <v>26.776137191286498</v>
      </c>
      <c r="T80" s="87">
        <v>27.887342098478989</v>
      </c>
      <c r="U80" s="87">
        <v>28.103014264506552</v>
      </c>
      <c r="V80" s="87">
        <v>29.273897058823529</v>
      </c>
      <c r="W80" s="87">
        <v>28.749676752004138</v>
      </c>
      <c r="X80" s="87">
        <v>31.265311527511091</v>
      </c>
      <c r="Y80" s="87">
        <v>32.559938128383607</v>
      </c>
      <c r="Z80" s="87">
        <v>32.201639450074225</v>
      </c>
      <c r="AA80" s="42">
        <v>31.630777310924369</v>
      </c>
      <c r="AB80" s="87">
        <v>54.622446340832688</v>
      </c>
      <c r="AC80" s="87">
        <v>58.041448718797589</v>
      </c>
      <c r="AD80" s="87">
        <v>60.447280226862595</v>
      </c>
      <c r="AE80" s="87">
        <v>60.30465371458078</v>
      </c>
      <c r="AF80" s="87">
        <v>60.904674369747902</v>
      </c>
      <c r="AG80" s="44">
        <v>6.4869281045751634</v>
      </c>
      <c r="AH80" s="44">
        <v>9.2629402878269858</v>
      </c>
      <c r="AI80" s="44">
        <v>7.890050329074719</v>
      </c>
      <c r="AJ80" s="43">
        <v>6.8890948409020698</v>
      </c>
      <c r="AK80" s="43">
        <v>6.0208596713021496</v>
      </c>
      <c r="AL80" s="47">
        <v>674.08333333333337</v>
      </c>
      <c r="AM80" s="47">
        <v>835.91666666666663</v>
      </c>
      <c r="AN80" s="47">
        <v>674.08333333333337</v>
      </c>
      <c r="AO80" s="47">
        <v>1017.5</v>
      </c>
      <c r="AP80" s="47">
        <v>1039.75</v>
      </c>
      <c r="AQ80" s="47">
        <v>30412.056346314632</v>
      </c>
      <c r="AR80" s="47">
        <v>29766.260133376247</v>
      </c>
      <c r="AS80" s="47">
        <v>31251.805553532846</v>
      </c>
      <c r="AT80" s="47">
        <v>32091.076535090542</v>
      </c>
      <c r="AU80" s="47">
        <v>33787.343424864339</v>
      </c>
      <c r="AV80" s="84">
        <v>45134.406684880181</v>
      </c>
      <c r="AW80" s="85">
        <v>44565.847402730273</v>
      </c>
      <c r="AX80" s="85">
        <v>42309.670614313727</v>
      </c>
      <c r="AY80" s="85">
        <v>42144.189875249249</v>
      </c>
      <c r="AZ80" s="85">
        <v>46765</v>
      </c>
      <c r="BA80" s="83">
        <v>13.350243077573452</v>
      </c>
      <c r="BB80" s="83">
        <v>14.74714933661142</v>
      </c>
      <c r="BC80" s="83">
        <v>16.880315793757376</v>
      </c>
      <c r="BD80" s="83">
        <v>16.71220586436116</v>
      </c>
      <c r="BE80" s="83">
        <v>15.190448649095266</v>
      </c>
      <c r="BF80" s="83">
        <v>19.258853596202993</v>
      </c>
      <c r="BG80" s="46">
        <v>20.994475138121548</v>
      </c>
      <c r="BH80" s="46">
        <v>25.348875389919552</v>
      </c>
      <c r="BI80" s="46">
        <v>24.473420260782348</v>
      </c>
      <c r="BJ80" s="46">
        <v>22.949974213512121</v>
      </c>
      <c r="BK80" s="42">
        <v>3775</v>
      </c>
      <c r="BL80" s="42">
        <v>3689</v>
      </c>
      <c r="BM80" s="40">
        <v>3552</v>
      </c>
      <c r="BN80" s="40">
        <v>3371</v>
      </c>
      <c r="BO80" s="43">
        <v>59.47019867549669</v>
      </c>
      <c r="BP80" s="43">
        <v>58.010300894551371</v>
      </c>
      <c r="BQ80" s="44">
        <v>57.263513513513516</v>
      </c>
      <c r="BR80" s="44">
        <v>56.837733610204687</v>
      </c>
      <c r="BS80" s="87">
        <v>5.7483443708609272</v>
      </c>
      <c r="BT80" s="87">
        <v>6.397397668744917</v>
      </c>
      <c r="BU80" s="87">
        <v>6.8693693693693696</v>
      </c>
      <c r="BV80" s="87">
        <v>6.1999406704242066</v>
      </c>
      <c r="BW80" s="43">
        <v>17.85430463576159</v>
      </c>
      <c r="BX80" s="43">
        <v>17.538628354567635</v>
      </c>
      <c r="BY80" s="43">
        <v>18.66554054054054</v>
      </c>
      <c r="BZ80" s="43">
        <v>18.688816374962919</v>
      </c>
      <c r="CA80" s="42">
        <v>67.72823779193206</v>
      </c>
      <c r="CB80" s="42">
        <v>70.289855072463766</v>
      </c>
      <c r="CC80" s="42">
        <v>73.67</v>
      </c>
      <c r="CD80" s="44">
        <v>75.739999999999995</v>
      </c>
      <c r="CE80" s="43">
        <v>3.6093418259023355</v>
      </c>
      <c r="CF80" s="43">
        <v>7.7294685990338161</v>
      </c>
      <c r="CG80" s="43">
        <v>4.62</v>
      </c>
      <c r="CH80" s="44">
        <v>6.51</v>
      </c>
      <c r="CI80" s="49">
        <v>1394</v>
      </c>
      <c r="CJ80" s="49">
        <v>1356</v>
      </c>
      <c r="CK80" s="54">
        <v>1578</v>
      </c>
      <c r="CL80" s="54">
        <v>1608</v>
      </c>
      <c r="CM80" s="88">
        <v>11.7</v>
      </c>
      <c r="CN80" s="88">
        <v>11.1</v>
      </c>
      <c r="CO80" s="88">
        <v>12.9</v>
      </c>
      <c r="CP80" s="88">
        <v>13.2</v>
      </c>
      <c r="CQ80" s="53">
        <v>61</v>
      </c>
      <c r="CR80" s="53">
        <v>59</v>
      </c>
      <c r="CS80" s="53">
        <v>59</v>
      </c>
      <c r="CT80" s="53">
        <v>65</v>
      </c>
      <c r="CU80" s="88">
        <v>4.5</v>
      </c>
      <c r="CV80" s="88">
        <v>4.5</v>
      </c>
      <c r="CW80" s="88">
        <v>3.9</v>
      </c>
      <c r="CX80" s="88">
        <v>4.2</v>
      </c>
      <c r="CY80" s="51">
        <v>91</v>
      </c>
      <c r="CZ80" s="53">
        <v>93</v>
      </c>
      <c r="DA80" s="53">
        <v>114</v>
      </c>
      <c r="DB80" s="53">
        <v>115</v>
      </c>
      <c r="DC80" s="88">
        <v>7.2</v>
      </c>
      <c r="DD80" s="88">
        <v>7.6</v>
      </c>
      <c r="DE80" s="88">
        <v>8.1</v>
      </c>
      <c r="DF80" s="88">
        <v>8</v>
      </c>
      <c r="DG80" s="88">
        <v>79.599999999999994</v>
      </c>
      <c r="DH80" s="88">
        <v>75.900000000000006</v>
      </c>
      <c r="DI80" s="88">
        <v>76.2</v>
      </c>
      <c r="DJ80" s="88">
        <v>74.2</v>
      </c>
      <c r="DK80" s="88">
        <v>20.3</v>
      </c>
      <c r="DL80" s="88">
        <v>21.4</v>
      </c>
      <c r="DM80" s="88">
        <v>15.9</v>
      </c>
      <c r="DN80" s="88">
        <v>15.520504731861198</v>
      </c>
      <c r="DO80" s="88">
        <v>23.3</v>
      </c>
      <c r="DP80" s="88">
        <v>28.2</v>
      </c>
      <c r="DQ80" s="88">
        <v>30.9</v>
      </c>
      <c r="DR80" s="88">
        <v>29.8</v>
      </c>
      <c r="DS80" s="88">
        <v>36.226930963773071</v>
      </c>
      <c r="DT80" s="88">
        <v>28.048082427017746</v>
      </c>
      <c r="DU80" s="88">
        <v>35.460992907801419</v>
      </c>
      <c r="DV80" s="88">
        <v>25.559105431309906</v>
      </c>
      <c r="DW80" s="54">
        <v>314</v>
      </c>
      <c r="DX80" s="54">
        <v>4</v>
      </c>
      <c r="DY80" s="51">
        <v>2</v>
      </c>
      <c r="DZ80" s="53">
        <v>3</v>
      </c>
      <c r="EA80" s="53">
        <v>28</v>
      </c>
      <c r="EB80" s="53">
        <v>9</v>
      </c>
      <c r="EC80" s="53">
        <v>8</v>
      </c>
      <c r="ED80" s="51">
        <v>7</v>
      </c>
      <c r="EE80" s="53">
        <v>10</v>
      </c>
      <c r="EF80" s="53">
        <v>1211</v>
      </c>
      <c r="EG80" s="53">
        <v>1112</v>
      </c>
      <c r="EH80" s="53">
        <v>1101</v>
      </c>
      <c r="EI80" s="53">
        <v>985</v>
      </c>
      <c r="EJ80" s="92">
        <v>194</v>
      </c>
      <c r="EK80" s="92">
        <v>0</v>
      </c>
      <c r="EL80" s="92">
        <v>1</v>
      </c>
      <c r="EM80" s="92">
        <v>0</v>
      </c>
      <c r="EN80" s="92">
        <v>1</v>
      </c>
      <c r="EO80" s="88">
        <v>1014.9859192704841</v>
      </c>
      <c r="EP80" s="88">
        <v>914.14290881588897</v>
      </c>
      <c r="EQ80" s="88">
        <v>902.73279601190529</v>
      </c>
      <c r="ER80" s="88">
        <v>808.0642349539055</v>
      </c>
      <c r="ES80" s="88">
        <v>785.1</v>
      </c>
      <c r="ET80" s="88">
        <v>727</v>
      </c>
      <c r="EU80" s="88">
        <v>691.7</v>
      </c>
      <c r="EV80" s="88">
        <v>601.70000000000005</v>
      </c>
      <c r="EW80" s="88">
        <v>949.7107019774428</v>
      </c>
      <c r="EX80" s="88">
        <v>879.4552046995932</v>
      </c>
      <c r="EY80" s="88">
        <v>841.28204523228601</v>
      </c>
      <c r="EZ80" s="88">
        <v>705.89869446752311</v>
      </c>
      <c r="FA80" s="88">
        <v>640.6224392467343</v>
      </c>
      <c r="FB80" s="88">
        <v>600.77383264468779</v>
      </c>
      <c r="FC80" s="88">
        <v>564.73803054833866</v>
      </c>
      <c r="FD80" s="88">
        <v>503.36319165909543</v>
      </c>
      <c r="FE80" s="51">
        <v>257</v>
      </c>
      <c r="FF80" s="54">
        <v>239</v>
      </c>
      <c r="FG80" s="54">
        <v>297</v>
      </c>
      <c r="FH80" s="54">
        <v>252</v>
      </c>
      <c r="FI80" s="88">
        <v>172.57470000000001</v>
      </c>
      <c r="FJ80" s="88">
        <v>160.1816</v>
      </c>
      <c r="FK80" s="88">
        <v>193.52690000000001</v>
      </c>
      <c r="FL80" s="88">
        <v>154.97829999999999</v>
      </c>
      <c r="FM80" s="54">
        <v>289</v>
      </c>
      <c r="FN80" s="54">
        <v>227</v>
      </c>
      <c r="FO80" s="51">
        <v>241</v>
      </c>
      <c r="FP80" s="54">
        <v>193</v>
      </c>
      <c r="FQ80" s="88">
        <v>185.54339999999999</v>
      </c>
      <c r="FR80" s="88">
        <v>145.04650000000001</v>
      </c>
      <c r="FS80" s="88">
        <v>146.46950000000001</v>
      </c>
      <c r="FT80" s="88">
        <v>115.18389999999999</v>
      </c>
      <c r="FU80" s="53">
        <v>90</v>
      </c>
      <c r="FV80" s="53">
        <v>64</v>
      </c>
      <c r="FW80" s="53">
        <v>52</v>
      </c>
      <c r="FX80" s="53">
        <v>39</v>
      </c>
      <c r="FY80" s="88">
        <v>55.44652</v>
      </c>
      <c r="FZ80" s="88">
        <v>39.960990000000002</v>
      </c>
      <c r="GA80" s="88">
        <v>30.64724</v>
      </c>
      <c r="GB80" s="88">
        <v>21.954190000000001</v>
      </c>
      <c r="GC80" s="55">
        <v>53</v>
      </c>
      <c r="GD80" s="56">
        <v>42</v>
      </c>
      <c r="GE80" s="55">
        <v>62</v>
      </c>
      <c r="GF80" s="55">
        <v>58</v>
      </c>
      <c r="GG80" s="91">
        <v>38.954329999999999</v>
      </c>
      <c r="GH80" s="91">
        <v>31.923580000000001</v>
      </c>
      <c r="GI80" s="91">
        <v>46.172229999999999</v>
      </c>
      <c r="GJ80" s="91">
        <v>43.64958</v>
      </c>
      <c r="GK80" s="55"/>
      <c r="GL80" s="55"/>
      <c r="GM80" s="55"/>
      <c r="GN80" s="56"/>
      <c r="GO80" s="55"/>
      <c r="GP80" s="55"/>
      <c r="GQ80" s="55"/>
      <c r="GR80" s="55"/>
      <c r="GS80" s="56"/>
      <c r="GT80" s="55"/>
      <c r="GU80" s="55"/>
      <c r="GV80" s="55"/>
      <c r="GW80" s="55"/>
      <c r="GX80" s="56"/>
      <c r="GY80" s="56"/>
      <c r="GZ80" s="56"/>
      <c r="HA80" s="56"/>
      <c r="HB80" s="56"/>
      <c r="HC80" s="56"/>
      <c r="HD80" s="57"/>
      <c r="HE80" s="57"/>
      <c r="HF80" s="57"/>
      <c r="HG80" s="57"/>
      <c r="HH80" s="57"/>
      <c r="HI80" s="58"/>
      <c r="HJ80" s="58"/>
      <c r="HK80" s="55"/>
      <c r="HL80" s="56"/>
      <c r="HM80" s="56"/>
      <c r="HN80" s="56"/>
      <c r="HO80" s="56"/>
      <c r="HP80" s="56"/>
      <c r="HQ80" s="56"/>
      <c r="HR80" s="56"/>
      <c r="HS80" s="56"/>
      <c r="HT80" s="56"/>
      <c r="HU80" s="38"/>
    </row>
    <row r="81" spans="1:229" x14ac:dyDescent="0.2">
      <c r="A81" s="36">
        <v>78</v>
      </c>
      <c r="B81" s="70" t="s">
        <v>134</v>
      </c>
      <c r="C81" s="77">
        <v>3660</v>
      </c>
      <c r="D81" s="77">
        <v>3573</v>
      </c>
      <c r="E81" s="77">
        <v>3558</v>
      </c>
      <c r="F81" s="77">
        <v>3523</v>
      </c>
      <c r="G81" s="150">
        <v>3451</v>
      </c>
      <c r="H81" s="41">
        <v>3230</v>
      </c>
      <c r="I81" s="41">
        <v>16</v>
      </c>
      <c r="J81" s="41">
        <v>145</v>
      </c>
      <c r="K81" s="41">
        <v>10</v>
      </c>
      <c r="L81" s="41">
        <v>53</v>
      </c>
      <c r="M81" s="42">
        <v>1617</v>
      </c>
      <c r="N81" s="43">
        <v>1576</v>
      </c>
      <c r="O81" s="43">
        <v>1524</v>
      </c>
      <c r="P81" s="44">
        <v>1519</v>
      </c>
      <c r="Q81" s="44">
        <v>1505</v>
      </c>
      <c r="R81" s="87">
        <v>51.793611793611795</v>
      </c>
      <c r="S81" s="87">
        <v>49.597180261832833</v>
      </c>
      <c r="T81" s="87">
        <v>46.82658670664668</v>
      </c>
      <c r="U81" s="87">
        <v>44.943265910212133</v>
      </c>
      <c r="V81" s="87">
        <v>45.930824008138352</v>
      </c>
      <c r="W81" s="87">
        <v>28.058968058968059</v>
      </c>
      <c r="X81" s="87">
        <v>30.312185297079559</v>
      </c>
      <c r="Y81" s="87">
        <v>30.984507746126937</v>
      </c>
      <c r="Z81" s="87">
        <v>28.860384805130735</v>
      </c>
      <c r="AA81" s="42">
        <v>29.603255340793488</v>
      </c>
      <c r="AB81" s="87">
        <v>79.852579852579851</v>
      </c>
      <c r="AC81" s="87">
        <v>79.909365558912384</v>
      </c>
      <c r="AD81" s="87">
        <v>77.811094452773617</v>
      </c>
      <c r="AE81" s="87">
        <v>73.803650715342869</v>
      </c>
      <c r="AF81" s="87">
        <v>75.53407934893184</v>
      </c>
      <c r="AG81" s="44">
        <v>5.4390934844192635</v>
      </c>
      <c r="AH81" s="44">
        <v>6.9560378408458545</v>
      </c>
      <c r="AI81" s="44">
        <v>6.1708860759493671</v>
      </c>
      <c r="AJ81" s="43">
        <v>5.7542768273716955</v>
      </c>
      <c r="AK81" s="43">
        <v>5.0568181818181817</v>
      </c>
      <c r="AL81" s="47">
        <v>82.083333333333329</v>
      </c>
      <c r="AM81" s="47">
        <v>110.41666666666667</v>
      </c>
      <c r="AN81" s="47">
        <v>82.083333333333329</v>
      </c>
      <c r="AO81" s="47">
        <v>164.83333333333334</v>
      </c>
      <c r="AP81" s="47">
        <v>159.83333333333334</v>
      </c>
      <c r="AQ81" s="47">
        <v>44405.791476243379</v>
      </c>
      <c r="AR81" s="47">
        <v>43151.474780596167</v>
      </c>
      <c r="AS81" s="47">
        <v>50353.050513237285</v>
      </c>
      <c r="AT81" s="47">
        <v>49369.41286562301</v>
      </c>
      <c r="AU81" s="47">
        <v>65115.328890176759</v>
      </c>
      <c r="AV81" s="84">
        <v>40150.160569224419</v>
      </c>
      <c r="AW81" s="85">
        <v>42153.643189639137</v>
      </c>
      <c r="AX81" s="85">
        <v>43871.157848244176</v>
      </c>
      <c r="AY81" s="85">
        <v>46762.801141548662</v>
      </c>
      <c r="AZ81" s="85">
        <v>45907</v>
      </c>
      <c r="BA81" s="83">
        <v>11.943661971830986</v>
      </c>
      <c r="BB81" s="83">
        <v>12.048540884137532</v>
      </c>
      <c r="BC81" s="83">
        <v>13.238289205702648</v>
      </c>
      <c r="BD81" s="83">
        <v>12.434172030427151</v>
      </c>
      <c r="BE81" s="83">
        <v>11.771735882880192</v>
      </c>
      <c r="BF81" s="83">
        <v>16.292134831460675</v>
      </c>
      <c r="BG81" s="46">
        <v>14.721485411140584</v>
      </c>
      <c r="BH81" s="46">
        <v>19.492656875834445</v>
      </c>
      <c r="BI81" s="46">
        <v>18.767123287671232</v>
      </c>
      <c r="BJ81" s="46">
        <v>18.194444444444443</v>
      </c>
      <c r="BK81" s="42">
        <v>542</v>
      </c>
      <c r="BL81" s="42">
        <v>529</v>
      </c>
      <c r="BM81" s="40">
        <v>500</v>
      </c>
      <c r="BN81" s="40">
        <v>493</v>
      </c>
      <c r="BO81" s="43">
        <v>38.929889298892988</v>
      </c>
      <c r="BP81" s="43">
        <v>39.319470699432891</v>
      </c>
      <c r="BQ81" s="44">
        <v>39.4</v>
      </c>
      <c r="BR81" s="44">
        <v>39.756592292089252</v>
      </c>
      <c r="BS81" s="87">
        <v>1.4760147601476015</v>
      </c>
      <c r="BT81" s="87">
        <v>1.7013232514177694</v>
      </c>
      <c r="BU81" s="87">
        <v>1.8</v>
      </c>
      <c r="BV81" s="87">
        <v>1.6227180527383367</v>
      </c>
      <c r="BW81" s="43">
        <v>13.284132841328413</v>
      </c>
      <c r="BX81" s="43">
        <v>13.043478260869565</v>
      </c>
      <c r="BY81" s="43">
        <v>14.4</v>
      </c>
      <c r="BZ81" s="43">
        <v>17.038539553752535</v>
      </c>
      <c r="CA81" s="42" t="s">
        <v>470</v>
      </c>
      <c r="CB81" s="42" t="s">
        <v>470</v>
      </c>
      <c r="CC81" s="42"/>
      <c r="CD81" s="44">
        <v>92.11</v>
      </c>
      <c r="CE81" s="43">
        <v>0</v>
      </c>
      <c r="CF81" s="43">
        <v>0</v>
      </c>
      <c r="CG81" s="43"/>
      <c r="CH81" s="44">
        <v>0</v>
      </c>
      <c r="CI81" s="49">
        <v>246</v>
      </c>
      <c r="CJ81" s="49">
        <v>177</v>
      </c>
      <c r="CK81" s="51">
        <v>189</v>
      </c>
      <c r="CL81" s="51">
        <v>170</v>
      </c>
      <c r="CM81" s="88">
        <v>11.4</v>
      </c>
      <c r="CN81" s="88">
        <v>8.6</v>
      </c>
      <c r="CO81" s="88">
        <v>9.9</v>
      </c>
      <c r="CP81" s="88">
        <v>9.6</v>
      </c>
      <c r="CQ81" s="53">
        <v>4</v>
      </c>
      <c r="CR81" s="53">
        <v>11</v>
      </c>
      <c r="CS81" s="53">
        <v>12</v>
      </c>
      <c r="CT81" s="53">
        <v>9</v>
      </c>
      <c r="CU81" s="88">
        <v>1.7</v>
      </c>
      <c r="CV81" s="88">
        <v>6.8</v>
      </c>
      <c r="CW81" s="88">
        <v>6.4</v>
      </c>
      <c r="CX81" s="88">
        <v>5.4</v>
      </c>
      <c r="CY81" s="51">
        <v>14</v>
      </c>
      <c r="CZ81" s="53">
        <v>11</v>
      </c>
      <c r="DA81" s="53">
        <v>16</v>
      </c>
      <c r="DB81" s="53">
        <v>15</v>
      </c>
      <c r="DC81" s="88">
        <v>6</v>
      </c>
      <c r="DD81" s="88">
        <v>7.1</v>
      </c>
      <c r="DE81" s="88">
        <v>8.8000000000000007</v>
      </c>
      <c r="DF81" s="88">
        <v>9.9</v>
      </c>
      <c r="DG81" s="88">
        <v>77.5</v>
      </c>
      <c r="DH81" s="88">
        <v>85.3</v>
      </c>
      <c r="DI81" s="88">
        <v>81.8</v>
      </c>
      <c r="DJ81" s="88">
        <v>84.2</v>
      </c>
      <c r="DK81" s="88">
        <v>15.3</v>
      </c>
      <c r="DL81" s="88">
        <v>21.6</v>
      </c>
      <c r="DM81" s="88">
        <v>20.100000000000001</v>
      </c>
      <c r="DN81" s="88">
        <v>20.588235294117649</v>
      </c>
      <c r="DO81" s="88">
        <v>22.4</v>
      </c>
      <c r="DP81" s="88">
        <v>22</v>
      </c>
      <c r="DQ81" s="88">
        <v>28.6</v>
      </c>
      <c r="DR81" s="88">
        <v>32.4</v>
      </c>
      <c r="DS81" s="88">
        <v>45.685279187817258</v>
      </c>
      <c r="DT81" s="88" t="s">
        <v>39</v>
      </c>
      <c r="DU81" s="88" t="s">
        <v>39</v>
      </c>
      <c r="DV81" s="88" t="s">
        <v>39</v>
      </c>
      <c r="DW81" s="54">
        <v>19</v>
      </c>
      <c r="DX81" s="54">
        <v>0</v>
      </c>
      <c r="DY81" s="51">
        <v>5</v>
      </c>
      <c r="DZ81" s="53">
        <v>0</v>
      </c>
      <c r="EA81" s="53">
        <v>0</v>
      </c>
      <c r="EB81" s="53">
        <v>0</v>
      </c>
      <c r="EC81" s="53">
        <v>2</v>
      </c>
      <c r="ED81" s="51">
        <v>0</v>
      </c>
      <c r="EE81" s="53">
        <v>2</v>
      </c>
      <c r="EF81" s="53">
        <v>304</v>
      </c>
      <c r="EG81" s="53">
        <v>304</v>
      </c>
      <c r="EH81" s="53">
        <v>273</v>
      </c>
      <c r="EI81" s="53">
        <v>275</v>
      </c>
      <c r="EJ81" s="92">
        <v>56</v>
      </c>
      <c r="EK81" s="92">
        <v>1</v>
      </c>
      <c r="EL81" s="92">
        <v>2</v>
      </c>
      <c r="EM81" s="92">
        <v>0</v>
      </c>
      <c r="EN81" s="92">
        <v>0</v>
      </c>
      <c r="EO81" s="88">
        <v>1414.3481901926118</v>
      </c>
      <c r="EP81" s="88">
        <v>1484.5199726535795</v>
      </c>
      <c r="EQ81" s="88">
        <v>1429.0949065591792</v>
      </c>
      <c r="ER81" s="88">
        <v>1509.0121559312561</v>
      </c>
      <c r="ES81" s="88">
        <v>730.1</v>
      </c>
      <c r="ET81" s="88">
        <v>723.9</v>
      </c>
      <c r="EU81" s="88">
        <v>607.20000000000005</v>
      </c>
      <c r="EV81" s="88">
        <v>672.1</v>
      </c>
      <c r="EW81" s="88">
        <v>793.61294706286242</v>
      </c>
      <c r="EX81" s="88">
        <v>840.63492197002597</v>
      </c>
      <c r="EY81" s="88">
        <v>742.9798918491789</v>
      </c>
      <c r="EZ81" s="88">
        <v>805.29795181293571</v>
      </c>
      <c r="FA81" s="88">
        <v>684.57836701653673</v>
      </c>
      <c r="FB81" s="88">
        <v>608.96964416370918</v>
      </c>
      <c r="FC81" s="88">
        <v>495.99645488512834</v>
      </c>
      <c r="FD81" s="88">
        <v>559.58275971545356</v>
      </c>
      <c r="FE81" s="51">
        <v>82</v>
      </c>
      <c r="FF81" s="54">
        <v>73</v>
      </c>
      <c r="FG81" s="54">
        <v>58</v>
      </c>
      <c r="FH81" s="54">
        <v>67</v>
      </c>
      <c r="FI81" s="88">
        <v>222.58170000000001</v>
      </c>
      <c r="FJ81" s="88">
        <v>186.8734</v>
      </c>
      <c r="FK81" s="88">
        <v>154.06479999999999</v>
      </c>
      <c r="FL81" s="88">
        <v>176.4135</v>
      </c>
      <c r="FM81" s="54">
        <v>142</v>
      </c>
      <c r="FN81" s="54">
        <v>125</v>
      </c>
      <c r="FO81" s="51">
        <v>100</v>
      </c>
      <c r="FP81" s="54">
        <v>72</v>
      </c>
      <c r="FQ81" s="88">
        <v>319.18770000000001</v>
      </c>
      <c r="FR81" s="88">
        <v>257.64699999999999</v>
      </c>
      <c r="FS81" s="88">
        <v>180.6857</v>
      </c>
      <c r="FT81" s="88">
        <v>180.4641</v>
      </c>
      <c r="FU81" s="53">
        <v>7</v>
      </c>
      <c r="FV81" s="53">
        <v>16</v>
      </c>
      <c r="FW81" s="53">
        <v>16</v>
      </c>
      <c r="FX81" s="53">
        <v>17</v>
      </c>
      <c r="FY81" s="88">
        <v>17.713270000000001</v>
      </c>
      <c r="FZ81" s="88">
        <v>32.561190000000003</v>
      </c>
      <c r="GA81" s="88">
        <v>33.839089999999999</v>
      </c>
      <c r="GB81" s="88">
        <v>31.416920000000001</v>
      </c>
      <c r="GC81" s="55">
        <v>8</v>
      </c>
      <c r="GD81" s="56">
        <v>9</v>
      </c>
      <c r="GE81" s="55">
        <v>12</v>
      </c>
      <c r="GF81" s="55">
        <v>10</v>
      </c>
      <c r="GG81" s="91">
        <v>23.385840000000002</v>
      </c>
      <c r="GH81" s="91">
        <v>45.634250000000002</v>
      </c>
      <c r="GI81" s="91">
        <v>61.668669999999999</v>
      </c>
      <c r="GJ81" s="91">
        <v>34.123530000000002</v>
      </c>
      <c r="GK81" s="55"/>
      <c r="GL81" s="55"/>
      <c r="GM81" s="55"/>
      <c r="GN81" s="56"/>
      <c r="GO81" s="55"/>
      <c r="GP81" s="55"/>
      <c r="GQ81" s="55"/>
      <c r="GR81" s="55"/>
      <c r="GS81" s="56"/>
      <c r="GT81" s="55"/>
      <c r="GU81" s="55"/>
      <c r="GV81" s="55"/>
      <c r="GW81" s="55"/>
      <c r="GX81" s="56"/>
      <c r="GY81" s="56"/>
      <c r="GZ81" s="56"/>
      <c r="HA81" s="56"/>
      <c r="HB81" s="56"/>
      <c r="HC81" s="56"/>
      <c r="HD81" s="57"/>
      <c r="HE81" s="57"/>
      <c r="HF81" s="57"/>
      <c r="HG81" s="57"/>
      <c r="HH81" s="57"/>
      <c r="HI81" s="58"/>
      <c r="HJ81" s="58"/>
      <c r="HK81" s="55"/>
      <c r="HL81" s="56"/>
      <c r="HM81" s="56"/>
      <c r="HN81" s="56"/>
      <c r="HO81" s="56"/>
      <c r="HP81" s="56"/>
      <c r="HQ81" s="56"/>
      <c r="HR81" s="56"/>
      <c r="HS81" s="56"/>
      <c r="HT81" s="56"/>
      <c r="HU81" s="38"/>
    </row>
    <row r="82" spans="1:229" x14ac:dyDescent="0.2">
      <c r="A82" s="36">
        <v>79</v>
      </c>
      <c r="B82" s="70" t="s">
        <v>135</v>
      </c>
      <c r="C82" s="77">
        <v>21813</v>
      </c>
      <c r="D82" s="77">
        <v>21884</v>
      </c>
      <c r="E82" s="77">
        <v>21676</v>
      </c>
      <c r="F82" s="77">
        <v>21600</v>
      </c>
      <c r="G82" s="150">
        <v>21476</v>
      </c>
      <c r="H82" s="41">
        <v>21011</v>
      </c>
      <c r="I82" s="41">
        <v>107</v>
      </c>
      <c r="J82" s="41">
        <v>50</v>
      </c>
      <c r="K82" s="41">
        <v>99</v>
      </c>
      <c r="L82" s="41">
        <v>603</v>
      </c>
      <c r="M82" s="42">
        <v>8947</v>
      </c>
      <c r="N82" s="43">
        <v>8890</v>
      </c>
      <c r="O82" s="43">
        <v>8822</v>
      </c>
      <c r="P82" s="44">
        <v>8827</v>
      </c>
      <c r="Q82" s="44">
        <v>8803</v>
      </c>
      <c r="R82" s="87">
        <v>24.94413407821229</v>
      </c>
      <c r="S82" s="87">
        <v>26.086956521739129</v>
      </c>
      <c r="T82" s="87">
        <v>26.58410138248848</v>
      </c>
      <c r="U82" s="87">
        <v>27.485676988904199</v>
      </c>
      <c r="V82" s="87">
        <v>28.04563857195436</v>
      </c>
      <c r="W82" s="87">
        <v>27.381284916201118</v>
      </c>
      <c r="X82" s="87">
        <v>29.129725512447692</v>
      </c>
      <c r="Y82" s="87">
        <v>29.493087557603687</v>
      </c>
      <c r="Z82" s="87">
        <v>29.160925375299151</v>
      </c>
      <c r="AA82" s="42">
        <v>30.040485829959515</v>
      </c>
      <c r="AB82" s="87">
        <v>52.325418994413411</v>
      </c>
      <c r="AC82" s="87">
        <v>55.216682034186825</v>
      </c>
      <c r="AD82" s="87">
        <v>56.077188940092164</v>
      </c>
      <c r="AE82" s="87">
        <v>56.646602364203353</v>
      </c>
      <c r="AF82" s="87">
        <v>58.086124401913878</v>
      </c>
      <c r="AG82" s="44">
        <v>4.9868117375535777</v>
      </c>
      <c r="AH82" s="44">
        <v>7.9050097592713078</v>
      </c>
      <c r="AI82" s="44">
        <v>6.7488167129100702</v>
      </c>
      <c r="AJ82" s="43">
        <v>5.8401226103089456</v>
      </c>
      <c r="AK82" s="43">
        <v>5.1381076316010414</v>
      </c>
      <c r="AL82" s="47">
        <v>298.91666666666669</v>
      </c>
      <c r="AM82" s="47">
        <v>381.66666666666669</v>
      </c>
      <c r="AN82" s="47">
        <v>298.91666666666669</v>
      </c>
      <c r="AO82" s="47">
        <v>574.75</v>
      </c>
      <c r="AP82" s="47">
        <v>603.16666666666663</v>
      </c>
      <c r="AQ82" s="47">
        <v>40837.290848151359</v>
      </c>
      <c r="AR82" s="47">
        <v>39696.084248778454</v>
      </c>
      <c r="AS82" s="47">
        <v>39907.570575682672</v>
      </c>
      <c r="AT82" s="47">
        <v>41622.813716301098</v>
      </c>
      <c r="AU82" s="47">
        <v>43134.289439374188</v>
      </c>
      <c r="AV82" s="84">
        <v>55312.975185935851</v>
      </c>
      <c r="AW82" s="85">
        <v>52992.509325480751</v>
      </c>
      <c r="AX82" s="85">
        <v>54438.309486629878</v>
      </c>
      <c r="AY82" s="85">
        <v>55014.039478955179</v>
      </c>
      <c r="AZ82" s="85">
        <v>55686</v>
      </c>
      <c r="BA82" s="83">
        <v>7.7277379733879226</v>
      </c>
      <c r="BB82" s="83">
        <v>8.3383601689016746</v>
      </c>
      <c r="BC82" s="83">
        <v>7.4528654097442599</v>
      </c>
      <c r="BD82" s="83">
        <v>9.3223511793335838</v>
      </c>
      <c r="BE82" s="83">
        <v>8.2117647058823522</v>
      </c>
      <c r="BF82" s="83">
        <v>9.7925311203319509</v>
      </c>
      <c r="BG82" s="46">
        <v>10.698602794411178</v>
      </c>
      <c r="BH82" s="46">
        <v>10.808630772333132</v>
      </c>
      <c r="BI82" s="46">
        <v>13.107692307692307</v>
      </c>
      <c r="BJ82" s="46">
        <v>10.608837304011402</v>
      </c>
      <c r="BK82" s="42">
        <v>4541</v>
      </c>
      <c r="BL82" s="42">
        <v>4491</v>
      </c>
      <c r="BM82" s="40">
        <v>4453</v>
      </c>
      <c r="BN82" s="40">
        <v>4385</v>
      </c>
      <c r="BO82" s="43">
        <v>26.337811054833736</v>
      </c>
      <c r="BP82" s="43">
        <v>27.009574704965488</v>
      </c>
      <c r="BQ82" s="44">
        <v>27.599371210419942</v>
      </c>
      <c r="BR82" s="44">
        <v>28.734321550741164</v>
      </c>
      <c r="BS82" s="87">
        <v>1.6956617485135432</v>
      </c>
      <c r="BT82" s="87">
        <v>1.447339122689824</v>
      </c>
      <c r="BU82" s="87">
        <v>1.9986525937570176</v>
      </c>
      <c r="BV82" s="87">
        <v>1.1630558722919042</v>
      </c>
      <c r="BW82" s="43">
        <v>12.508258092931072</v>
      </c>
      <c r="BX82" s="43">
        <v>12.491649966599866</v>
      </c>
      <c r="BY82" s="43">
        <v>12.912643161913318</v>
      </c>
      <c r="BZ82" s="43">
        <v>12.01824401368301</v>
      </c>
      <c r="CA82" s="42">
        <v>87.781350482315119</v>
      </c>
      <c r="CB82" s="42">
        <v>81.456953642384107</v>
      </c>
      <c r="CC82" s="42">
        <v>86.3</v>
      </c>
      <c r="CD82" s="44">
        <v>90.39</v>
      </c>
      <c r="CE82" s="43">
        <v>1.2861736334405145</v>
      </c>
      <c r="CF82" s="43">
        <v>4.3046357615894042</v>
      </c>
      <c r="CG82" s="43">
        <v>4.1100000000000003</v>
      </c>
      <c r="CH82" s="44">
        <v>1.78</v>
      </c>
      <c r="CI82" s="49">
        <v>1228</v>
      </c>
      <c r="CJ82" s="49">
        <v>1218</v>
      </c>
      <c r="CK82" s="54">
        <v>1343</v>
      </c>
      <c r="CL82" s="54">
        <v>1230</v>
      </c>
      <c r="CM82" s="88">
        <v>12</v>
      </c>
      <c r="CN82" s="88">
        <v>11.3</v>
      </c>
      <c r="CO82" s="88">
        <v>12.1</v>
      </c>
      <c r="CP82" s="88">
        <v>11.3</v>
      </c>
      <c r="CQ82" s="53">
        <v>39</v>
      </c>
      <c r="CR82" s="53">
        <v>68</v>
      </c>
      <c r="CS82" s="53">
        <v>60</v>
      </c>
      <c r="CT82" s="53">
        <v>46</v>
      </c>
      <c r="CU82" s="88">
        <v>3.3</v>
      </c>
      <c r="CV82" s="88">
        <v>5.9</v>
      </c>
      <c r="CW82" s="88">
        <v>4.7</v>
      </c>
      <c r="CX82" s="88">
        <v>3.9</v>
      </c>
      <c r="CY82" s="51">
        <v>66</v>
      </c>
      <c r="CZ82" s="53">
        <v>85</v>
      </c>
      <c r="DA82" s="53">
        <v>88</v>
      </c>
      <c r="DB82" s="53">
        <v>86</v>
      </c>
      <c r="DC82" s="88">
        <v>6.2</v>
      </c>
      <c r="DD82" s="88">
        <v>8.1</v>
      </c>
      <c r="DE82" s="88">
        <v>7.2</v>
      </c>
      <c r="DF82" s="88">
        <v>7.7</v>
      </c>
      <c r="DG82" s="88">
        <v>84.7</v>
      </c>
      <c r="DH82" s="88">
        <v>88.2</v>
      </c>
      <c r="DI82" s="88">
        <v>89.4</v>
      </c>
      <c r="DJ82" s="88">
        <v>88.5</v>
      </c>
      <c r="DK82" s="88">
        <v>15.6</v>
      </c>
      <c r="DL82" s="88">
        <v>14.7</v>
      </c>
      <c r="DM82" s="88">
        <v>12.1</v>
      </c>
      <c r="DN82" s="88">
        <v>13.175122749590834</v>
      </c>
      <c r="DO82" s="88">
        <v>18.399999999999999</v>
      </c>
      <c r="DP82" s="88">
        <v>23.6</v>
      </c>
      <c r="DQ82" s="88">
        <v>27.7</v>
      </c>
      <c r="DR82" s="88">
        <v>30.9</v>
      </c>
      <c r="DS82" s="88">
        <v>20.577307802229207</v>
      </c>
      <c r="DT82" s="88">
        <v>22.804463852498788</v>
      </c>
      <c r="DU82" s="88">
        <v>24.426350851221319</v>
      </c>
      <c r="DV82" s="88">
        <v>19.308357348703169</v>
      </c>
      <c r="DW82" s="54">
        <v>223</v>
      </c>
      <c r="DX82" s="54">
        <v>2</v>
      </c>
      <c r="DY82" s="51">
        <v>0</v>
      </c>
      <c r="DZ82" s="53">
        <v>1</v>
      </c>
      <c r="EA82" s="53">
        <v>12</v>
      </c>
      <c r="EB82" s="53">
        <v>10</v>
      </c>
      <c r="EC82" s="53">
        <v>11</v>
      </c>
      <c r="ED82" s="51">
        <v>4</v>
      </c>
      <c r="EE82" s="53">
        <v>7</v>
      </c>
      <c r="EF82" s="53">
        <v>1000</v>
      </c>
      <c r="EG82" s="53">
        <v>941</v>
      </c>
      <c r="EH82" s="53">
        <v>946</v>
      </c>
      <c r="EI82" s="53">
        <v>852</v>
      </c>
      <c r="EJ82" s="92">
        <v>164</v>
      </c>
      <c r="EK82" s="92">
        <v>0</v>
      </c>
      <c r="EL82" s="92">
        <v>1</v>
      </c>
      <c r="EM82" s="92">
        <v>1</v>
      </c>
      <c r="EN82" s="92">
        <v>0</v>
      </c>
      <c r="EO82" s="88">
        <v>973.61503261610358</v>
      </c>
      <c r="EP82" s="88">
        <v>876.06598890254349</v>
      </c>
      <c r="EQ82" s="88">
        <v>855.1489730980619</v>
      </c>
      <c r="ER82" s="88">
        <v>788.75053177422876</v>
      </c>
      <c r="ES82" s="88">
        <v>794.6</v>
      </c>
      <c r="ET82" s="88">
        <v>712.5</v>
      </c>
      <c r="EU82" s="88">
        <v>657.6</v>
      </c>
      <c r="EV82" s="88">
        <v>559.9</v>
      </c>
      <c r="EW82" s="88">
        <v>977.02406308943409</v>
      </c>
      <c r="EX82" s="88">
        <v>872.39560344363804</v>
      </c>
      <c r="EY82" s="88">
        <v>778.07012568560572</v>
      </c>
      <c r="EZ82" s="88">
        <v>678.30949658270151</v>
      </c>
      <c r="FA82" s="88">
        <v>633.12775567089909</v>
      </c>
      <c r="FB82" s="88">
        <v>581.95292876011058</v>
      </c>
      <c r="FC82" s="88">
        <v>555.20212640431737</v>
      </c>
      <c r="FD82" s="88">
        <v>457.06092661153383</v>
      </c>
      <c r="FE82" s="51">
        <v>229</v>
      </c>
      <c r="FF82" s="54">
        <v>240</v>
      </c>
      <c r="FG82" s="54">
        <v>244</v>
      </c>
      <c r="FH82" s="54">
        <v>234</v>
      </c>
      <c r="FI82" s="88">
        <v>191.05090000000001</v>
      </c>
      <c r="FJ82" s="88">
        <v>189.89879999999999</v>
      </c>
      <c r="FK82" s="88">
        <v>178.74369999999999</v>
      </c>
      <c r="FL82" s="88">
        <v>159.4554</v>
      </c>
      <c r="FM82" s="54">
        <v>325</v>
      </c>
      <c r="FN82" s="54">
        <v>237</v>
      </c>
      <c r="FO82" s="51">
        <v>236</v>
      </c>
      <c r="FP82" s="54">
        <v>180</v>
      </c>
      <c r="FQ82" s="88">
        <v>250.81360000000001</v>
      </c>
      <c r="FR82" s="88">
        <v>175.09610000000001</v>
      </c>
      <c r="FS82" s="88">
        <v>158.47540000000001</v>
      </c>
      <c r="FT82" s="88">
        <v>114.351</v>
      </c>
      <c r="FU82" s="53">
        <v>81</v>
      </c>
      <c r="FV82" s="53">
        <v>74</v>
      </c>
      <c r="FW82" s="53">
        <v>59</v>
      </c>
      <c r="FX82" s="53">
        <v>45</v>
      </c>
      <c r="FY82" s="88">
        <v>61.458730000000003</v>
      </c>
      <c r="FZ82" s="88">
        <v>52.463810000000002</v>
      </c>
      <c r="GA82" s="88">
        <v>37.538089999999997</v>
      </c>
      <c r="GB82" s="88">
        <v>28.507930000000002</v>
      </c>
      <c r="GC82" s="55">
        <v>52</v>
      </c>
      <c r="GD82" s="56">
        <v>54</v>
      </c>
      <c r="GE82" s="55">
        <v>58</v>
      </c>
      <c r="GF82" s="55">
        <v>58</v>
      </c>
      <c r="GG82" s="91">
        <v>45.915619999999997</v>
      </c>
      <c r="GH82" s="91">
        <v>45.291670000000003</v>
      </c>
      <c r="GI82" s="91">
        <v>44.158929999999998</v>
      </c>
      <c r="GJ82" s="91">
        <v>43.969389999999997</v>
      </c>
      <c r="GK82" s="55"/>
      <c r="GL82" s="55"/>
      <c r="GM82" s="55"/>
      <c r="GN82" s="56"/>
      <c r="GO82" s="55"/>
      <c r="GP82" s="55"/>
      <c r="GQ82" s="55"/>
      <c r="GR82" s="55"/>
      <c r="GS82" s="56"/>
      <c r="GT82" s="55"/>
      <c r="GU82" s="55"/>
      <c r="GV82" s="55"/>
      <c r="GW82" s="55"/>
      <c r="GX82" s="56"/>
      <c r="GY82" s="56"/>
      <c r="GZ82" s="56"/>
      <c r="HA82" s="56"/>
      <c r="HB82" s="56"/>
      <c r="HC82" s="56"/>
      <c r="HD82" s="57"/>
      <c r="HE82" s="57"/>
      <c r="HF82" s="57"/>
      <c r="HG82" s="57"/>
      <c r="HH82" s="57"/>
      <c r="HI82" s="58"/>
      <c r="HJ82" s="58"/>
      <c r="HK82" s="55"/>
      <c r="HL82" s="56"/>
      <c r="HM82" s="56"/>
      <c r="HN82" s="56"/>
      <c r="HO82" s="56"/>
      <c r="HP82" s="56"/>
      <c r="HQ82" s="56"/>
      <c r="HR82" s="56"/>
      <c r="HS82" s="56"/>
      <c r="HT82" s="56"/>
      <c r="HU82" s="38"/>
    </row>
    <row r="83" spans="1:229" x14ac:dyDescent="0.2">
      <c r="A83" s="36">
        <v>80</v>
      </c>
      <c r="B83" s="70" t="s">
        <v>136</v>
      </c>
      <c r="C83" s="77">
        <v>13311</v>
      </c>
      <c r="D83" s="77">
        <v>13269</v>
      </c>
      <c r="E83" s="77">
        <v>13843</v>
      </c>
      <c r="F83" s="77">
        <v>13749</v>
      </c>
      <c r="G83" s="150">
        <v>13767</v>
      </c>
      <c r="H83" s="41">
        <v>13276</v>
      </c>
      <c r="I83" s="41">
        <v>129</v>
      </c>
      <c r="J83" s="41">
        <v>88</v>
      </c>
      <c r="K83" s="41">
        <v>54</v>
      </c>
      <c r="L83" s="41">
        <v>188</v>
      </c>
      <c r="M83" s="42">
        <v>5646</v>
      </c>
      <c r="N83" s="43">
        <v>5624</v>
      </c>
      <c r="O83" s="43">
        <v>5705</v>
      </c>
      <c r="P83" s="44">
        <v>5663</v>
      </c>
      <c r="Q83" s="44">
        <v>5694</v>
      </c>
      <c r="R83" s="87">
        <v>35.395791583166336</v>
      </c>
      <c r="S83" s="87">
        <v>37.067078666151666</v>
      </c>
      <c r="T83" s="87">
        <v>35.516066212268747</v>
      </c>
      <c r="U83" s="87">
        <v>36.341283501352351</v>
      </c>
      <c r="V83" s="87">
        <v>36.295199308897942</v>
      </c>
      <c r="W83" s="87">
        <v>31.325150300601202</v>
      </c>
      <c r="X83" s="87">
        <v>33.771082786146515</v>
      </c>
      <c r="Y83" s="87">
        <v>32.972249269717622</v>
      </c>
      <c r="Z83" s="87">
        <v>32.689943447258422</v>
      </c>
      <c r="AA83" s="42">
        <v>33.604837714426758</v>
      </c>
      <c r="AB83" s="87">
        <v>66.720941883767537</v>
      </c>
      <c r="AC83" s="87">
        <v>70.838161452298181</v>
      </c>
      <c r="AD83" s="87">
        <v>68.488315481986362</v>
      </c>
      <c r="AE83" s="87">
        <v>69.031226948610765</v>
      </c>
      <c r="AF83" s="87">
        <v>69.9000370233247</v>
      </c>
      <c r="AG83" s="44">
        <v>8.1010719754977032</v>
      </c>
      <c r="AH83" s="44">
        <v>11.308439587128111</v>
      </c>
      <c r="AI83" s="44">
        <v>9.9497181167149176</v>
      </c>
      <c r="AJ83" s="43">
        <v>8.8212575312837949</v>
      </c>
      <c r="AK83" s="43">
        <v>7.7478042659974902</v>
      </c>
      <c r="AL83" s="47">
        <v>550.66666666666663</v>
      </c>
      <c r="AM83" s="47">
        <v>688.33333333333337</v>
      </c>
      <c r="AN83" s="47">
        <v>550.66666666666663</v>
      </c>
      <c r="AO83" s="47">
        <v>906.25</v>
      </c>
      <c r="AP83" s="47">
        <v>939.91666666666663</v>
      </c>
      <c r="AQ83" s="47">
        <v>29981.724036210417</v>
      </c>
      <c r="AR83" s="47">
        <v>30928.245587861678</v>
      </c>
      <c r="AS83" s="47">
        <v>31309.956856212535</v>
      </c>
      <c r="AT83" s="47">
        <v>31913.077916646507</v>
      </c>
      <c r="AU83" s="47">
        <v>32496.76763274497</v>
      </c>
      <c r="AV83" s="84">
        <v>37929.963647359786</v>
      </c>
      <c r="AW83" s="85">
        <v>38475.406330546757</v>
      </c>
      <c r="AX83" s="85">
        <v>38339.091815155451</v>
      </c>
      <c r="AY83" s="85">
        <v>36843.759310411049</v>
      </c>
      <c r="AZ83" s="85">
        <v>37577</v>
      </c>
      <c r="BA83" s="83">
        <v>17.273149581913906</v>
      </c>
      <c r="BB83" s="83">
        <v>16.013681592039802</v>
      </c>
      <c r="BC83" s="83">
        <v>16.777272388337931</v>
      </c>
      <c r="BD83" s="83">
        <v>18.152483866126371</v>
      </c>
      <c r="BE83" s="83">
        <v>16.916391968834283</v>
      </c>
      <c r="BF83" s="83">
        <v>21.232196091420999</v>
      </c>
      <c r="BG83" s="46">
        <v>23.200514138817482</v>
      </c>
      <c r="BH83" s="46">
        <v>24.107142857142858</v>
      </c>
      <c r="BI83" s="46">
        <v>25.546533416614615</v>
      </c>
      <c r="BJ83" s="46">
        <v>22.447705276303466</v>
      </c>
      <c r="BK83" s="42">
        <v>2799</v>
      </c>
      <c r="BL83" s="42">
        <v>2818</v>
      </c>
      <c r="BM83" s="40">
        <v>2794</v>
      </c>
      <c r="BN83" s="40">
        <v>2859</v>
      </c>
      <c r="BO83" s="43">
        <v>58.30653804930332</v>
      </c>
      <c r="BP83" s="43">
        <v>56.990773598296663</v>
      </c>
      <c r="BQ83" s="44">
        <v>56.69291338582677</v>
      </c>
      <c r="BR83" s="44">
        <v>55.054214760405735</v>
      </c>
      <c r="BS83" s="87">
        <v>0.14290818149339049</v>
      </c>
      <c r="BT83" s="87">
        <v>0</v>
      </c>
      <c r="BU83" s="87">
        <v>0</v>
      </c>
      <c r="BV83" s="87">
        <v>0</v>
      </c>
      <c r="BW83" s="43">
        <v>14.969632011432655</v>
      </c>
      <c r="BX83" s="43">
        <v>15.649396735273243</v>
      </c>
      <c r="BY83" s="43">
        <v>15.64065855404438</v>
      </c>
      <c r="BZ83" s="43">
        <v>16.40433718083246</v>
      </c>
      <c r="CA83" s="42">
        <v>85.589519650655021</v>
      </c>
      <c r="CB83" s="42">
        <v>82.608695652173907</v>
      </c>
      <c r="CC83" s="42">
        <v>82.71</v>
      </c>
      <c r="CD83" s="44">
        <v>83.87</v>
      </c>
      <c r="CE83" s="43">
        <v>0.8733624454148472</v>
      </c>
      <c r="CF83" s="43">
        <v>3.4782608695652173</v>
      </c>
      <c r="CG83" s="43">
        <v>3.74</v>
      </c>
      <c r="CH83" s="44">
        <v>2.15</v>
      </c>
      <c r="CI83" s="49">
        <v>797</v>
      </c>
      <c r="CJ83" s="49">
        <v>811</v>
      </c>
      <c r="CK83" s="51">
        <v>933</v>
      </c>
      <c r="CL83" s="51">
        <v>891</v>
      </c>
      <c r="CM83" s="88">
        <v>12.2</v>
      </c>
      <c r="CN83" s="88">
        <v>12</v>
      </c>
      <c r="CO83" s="88">
        <v>13.8</v>
      </c>
      <c r="CP83" s="88">
        <v>13.1</v>
      </c>
      <c r="CQ83" s="53">
        <v>32</v>
      </c>
      <c r="CR83" s="53">
        <v>24</v>
      </c>
      <c r="CS83" s="53">
        <v>60</v>
      </c>
      <c r="CT83" s="53">
        <v>36</v>
      </c>
      <c r="CU83" s="88">
        <v>4.0999999999999996</v>
      </c>
      <c r="CV83" s="88">
        <v>3</v>
      </c>
      <c r="CW83" s="88">
        <v>6.6</v>
      </c>
      <c r="CX83" s="88">
        <v>4.2</v>
      </c>
      <c r="CY83" s="51">
        <v>41</v>
      </c>
      <c r="CZ83" s="53">
        <v>46</v>
      </c>
      <c r="DA83" s="53">
        <v>76</v>
      </c>
      <c r="DB83" s="53">
        <v>70</v>
      </c>
      <c r="DC83" s="88">
        <v>5.8</v>
      </c>
      <c r="DD83" s="88">
        <v>6.2</v>
      </c>
      <c r="DE83" s="88">
        <v>8.9</v>
      </c>
      <c r="DF83" s="88">
        <v>8.5</v>
      </c>
      <c r="DG83" s="88">
        <v>82.7</v>
      </c>
      <c r="DH83" s="88">
        <v>77.3</v>
      </c>
      <c r="DI83" s="88">
        <v>83.6</v>
      </c>
      <c r="DJ83" s="88">
        <v>83.4</v>
      </c>
      <c r="DK83" s="88">
        <v>18.7</v>
      </c>
      <c r="DL83" s="88">
        <v>23.8</v>
      </c>
      <c r="DM83" s="88">
        <v>23.6</v>
      </c>
      <c r="DN83" s="88">
        <v>21.910112359550563</v>
      </c>
      <c r="DO83" s="88">
        <v>25.5</v>
      </c>
      <c r="DP83" s="88">
        <v>28.2</v>
      </c>
      <c r="DQ83" s="88">
        <v>33.9</v>
      </c>
      <c r="DR83" s="88">
        <v>34.6</v>
      </c>
      <c r="DS83" s="88">
        <v>42.027729636048527</v>
      </c>
      <c r="DT83" s="88">
        <v>34.104750304506702</v>
      </c>
      <c r="DU83" s="88">
        <v>40.209790209790206</v>
      </c>
      <c r="DV83" s="88">
        <v>37.621922898281468</v>
      </c>
      <c r="DW83" s="54">
        <v>158</v>
      </c>
      <c r="DX83" s="54">
        <v>4</v>
      </c>
      <c r="DY83" s="51">
        <v>2</v>
      </c>
      <c r="DZ83" s="53">
        <v>1</v>
      </c>
      <c r="EA83" s="53">
        <v>2</v>
      </c>
      <c r="EB83" s="53">
        <v>10</v>
      </c>
      <c r="EC83" s="53">
        <v>1</v>
      </c>
      <c r="ED83" s="51">
        <v>8</v>
      </c>
      <c r="EE83" s="53">
        <v>4</v>
      </c>
      <c r="EF83" s="53">
        <v>877</v>
      </c>
      <c r="EG83" s="53">
        <v>953</v>
      </c>
      <c r="EH83" s="53">
        <v>975</v>
      </c>
      <c r="EI83" s="53">
        <v>904</v>
      </c>
      <c r="EJ83" s="92">
        <v>184</v>
      </c>
      <c r="EK83" s="92">
        <v>0</v>
      </c>
      <c r="EL83" s="92">
        <v>1</v>
      </c>
      <c r="EM83" s="92">
        <v>0</v>
      </c>
      <c r="EN83" s="92">
        <v>0</v>
      </c>
      <c r="EO83" s="88">
        <v>1343.8965337583131</v>
      </c>
      <c r="EP83" s="88">
        <v>1415.8792416948952</v>
      </c>
      <c r="EQ83" s="88">
        <v>1440.5389832010992</v>
      </c>
      <c r="ER83" s="88">
        <v>1327.2539319205493</v>
      </c>
      <c r="ES83" s="88">
        <v>898.5</v>
      </c>
      <c r="ET83" s="88">
        <v>891.8</v>
      </c>
      <c r="EU83" s="88">
        <v>870.9</v>
      </c>
      <c r="EV83" s="88">
        <v>764</v>
      </c>
      <c r="EW83" s="88">
        <v>1100.9233900988293</v>
      </c>
      <c r="EX83" s="88">
        <v>1057.7373107219823</v>
      </c>
      <c r="EY83" s="88">
        <v>1090.8592121144918</v>
      </c>
      <c r="EZ83" s="88">
        <v>922.0692319574523</v>
      </c>
      <c r="FA83" s="88">
        <v>736.2204694918546</v>
      </c>
      <c r="FB83" s="88">
        <v>757.02878972752455</v>
      </c>
      <c r="FC83" s="88">
        <v>683.87430422202601</v>
      </c>
      <c r="FD83" s="88">
        <v>637.53662202951887</v>
      </c>
      <c r="FE83" s="51">
        <v>191</v>
      </c>
      <c r="FF83" s="54">
        <v>192</v>
      </c>
      <c r="FG83" s="54">
        <v>186</v>
      </c>
      <c r="FH83" s="54">
        <v>195</v>
      </c>
      <c r="FI83" s="88">
        <v>204.56229999999999</v>
      </c>
      <c r="FJ83" s="88">
        <v>189.4528</v>
      </c>
      <c r="FK83" s="88">
        <v>182.61779999999999</v>
      </c>
      <c r="FL83" s="88">
        <v>181.23179999999999</v>
      </c>
      <c r="FM83" s="54">
        <v>277</v>
      </c>
      <c r="FN83" s="54">
        <v>281</v>
      </c>
      <c r="FO83" s="51">
        <v>271</v>
      </c>
      <c r="FP83" s="54">
        <v>219</v>
      </c>
      <c r="FQ83" s="88">
        <v>273.6739</v>
      </c>
      <c r="FR83" s="88">
        <v>261.47359999999998</v>
      </c>
      <c r="FS83" s="88">
        <v>236.29589999999999</v>
      </c>
      <c r="FT83" s="88">
        <v>177.2998</v>
      </c>
      <c r="FU83" s="53">
        <v>83</v>
      </c>
      <c r="FV83" s="53">
        <v>74</v>
      </c>
      <c r="FW83" s="53">
        <v>77</v>
      </c>
      <c r="FX83" s="53">
        <v>48</v>
      </c>
      <c r="FY83" s="88">
        <v>79.233490000000003</v>
      </c>
      <c r="FZ83" s="88">
        <v>63.987699999999997</v>
      </c>
      <c r="GA83" s="88">
        <v>63.508589999999998</v>
      </c>
      <c r="GB83" s="88">
        <v>37.095469999999999</v>
      </c>
      <c r="GC83" s="55">
        <v>31</v>
      </c>
      <c r="GD83" s="56">
        <v>40</v>
      </c>
      <c r="GE83" s="55">
        <v>29</v>
      </c>
      <c r="GF83" s="55">
        <v>30</v>
      </c>
      <c r="GG83" s="91">
        <v>43.340089999999996</v>
      </c>
      <c r="GH83" s="91">
        <v>52.431330000000003</v>
      </c>
      <c r="GI83" s="91">
        <v>31.953340000000001</v>
      </c>
      <c r="GJ83" s="91">
        <v>34.838850000000001</v>
      </c>
      <c r="GK83" s="55"/>
      <c r="GL83" s="55"/>
      <c r="GM83" s="55"/>
      <c r="GN83" s="56"/>
      <c r="GO83" s="55"/>
      <c r="GP83" s="55"/>
      <c r="GQ83" s="55"/>
      <c r="GR83" s="55"/>
      <c r="GS83" s="56"/>
      <c r="GT83" s="55"/>
      <c r="GU83" s="55"/>
      <c r="GV83" s="55"/>
      <c r="GW83" s="55"/>
      <c r="GX83" s="56"/>
      <c r="GY83" s="56"/>
      <c r="GZ83" s="56"/>
      <c r="HA83" s="56"/>
      <c r="HB83" s="56"/>
      <c r="HC83" s="56"/>
      <c r="HD83" s="57"/>
      <c r="HE83" s="57"/>
      <c r="HF83" s="57"/>
      <c r="HG83" s="57"/>
      <c r="HH83" s="57"/>
      <c r="HI83" s="58"/>
      <c r="HJ83" s="58"/>
      <c r="HK83" s="55"/>
      <c r="HL83" s="56"/>
      <c r="HM83" s="56"/>
      <c r="HN83" s="56"/>
      <c r="HO83" s="56"/>
      <c r="HP83" s="56"/>
      <c r="HQ83" s="56"/>
      <c r="HR83" s="56"/>
      <c r="HS83" s="56"/>
      <c r="HT83" s="56"/>
      <c r="HU83" s="38"/>
    </row>
    <row r="84" spans="1:229" x14ac:dyDescent="0.2">
      <c r="A84" s="36">
        <v>81</v>
      </c>
      <c r="B84" s="70" t="s">
        <v>137</v>
      </c>
      <c r="C84" s="77">
        <v>19443</v>
      </c>
      <c r="D84" s="77">
        <v>18771</v>
      </c>
      <c r="E84" s="77">
        <v>19136</v>
      </c>
      <c r="F84" s="77">
        <v>19273</v>
      </c>
      <c r="G84" s="150">
        <v>19237</v>
      </c>
      <c r="H84" s="41">
        <v>18215</v>
      </c>
      <c r="I84" s="41">
        <v>462</v>
      </c>
      <c r="J84" s="41">
        <v>174</v>
      </c>
      <c r="K84" s="41">
        <v>148</v>
      </c>
      <c r="L84" s="41">
        <v>1113</v>
      </c>
      <c r="M84" s="42">
        <v>7302</v>
      </c>
      <c r="N84" s="43">
        <v>7324</v>
      </c>
      <c r="O84" s="43">
        <v>7281</v>
      </c>
      <c r="P84" s="44">
        <v>7326</v>
      </c>
      <c r="Q84" s="44">
        <v>7338</v>
      </c>
      <c r="R84" s="87">
        <v>20.873187287874114</v>
      </c>
      <c r="S84" s="87">
        <v>21.973425196850393</v>
      </c>
      <c r="T84" s="87">
        <v>22.546588818683517</v>
      </c>
      <c r="U84" s="87">
        <v>23.059142356129442</v>
      </c>
      <c r="V84" s="87">
        <v>23.478746311508093</v>
      </c>
      <c r="W84" s="87">
        <v>29.103671706263498</v>
      </c>
      <c r="X84" s="87">
        <v>31.988188976377952</v>
      </c>
      <c r="Y84" s="87">
        <v>30.504678877069502</v>
      </c>
      <c r="Z84" s="87">
        <v>30.559540889526541</v>
      </c>
      <c r="AA84" s="42">
        <v>29.938591594226015</v>
      </c>
      <c r="AB84" s="87">
        <v>49.976858994137615</v>
      </c>
      <c r="AC84" s="87">
        <v>53.961614173228348</v>
      </c>
      <c r="AD84" s="87">
        <v>53.051267695753019</v>
      </c>
      <c r="AE84" s="87">
        <v>53.618683245655987</v>
      </c>
      <c r="AF84" s="87">
        <v>53.417337905734108</v>
      </c>
      <c r="AG84" s="44">
        <v>5.3351053730776536</v>
      </c>
      <c r="AH84" s="44">
        <v>8.513064133016627</v>
      </c>
      <c r="AI84" s="44">
        <v>7.5473484848484844</v>
      </c>
      <c r="AJ84" s="43">
        <v>6.4283709179376816</v>
      </c>
      <c r="AK84" s="43">
        <v>5.8464814635562865</v>
      </c>
      <c r="AL84" s="47">
        <v>477.08333333333331</v>
      </c>
      <c r="AM84" s="47">
        <v>612.91666666666663</v>
      </c>
      <c r="AN84" s="47">
        <v>477.08333333333331</v>
      </c>
      <c r="AO84" s="47">
        <v>807.08333333333337</v>
      </c>
      <c r="AP84" s="47">
        <v>845.08333333333337</v>
      </c>
      <c r="AQ84" s="47">
        <v>37657.725290611532</v>
      </c>
      <c r="AR84" s="47">
        <v>37413.582118477178</v>
      </c>
      <c r="AS84" s="47">
        <v>38156.321454514655</v>
      </c>
      <c r="AT84" s="47">
        <v>39960.171841371863</v>
      </c>
      <c r="AU84" s="47">
        <v>41147.320268233096</v>
      </c>
      <c r="AV84" s="84">
        <v>53946.946244096951</v>
      </c>
      <c r="AW84" s="85">
        <v>54686.617253308286</v>
      </c>
      <c r="AX84" s="85">
        <v>52803.117528238785</v>
      </c>
      <c r="AY84" s="85">
        <v>53749.407576425896</v>
      </c>
      <c r="AZ84" s="85">
        <v>52927</v>
      </c>
      <c r="BA84" s="83">
        <v>8.8358109236679478</v>
      </c>
      <c r="BB84" s="83">
        <v>8.5303300624442464</v>
      </c>
      <c r="BC84" s="83">
        <v>10.676995621421353</v>
      </c>
      <c r="BD84" s="83">
        <v>9.8684943720049034</v>
      </c>
      <c r="BE84" s="83">
        <v>9.926306386779812</v>
      </c>
      <c r="BF84" s="83">
        <v>10.464341257498333</v>
      </c>
      <c r="BG84" s="46">
        <v>12.568067959050316</v>
      </c>
      <c r="BH84" s="46">
        <v>14.958323946834872</v>
      </c>
      <c r="BI84" s="46">
        <v>13.52017937219731</v>
      </c>
      <c r="BJ84" s="46">
        <v>13.132911392405063</v>
      </c>
      <c r="BK84" s="42">
        <v>3592</v>
      </c>
      <c r="BL84" s="42">
        <v>3606</v>
      </c>
      <c r="BM84" s="40">
        <v>3603</v>
      </c>
      <c r="BN84" s="40">
        <v>3566</v>
      </c>
      <c r="BO84" s="43">
        <v>34.548997772828507</v>
      </c>
      <c r="BP84" s="43">
        <v>34.830837493067108</v>
      </c>
      <c r="BQ84" s="44">
        <v>37.607549264501806</v>
      </c>
      <c r="BR84" s="44">
        <v>39.680314077397647</v>
      </c>
      <c r="BS84" s="87">
        <v>3.591314031180401</v>
      </c>
      <c r="BT84" s="87">
        <v>2.9950083194675541</v>
      </c>
      <c r="BU84" s="87">
        <v>2.3868998057174577</v>
      </c>
      <c r="BV84" s="87">
        <v>1.9910263600673024</v>
      </c>
      <c r="BW84" s="43">
        <v>16.258351893095767</v>
      </c>
      <c r="BX84" s="43">
        <v>15.085967831392125</v>
      </c>
      <c r="BY84" s="43">
        <v>15.570358034970857</v>
      </c>
      <c r="BZ84" s="43">
        <v>15.956253505328098</v>
      </c>
      <c r="CA84" s="42">
        <v>82.770270270270274</v>
      </c>
      <c r="CB84" s="42">
        <v>87.545787545787547</v>
      </c>
      <c r="CC84" s="42">
        <v>88.28</v>
      </c>
      <c r="CD84" s="44">
        <v>84.86</v>
      </c>
      <c r="CE84" s="43">
        <v>5.4054054054054053</v>
      </c>
      <c r="CF84" s="43">
        <v>2.197802197802198</v>
      </c>
      <c r="CG84" s="43">
        <v>3.79</v>
      </c>
      <c r="CH84" s="44">
        <v>3.17</v>
      </c>
      <c r="CI84" s="49">
        <v>1137</v>
      </c>
      <c r="CJ84" s="49">
        <v>1228</v>
      </c>
      <c r="CK84" s="54">
        <v>1322</v>
      </c>
      <c r="CL84" s="54">
        <v>1101</v>
      </c>
      <c r="CM84" s="88">
        <v>12.6</v>
      </c>
      <c r="CN84" s="88">
        <v>12.9</v>
      </c>
      <c r="CO84" s="88">
        <v>13.6</v>
      </c>
      <c r="CP84" s="88">
        <v>11.5</v>
      </c>
      <c r="CQ84" s="53">
        <v>49</v>
      </c>
      <c r="CR84" s="53">
        <v>46</v>
      </c>
      <c r="CS84" s="53">
        <v>53</v>
      </c>
      <c r="CT84" s="53">
        <v>45</v>
      </c>
      <c r="CU84" s="88">
        <v>4.5</v>
      </c>
      <c r="CV84" s="88">
        <v>3.9</v>
      </c>
      <c r="CW84" s="88">
        <v>4.2</v>
      </c>
      <c r="CX84" s="88">
        <v>4.2</v>
      </c>
      <c r="CY84" s="51">
        <v>72</v>
      </c>
      <c r="CZ84" s="53">
        <v>76</v>
      </c>
      <c r="DA84" s="53">
        <v>85</v>
      </c>
      <c r="DB84" s="53">
        <v>84</v>
      </c>
      <c r="DC84" s="88">
        <v>7.1</v>
      </c>
      <c r="DD84" s="88">
        <v>6.6</v>
      </c>
      <c r="DE84" s="88">
        <v>7.2</v>
      </c>
      <c r="DF84" s="88">
        <v>8.1999999999999993</v>
      </c>
      <c r="DG84" s="88">
        <v>87.5</v>
      </c>
      <c r="DH84" s="88">
        <v>85.9</v>
      </c>
      <c r="DI84" s="88">
        <v>88.3</v>
      </c>
      <c r="DJ84" s="88">
        <v>87.7</v>
      </c>
      <c r="DK84" s="88">
        <v>11.4</v>
      </c>
      <c r="DL84" s="88">
        <v>15.7</v>
      </c>
      <c r="DM84" s="88">
        <v>14.9</v>
      </c>
      <c r="DN84" s="88">
        <v>15.650591446769791</v>
      </c>
      <c r="DO84" s="88">
        <v>22</v>
      </c>
      <c r="DP84" s="88">
        <v>28.3</v>
      </c>
      <c r="DQ84" s="88">
        <v>32.9</v>
      </c>
      <c r="DR84" s="88">
        <v>33.200000000000003</v>
      </c>
      <c r="DS84" s="88">
        <v>31.448645031783204</v>
      </c>
      <c r="DT84" s="88">
        <v>30.703012912482066</v>
      </c>
      <c r="DU84" s="88">
        <v>31.330749354005167</v>
      </c>
      <c r="DV84" s="88">
        <v>24.495677233429394</v>
      </c>
      <c r="DW84" s="54">
        <v>209</v>
      </c>
      <c r="DX84" s="54">
        <v>7</v>
      </c>
      <c r="DY84" s="51">
        <v>0</v>
      </c>
      <c r="DZ84" s="53">
        <v>1</v>
      </c>
      <c r="EA84" s="53">
        <v>10</v>
      </c>
      <c r="EB84" s="53">
        <v>6</v>
      </c>
      <c r="EC84" s="53">
        <v>4</v>
      </c>
      <c r="ED84" s="51">
        <v>6</v>
      </c>
      <c r="EE84" s="53">
        <v>7</v>
      </c>
      <c r="EF84" s="53">
        <v>842</v>
      </c>
      <c r="EG84" s="53">
        <v>861</v>
      </c>
      <c r="EH84" s="53">
        <v>836</v>
      </c>
      <c r="EI84" s="53">
        <v>797</v>
      </c>
      <c r="EJ84" s="92">
        <v>163</v>
      </c>
      <c r="EK84" s="92">
        <v>0</v>
      </c>
      <c r="EL84" s="92">
        <v>0</v>
      </c>
      <c r="EM84" s="92">
        <v>0</v>
      </c>
      <c r="EN84" s="92">
        <v>2</v>
      </c>
      <c r="EO84" s="88">
        <v>936.41914209771232</v>
      </c>
      <c r="EP84" s="88">
        <v>904.77291355793284</v>
      </c>
      <c r="EQ84" s="88">
        <v>861.57144034957537</v>
      </c>
      <c r="ER84" s="88">
        <v>823.51252234968615</v>
      </c>
      <c r="ES84" s="88">
        <v>755.7</v>
      </c>
      <c r="ET84" s="88">
        <v>737.1</v>
      </c>
      <c r="EU84" s="88">
        <v>687.3</v>
      </c>
      <c r="EV84" s="88">
        <v>615.29999999999995</v>
      </c>
      <c r="EW84" s="88">
        <v>955.75764188083804</v>
      </c>
      <c r="EX84" s="88">
        <v>878.36326198391907</v>
      </c>
      <c r="EY84" s="88">
        <v>828.0853318306041</v>
      </c>
      <c r="EZ84" s="88">
        <v>739.07477024111654</v>
      </c>
      <c r="FA84" s="88">
        <v>608.65541523365209</v>
      </c>
      <c r="FB84" s="88">
        <v>635.82251512960374</v>
      </c>
      <c r="FC84" s="88">
        <v>570.9302137558027</v>
      </c>
      <c r="FD84" s="88">
        <v>525.35309906876364</v>
      </c>
      <c r="FE84" s="51">
        <v>204</v>
      </c>
      <c r="FF84" s="54">
        <v>202</v>
      </c>
      <c r="FG84" s="54">
        <v>186</v>
      </c>
      <c r="FH84" s="54">
        <v>201</v>
      </c>
      <c r="FI84" s="88">
        <v>190.07409999999999</v>
      </c>
      <c r="FJ84" s="88">
        <v>185.77629999999999</v>
      </c>
      <c r="FK84" s="88">
        <v>164.72730000000001</v>
      </c>
      <c r="FL84" s="88">
        <v>164.6395</v>
      </c>
      <c r="FM84" s="54">
        <v>268</v>
      </c>
      <c r="FN84" s="54">
        <v>254</v>
      </c>
      <c r="FO84" s="51">
        <v>203</v>
      </c>
      <c r="FP84" s="54">
        <v>197</v>
      </c>
      <c r="FQ84" s="88">
        <v>234.92070000000001</v>
      </c>
      <c r="FR84" s="88">
        <v>210.88650000000001</v>
      </c>
      <c r="FS84" s="88">
        <v>159.93819999999999</v>
      </c>
      <c r="FT84" s="88">
        <v>146.05029999999999</v>
      </c>
      <c r="FU84" s="53">
        <v>67</v>
      </c>
      <c r="FV84" s="53">
        <v>71</v>
      </c>
      <c r="FW84" s="53">
        <v>59</v>
      </c>
      <c r="FX84" s="53">
        <v>48</v>
      </c>
      <c r="FY84" s="88">
        <v>57.401490000000003</v>
      </c>
      <c r="FZ84" s="88">
        <v>55.926110000000001</v>
      </c>
      <c r="GA84" s="88">
        <v>43.040289999999999</v>
      </c>
      <c r="GB84" s="88">
        <v>34.147039999999997</v>
      </c>
      <c r="GC84" s="55">
        <v>41</v>
      </c>
      <c r="GD84" s="56">
        <v>39</v>
      </c>
      <c r="GE84" s="55">
        <v>35</v>
      </c>
      <c r="GF84" s="55">
        <v>33</v>
      </c>
      <c r="GG84" s="91">
        <v>43.927199999999999</v>
      </c>
      <c r="GH84" s="91">
        <v>38.024459999999998</v>
      </c>
      <c r="GI84" s="91">
        <v>33.832970000000003</v>
      </c>
      <c r="GJ84" s="91">
        <v>31.46095</v>
      </c>
      <c r="GK84" s="55"/>
      <c r="GL84" s="55"/>
      <c r="GM84" s="55"/>
      <c r="GN84" s="56"/>
      <c r="GO84" s="55"/>
      <c r="GP84" s="55"/>
      <c r="GQ84" s="55"/>
      <c r="GR84" s="55"/>
      <c r="GS84" s="56"/>
      <c r="GT84" s="55"/>
      <c r="GU84" s="55"/>
      <c r="GV84" s="55"/>
      <c r="GW84" s="55"/>
      <c r="GX84" s="56"/>
      <c r="GY84" s="56"/>
      <c r="GZ84" s="56"/>
      <c r="HA84" s="56"/>
      <c r="HB84" s="56"/>
      <c r="HC84" s="56"/>
      <c r="HD84" s="57"/>
      <c r="HE84" s="57"/>
      <c r="HF84" s="57"/>
      <c r="HG84" s="57"/>
      <c r="HH84" s="57"/>
      <c r="HI84" s="58"/>
      <c r="HJ84" s="58"/>
      <c r="HK84" s="55"/>
      <c r="HL84" s="56"/>
      <c r="HM84" s="56"/>
      <c r="HN84" s="56"/>
      <c r="HO84" s="56"/>
      <c r="HP84" s="56"/>
      <c r="HQ84" s="56"/>
      <c r="HR84" s="56"/>
      <c r="HS84" s="56"/>
      <c r="HT84" s="56"/>
      <c r="HU84" s="38"/>
    </row>
    <row r="85" spans="1:229" ht="21" customHeight="1" x14ac:dyDescent="0.2">
      <c r="A85" s="36">
        <v>82</v>
      </c>
      <c r="B85" s="70" t="s">
        <v>138</v>
      </c>
      <c r="C85" s="77">
        <v>229173</v>
      </c>
      <c r="D85" s="77">
        <v>231958</v>
      </c>
      <c r="E85" s="77">
        <v>238136</v>
      </c>
      <c r="F85" s="77">
        <v>241280</v>
      </c>
      <c r="G85" s="150">
        <v>244088</v>
      </c>
      <c r="H85" s="41">
        <v>215284</v>
      </c>
      <c r="I85" s="41">
        <v>9717</v>
      </c>
      <c r="J85" s="41">
        <v>1211</v>
      </c>
      <c r="K85" s="41">
        <v>12953</v>
      </c>
      <c r="L85" s="41">
        <v>8865</v>
      </c>
      <c r="M85" s="42">
        <v>86709</v>
      </c>
      <c r="N85" s="43">
        <v>88120</v>
      </c>
      <c r="O85" s="43">
        <v>87859</v>
      </c>
      <c r="P85" s="44">
        <v>88921</v>
      </c>
      <c r="Q85" s="44">
        <v>89875</v>
      </c>
      <c r="R85" s="87">
        <v>12.737989574087733</v>
      </c>
      <c r="S85" s="87">
        <v>13.678420858104003</v>
      </c>
      <c r="T85" s="87">
        <v>15.507417292533052</v>
      </c>
      <c r="U85" s="87">
        <v>16.277944509095363</v>
      </c>
      <c r="V85" s="87">
        <v>17.414482452243448</v>
      </c>
      <c r="W85" s="87">
        <v>30.507669421074343</v>
      </c>
      <c r="X85" s="87">
        <v>31.630447720054374</v>
      </c>
      <c r="Y85" s="87">
        <v>32.302153807957296</v>
      </c>
      <c r="Z85" s="87">
        <v>31.501806823053837</v>
      </c>
      <c r="AA85" s="42">
        <v>31.12710941255941</v>
      </c>
      <c r="AB85" s="87">
        <v>43.245658995162074</v>
      </c>
      <c r="AC85" s="87">
        <v>45.308868578158375</v>
      </c>
      <c r="AD85" s="87">
        <v>47.809571100490345</v>
      </c>
      <c r="AE85" s="87">
        <v>47.779751332149203</v>
      </c>
      <c r="AF85" s="87">
        <v>48.541591864802861</v>
      </c>
      <c r="AG85" s="44">
        <v>4.9505103023300601</v>
      </c>
      <c r="AH85" s="44">
        <v>7.5343366735017607</v>
      </c>
      <c r="AI85" s="44">
        <v>6.9336525836101028</v>
      </c>
      <c r="AJ85" s="43">
        <v>6.2893565327038852</v>
      </c>
      <c r="AK85" s="43">
        <v>5.3249083975173859</v>
      </c>
      <c r="AL85" s="47">
        <v>2392.25</v>
      </c>
      <c r="AM85" s="47">
        <v>3012.6666666666665</v>
      </c>
      <c r="AN85" s="47">
        <v>2392.25</v>
      </c>
      <c r="AO85" s="47">
        <v>4437.083333333333</v>
      </c>
      <c r="AP85" s="47">
        <v>4785.75</v>
      </c>
      <c r="AQ85" s="47">
        <v>51240.336946251737</v>
      </c>
      <c r="AR85" s="47">
        <v>49586.861050089356</v>
      </c>
      <c r="AS85" s="47">
        <v>50086.206480724657</v>
      </c>
      <c r="AT85" s="47">
        <v>51762.482428439529</v>
      </c>
      <c r="AU85" s="47">
        <v>52080.712693782567</v>
      </c>
      <c r="AV85" s="84">
        <v>84958.255890948698</v>
      </c>
      <c r="AW85" s="85">
        <v>80714.664576551149</v>
      </c>
      <c r="AX85" s="85">
        <v>81697.475366080602</v>
      </c>
      <c r="AY85" s="85">
        <v>78663.370537553506</v>
      </c>
      <c r="AZ85" s="85">
        <v>80647</v>
      </c>
      <c r="BA85" s="83">
        <v>4.4691550393087329</v>
      </c>
      <c r="BB85" s="83">
        <v>5.6569925923981295</v>
      </c>
      <c r="BC85" s="83">
        <v>5.8185571915276846</v>
      </c>
      <c r="BD85" s="83">
        <v>5.8843318573092631</v>
      </c>
      <c r="BE85" s="83">
        <v>5.5468275936593434</v>
      </c>
      <c r="BF85" s="83">
        <v>4.7227717749708313</v>
      </c>
      <c r="BG85" s="46">
        <v>6.460697287594078</v>
      </c>
      <c r="BH85" s="46">
        <v>7.1061169581387986</v>
      </c>
      <c r="BI85" s="46">
        <v>7.07892335035947</v>
      </c>
      <c r="BJ85" s="46">
        <v>6.222837459356791</v>
      </c>
      <c r="BK85" s="42">
        <v>38681</v>
      </c>
      <c r="BL85" s="42">
        <v>39274</v>
      </c>
      <c r="BM85" s="40">
        <v>39855</v>
      </c>
      <c r="BN85" s="40">
        <v>39311</v>
      </c>
      <c r="BO85" s="43">
        <v>16.320674232827486</v>
      </c>
      <c r="BP85" s="43">
        <v>17.823496460762847</v>
      </c>
      <c r="BQ85" s="44">
        <v>19.465562664659391</v>
      </c>
      <c r="BR85" s="44">
        <v>18.363816743405152</v>
      </c>
      <c r="BS85" s="87">
        <v>3.1798557431297021</v>
      </c>
      <c r="BT85" s="87">
        <v>3.824413097723685</v>
      </c>
      <c r="BU85" s="87">
        <v>4.4561535566428301</v>
      </c>
      <c r="BV85" s="87">
        <v>2.8210933326549821</v>
      </c>
      <c r="BW85" s="43">
        <v>11.982627129598511</v>
      </c>
      <c r="BX85" s="43">
        <v>11.890818353108926</v>
      </c>
      <c r="BY85" s="43">
        <v>12.221804039643709</v>
      </c>
      <c r="BZ85" s="43">
        <v>12.637684108773625</v>
      </c>
      <c r="CA85" s="42">
        <v>87.629170357248299</v>
      </c>
      <c r="CB85" s="42">
        <v>88.879029872818691</v>
      </c>
      <c r="CC85" s="42">
        <v>87.9</v>
      </c>
      <c r="CD85" s="44">
        <v>87.58</v>
      </c>
      <c r="CE85" s="43">
        <v>2.0962503690581635</v>
      </c>
      <c r="CF85" s="43">
        <v>1.5084294587400178</v>
      </c>
      <c r="CG85" s="43">
        <v>1.56</v>
      </c>
      <c r="CH85" s="44">
        <v>2.25</v>
      </c>
      <c r="CI85" s="49">
        <v>12918</v>
      </c>
      <c r="CJ85" s="49">
        <v>13953</v>
      </c>
      <c r="CK85" s="54">
        <v>14559</v>
      </c>
      <c r="CL85" s="54">
        <v>14151</v>
      </c>
      <c r="CM85" s="88">
        <v>14.4</v>
      </c>
      <c r="CN85" s="88">
        <v>13.7</v>
      </c>
      <c r="CO85" s="88">
        <v>13.2</v>
      </c>
      <c r="CP85" s="88">
        <v>11.9</v>
      </c>
      <c r="CQ85" s="53">
        <v>524</v>
      </c>
      <c r="CR85" s="53">
        <v>499</v>
      </c>
      <c r="CS85" s="53">
        <v>581</v>
      </c>
      <c r="CT85" s="53">
        <v>537</v>
      </c>
      <c r="CU85" s="88">
        <v>4.2</v>
      </c>
      <c r="CV85" s="88">
        <v>3.7</v>
      </c>
      <c r="CW85" s="88">
        <v>4.2</v>
      </c>
      <c r="CX85" s="88">
        <v>3.9</v>
      </c>
      <c r="CY85" s="51">
        <v>773</v>
      </c>
      <c r="CZ85" s="53">
        <v>755</v>
      </c>
      <c r="DA85" s="53">
        <v>968</v>
      </c>
      <c r="DB85" s="53">
        <v>940</v>
      </c>
      <c r="DC85" s="88">
        <v>6.7</v>
      </c>
      <c r="DD85" s="88">
        <v>6.5</v>
      </c>
      <c r="DE85" s="88">
        <v>8.1</v>
      </c>
      <c r="DF85" s="88">
        <v>7.4</v>
      </c>
      <c r="DG85" s="88">
        <v>91</v>
      </c>
      <c r="DH85" s="88">
        <v>91.8</v>
      </c>
      <c r="DI85" s="88">
        <v>92.3</v>
      </c>
      <c r="DJ85" s="88">
        <v>89.8</v>
      </c>
      <c r="DK85" s="88">
        <v>9.6999999999999993</v>
      </c>
      <c r="DL85" s="88">
        <v>8.1999999999999993</v>
      </c>
      <c r="DM85" s="88">
        <v>6.4</v>
      </c>
      <c r="DN85" s="88">
        <v>7.464379386120366</v>
      </c>
      <c r="DO85" s="88">
        <v>14.8</v>
      </c>
      <c r="DP85" s="88">
        <v>16.100000000000001</v>
      </c>
      <c r="DQ85" s="88">
        <v>20.399999999999999</v>
      </c>
      <c r="DR85" s="88">
        <v>24.1</v>
      </c>
      <c r="DS85" s="88">
        <v>18.729915837796479</v>
      </c>
      <c r="DT85" s="88">
        <v>15.308265938451843</v>
      </c>
      <c r="DU85" s="88">
        <v>15.743632716284504</v>
      </c>
      <c r="DV85" s="88">
        <v>11.226062073519701</v>
      </c>
      <c r="DW85" s="54">
        <v>2275</v>
      </c>
      <c r="DX85" s="54">
        <v>173</v>
      </c>
      <c r="DY85" s="51">
        <v>6</v>
      </c>
      <c r="DZ85" s="53">
        <v>268</v>
      </c>
      <c r="EA85" s="53">
        <v>118</v>
      </c>
      <c r="EB85" s="53">
        <v>63</v>
      </c>
      <c r="EC85" s="53">
        <v>69</v>
      </c>
      <c r="ED85" s="51">
        <v>58</v>
      </c>
      <c r="EE85" s="53">
        <v>69</v>
      </c>
      <c r="EF85" s="53">
        <v>4037</v>
      </c>
      <c r="EG85" s="53">
        <v>4892</v>
      </c>
      <c r="EH85" s="53">
        <v>5490</v>
      </c>
      <c r="EI85" s="53">
        <v>6478</v>
      </c>
      <c r="EJ85" s="92">
        <v>1288</v>
      </c>
      <c r="EK85" s="92">
        <v>24</v>
      </c>
      <c r="EL85" s="92">
        <v>2</v>
      </c>
      <c r="EM85" s="92">
        <v>21</v>
      </c>
      <c r="EN85" s="92">
        <v>12</v>
      </c>
      <c r="EO85" s="88">
        <v>450.23091481524028</v>
      </c>
      <c r="EP85" s="88">
        <v>480.6997856896499</v>
      </c>
      <c r="EQ85" s="88">
        <v>498.1286151752297</v>
      </c>
      <c r="ER85" s="88">
        <v>546.0652152417689</v>
      </c>
      <c r="ES85" s="88">
        <v>808.7</v>
      </c>
      <c r="ET85" s="88">
        <v>787.9</v>
      </c>
      <c r="EU85" s="88">
        <v>732.3</v>
      </c>
      <c r="EV85" s="88">
        <v>650.79999999999995</v>
      </c>
      <c r="EW85" s="88">
        <v>991.26150310715195</v>
      </c>
      <c r="EX85" s="88">
        <v>933.83339979035873</v>
      </c>
      <c r="EY85" s="88">
        <v>834.79518314263782</v>
      </c>
      <c r="EZ85" s="88">
        <v>742.55082354536546</v>
      </c>
      <c r="FA85" s="88">
        <v>679.53982038817981</v>
      </c>
      <c r="FB85" s="88">
        <v>684.49652498595015</v>
      </c>
      <c r="FC85" s="88">
        <v>653.72185847695027</v>
      </c>
      <c r="FD85" s="88">
        <v>576.70883897460715</v>
      </c>
      <c r="FE85" s="51">
        <v>1065</v>
      </c>
      <c r="FF85" s="54">
        <v>1323</v>
      </c>
      <c r="FG85" s="54">
        <v>1463</v>
      </c>
      <c r="FH85" s="54">
        <v>1727</v>
      </c>
      <c r="FI85" s="88">
        <v>202.95249999999999</v>
      </c>
      <c r="FJ85" s="88">
        <v>198.86199999999999</v>
      </c>
      <c r="FK85" s="88">
        <v>179.34399999999999</v>
      </c>
      <c r="FL85" s="88">
        <v>164.23699999999999</v>
      </c>
      <c r="FM85" s="54">
        <v>964</v>
      </c>
      <c r="FN85" s="54">
        <v>990</v>
      </c>
      <c r="FO85" s="51">
        <v>1038</v>
      </c>
      <c r="FP85" s="54">
        <v>1066</v>
      </c>
      <c r="FQ85" s="88">
        <v>201.2544</v>
      </c>
      <c r="FR85" s="88">
        <v>166.74029999999999</v>
      </c>
      <c r="FS85" s="88">
        <v>144.84880000000001</v>
      </c>
      <c r="FT85" s="88">
        <v>108.6208</v>
      </c>
      <c r="FU85" s="53">
        <v>320</v>
      </c>
      <c r="FV85" s="53">
        <v>340</v>
      </c>
      <c r="FW85" s="53">
        <v>323</v>
      </c>
      <c r="FX85" s="53">
        <v>306</v>
      </c>
      <c r="FY85" s="88">
        <v>71.250039999999998</v>
      </c>
      <c r="FZ85" s="88">
        <v>60.51688</v>
      </c>
      <c r="GA85" s="88">
        <v>47.39913</v>
      </c>
      <c r="GB85" s="88">
        <v>32.259889999999999</v>
      </c>
      <c r="GC85" s="55">
        <v>154</v>
      </c>
      <c r="GD85" s="56">
        <v>203</v>
      </c>
      <c r="GE85" s="55">
        <v>254</v>
      </c>
      <c r="GF85" s="55">
        <v>315</v>
      </c>
      <c r="GG85" s="91">
        <v>23.645340000000001</v>
      </c>
      <c r="GH85" s="91">
        <v>25.94388</v>
      </c>
      <c r="GI85" s="91">
        <v>27.358450000000001</v>
      </c>
      <c r="GJ85" s="91">
        <v>29.069790000000001</v>
      </c>
      <c r="GK85" s="55"/>
      <c r="GL85" s="55"/>
      <c r="GM85" s="55"/>
      <c r="GN85" s="56"/>
      <c r="GO85" s="55"/>
      <c r="GP85" s="55"/>
      <c r="GQ85" s="55"/>
      <c r="GR85" s="55"/>
      <c r="GS85" s="56"/>
      <c r="GT85" s="55"/>
      <c r="GU85" s="55"/>
      <c r="GV85" s="55"/>
      <c r="GW85" s="55"/>
      <c r="GX85" s="56"/>
      <c r="GY85" s="56"/>
      <c r="GZ85" s="56"/>
      <c r="HA85" s="56"/>
      <c r="HB85" s="56"/>
      <c r="HC85" s="56"/>
      <c r="HD85" s="57"/>
      <c r="HE85" s="57"/>
      <c r="HF85" s="57"/>
      <c r="HG85" s="57"/>
      <c r="HH85" s="57"/>
      <c r="HI85" s="58"/>
      <c r="HJ85" s="58"/>
      <c r="HK85" s="55"/>
      <c r="HL85" s="56"/>
      <c r="HM85" s="56"/>
      <c r="HN85" s="56"/>
      <c r="HO85" s="56"/>
      <c r="HP85" s="56"/>
      <c r="HQ85" s="56"/>
      <c r="HR85" s="56"/>
      <c r="HS85" s="56"/>
      <c r="HT85" s="56"/>
      <c r="HU85" s="38"/>
    </row>
    <row r="86" spans="1:229" x14ac:dyDescent="0.2">
      <c r="A86" s="36">
        <v>83</v>
      </c>
      <c r="B86" s="70" t="s">
        <v>139</v>
      </c>
      <c r="C86" s="77">
        <v>10860</v>
      </c>
      <c r="D86" s="77">
        <v>10912</v>
      </c>
      <c r="E86" s="77">
        <v>11211</v>
      </c>
      <c r="F86" s="77">
        <v>11201</v>
      </c>
      <c r="G86" s="150">
        <v>11187</v>
      </c>
      <c r="H86" s="41">
        <v>10709</v>
      </c>
      <c r="I86" s="41">
        <v>137</v>
      </c>
      <c r="J86" s="41">
        <v>119</v>
      </c>
      <c r="K86" s="41">
        <v>126</v>
      </c>
      <c r="L86" s="41">
        <v>2411</v>
      </c>
      <c r="M86" s="42">
        <v>4588</v>
      </c>
      <c r="N86" s="43">
        <v>4546</v>
      </c>
      <c r="O86" s="43">
        <v>4520</v>
      </c>
      <c r="P86" s="44">
        <v>4525</v>
      </c>
      <c r="Q86" s="44">
        <v>4524</v>
      </c>
      <c r="R86" s="87">
        <v>33.359025743795286</v>
      </c>
      <c r="S86" s="87">
        <v>32.34016139044072</v>
      </c>
      <c r="T86" s="87">
        <v>31.231628453850675</v>
      </c>
      <c r="U86" s="87">
        <v>31.068388611681833</v>
      </c>
      <c r="V86" s="87">
        <v>31.445052507025586</v>
      </c>
      <c r="W86" s="87">
        <v>34.052720826267922</v>
      </c>
      <c r="X86" s="87">
        <v>36.995654872749846</v>
      </c>
      <c r="Y86" s="87">
        <v>33.539094650205762</v>
      </c>
      <c r="Z86" s="87">
        <v>33.313765776342827</v>
      </c>
      <c r="AA86" s="42">
        <v>34.018636296405859</v>
      </c>
      <c r="AB86" s="87">
        <v>67.411746570063201</v>
      </c>
      <c r="AC86" s="87">
        <v>69.335816263190566</v>
      </c>
      <c r="AD86" s="87">
        <v>64.770723104056444</v>
      </c>
      <c r="AE86" s="87">
        <v>64.382154388024659</v>
      </c>
      <c r="AF86" s="87">
        <v>65.463688803431438</v>
      </c>
      <c r="AG86" s="44">
        <v>6.4663023679417124</v>
      </c>
      <c r="AH86" s="44">
        <v>9.1882247992863508</v>
      </c>
      <c r="AI86" s="44">
        <v>7.76768216639943</v>
      </c>
      <c r="AJ86" s="43">
        <v>6.9070685324721923</v>
      </c>
      <c r="AK86" s="43">
        <v>6.2054208273894433</v>
      </c>
      <c r="AL86" s="47">
        <v>174.91666666666666</v>
      </c>
      <c r="AM86" s="47">
        <v>225</v>
      </c>
      <c r="AN86" s="47">
        <v>174.91666666666666</v>
      </c>
      <c r="AO86" s="47">
        <v>383</v>
      </c>
      <c r="AP86" s="47">
        <v>431.08333333333331</v>
      </c>
      <c r="AQ86" s="47">
        <v>37365.869391804037</v>
      </c>
      <c r="AR86" s="47">
        <v>36908.607880405696</v>
      </c>
      <c r="AS86" s="47">
        <v>37299.737791179767</v>
      </c>
      <c r="AT86" s="47">
        <v>40518.17877878595</v>
      </c>
      <c r="AU86" s="47">
        <v>43035.755787968177</v>
      </c>
      <c r="AV86" s="84">
        <v>46631.599998183709</v>
      </c>
      <c r="AW86" s="85">
        <v>46782.207174385876</v>
      </c>
      <c r="AX86" s="85">
        <v>46011.75363150824</v>
      </c>
      <c r="AY86" s="85">
        <v>47528.316821045802</v>
      </c>
      <c r="AZ86" s="85">
        <v>47115</v>
      </c>
      <c r="BA86" s="83">
        <v>11.140285071267817</v>
      </c>
      <c r="BB86" s="83">
        <v>11.309301456854689</v>
      </c>
      <c r="BC86" s="83">
        <v>11.426761965077354</v>
      </c>
      <c r="BD86" s="83">
        <v>11.787623448400833</v>
      </c>
      <c r="BE86" s="83">
        <v>12.025029473111454</v>
      </c>
      <c r="BF86" s="83">
        <v>14.907063197026023</v>
      </c>
      <c r="BG86" s="46">
        <v>16.179615110477549</v>
      </c>
      <c r="BH86" s="46">
        <v>17.227651103872603</v>
      </c>
      <c r="BI86" s="46">
        <v>17.591240875912408</v>
      </c>
      <c r="BJ86" s="46">
        <v>17.385005432814197</v>
      </c>
      <c r="BK86" s="42">
        <v>1921</v>
      </c>
      <c r="BL86" s="42">
        <v>1839</v>
      </c>
      <c r="BM86" s="40">
        <v>1829</v>
      </c>
      <c r="BN86" s="40">
        <v>1796</v>
      </c>
      <c r="BO86" s="43">
        <v>51.639770952628837</v>
      </c>
      <c r="BP86" s="43">
        <v>53.779227841218052</v>
      </c>
      <c r="BQ86" s="44">
        <v>54.237288135593218</v>
      </c>
      <c r="BR86" s="44">
        <v>55.679287305122493</v>
      </c>
      <c r="BS86" s="87">
        <v>12.805830296720458</v>
      </c>
      <c r="BT86" s="87">
        <v>10.549211528004351</v>
      </c>
      <c r="BU86" s="87">
        <v>11.591033351558229</v>
      </c>
      <c r="BV86" s="87">
        <v>12.639198218262806</v>
      </c>
      <c r="BW86" s="43">
        <v>16.710046850598648</v>
      </c>
      <c r="BX86" s="43">
        <v>17.29200652528548</v>
      </c>
      <c r="BY86" s="43">
        <v>17.495899398578459</v>
      </c>
      <c r="BZ86" s="43">
        <v>17.65033407572383</v>
      </c>
      <c r="CA86" s="42">
        <v>81.707317073170728</v>
      </c>
      <c r="CB86" s="42">
        <v>80.606060606060609</v>
      </c>
      <c r="CC86" s="42">
        <v>86.84</v>
      </c>
      <c r="CD86" s="44">
        <v>84.57</v>
      </c>
      <c r="CE86" s="43">
        <v>6.0975609756097562</v>
      </c>
      <c r="CF86" s="43">
        <v>5.4545454545454541</v>
      </c>
      <c r="CG86" s="43">
        <v>5.26</v>
      </c>
      <c r="CH86" s="44">
        <v>6.79</v>
      </c>
      <c r="CI86" s="49">
        <v>849</v>
      </c>
      <c r="CJ86" s="49">
        <v>805</v>
      </c>
      <c r="CK86" s="51">
        <v>797</v>
      </c>
      <c r="CL86" s="51">
        <v>763</v>
      </c>
      <c r="CM86" s="88">
        <v>14.6</v>
      </c>
      <c r="CN86" s="88">
        <v>13.8</v>
      </c>
      <c r="CO86" s="88">
        <v>14.1</v>
      </c>
      <c r="CP86" s="88">
        <v>13.8</v>
      </c>
      <c r="CQ86" s="53">
        <v>24</v>
      </c>
      <c r="CR86" s="53">
        <v>34</v>
      </c>
      <c r="CS86" s="53">
        <v>40</v>
      </c>
      <c r="CT86" s="53">
        <v>24</v>
      </c>
      <c r="CU86" s="88">
        <v>2.9</v>
      </c>
      <c r="CV86" s="88">
        <v>4.3</v>
      </c>
      <c r="CW86" s="88">
        <v>5.2</v>
      </c>
      <c r="CX86" s="88">
        <v>3.2</v>
      </c>
      <c r="CY86" s="51">
        <v>60</v>
      </c>
      <c r="CZ86" s="53">
        <v>60</v>
      </c>
      <c r="DA86" s="53">
        <v>74</v>
      </c>
      <c r="DB86" s="53">
        <v>60</v>
      </c>
      <c r="DC86" s="88">
        <v>7.9</v>
      </c>
      <c r="DD86" s="88">
        <v>8.1</v>
      </c>
      <c r="DE86" s="88">
        <v>10.6</v>
      </c>
      <c r="DF86" s="88">
        <v>8.4</v>
      </c>
      <c r="DG86" s="88">
        <v>70.599999999999994</v>
      </c>
      <c r="DH86" s="88">
        <v>76.099999999999994</v>
      </c>
      <c r="DI86" s="88">
        <v>83.1</v>
      </c>
      <c r="DJ86" s="88">
        <v>84.5</v>
      </c>
      <c r="DK86" s="88">
        <v>12.1</v>
      </c>
      <c r="DL86" s="88">
        <v>10.6</v>
      </c>
      <c r="DM86" s="88">
        <v>11.4</v>
      </c>
      <c r="DN86" s="88">
        <v>10.62992125984252</v>
      </c>
      <c r="DO86" s="88">
        <v>31.5</v>
      </c>
      <c r="DP86" s="88">
        <v>33.6</v>
      </c>
      <c r="DQ86" s="88">
        <v>38.799999999999997</v>
      </c>
      <c r="DR86" s="88">
        <v>42.7</v>
      </c>
      <c r="DS86" s="88">
        <v>73.947667804323089</v>
      </c>
      <c r="DT86" s="88">
        <v>52.014995313964384</v>
      </c>
      <c r="DU86" s="88">
        <v>52.685421994884912</v>
      </c>
      <c r="DV86" s="88">
        <v>46.320123520329389</v>
      </c>
      <c r="DW86" s="54">
        <v>119</v>
      </c>
      <c r="DX86" s="54">
        <v>1</v>
      </c>
      <c r="DY86" s="51">
        <v>1</v>
      </c>
      <c r="DZ86" s="53">
        <v>5</v>
      </c>
      <c r="EA86" s="53">
        <v>56</v>
      </c>
      <c r="EB86" s="53">
        <v>6</v>
      </c>
      <c r="EC86" s="53">
        <v>3</v>
      </c>
      <c r="ED86" s="51">
        <v>9</v>
      </c>
      <c r="EE86" s="53">
        <v>7</v>
      </c>
      <c r="EF86" s="53">
        <v>629</v>
      </c>
      <c r="EG86" s="53">
        <v>639</v>
      </c>
      <c r="EH86" s="53">
        <v>593</v>
      </c>
      <c r="EI86" s="53">
        <v>610</v>
      </c>
      <c r="EJ86" s="92">
        <v>117</v>
      </c>
      <c r="EK86" s="92">
        <v>0</v>
      </c>
      <c r="EL86" s="92">
        <v>0</v>
      </c>
      <c r="EM86" s="92">
        <v>0</v>
      </c>
      <c r="EN86" s="92">
        <v>6</v>
      </c>
      <c r="EO86" s="88">
        <v>1080.8674433790425</v>
      </c>
      <c r="EP86" s="88">
        <v>1095.9608952919989</v>
      </c>
      <c r="EQ86" s="88">
        <v>1050.8408498874733</v>
      </c>
      <c r="ER86" s="88">
        <v>1106.7354698533406</v>
      </c>
      <c r="ES86" s="88">
        <v>745.4</v>
      </c>
      <c r="ET86" s="88">
        <v>724.2</v>
      </c>
      <c r="EU86" s="88">
        <v>655.6</v>
      </c>
      <c r="EV86" s="88">
        <v>670.8</v>
      </c>
      <c r="EW86" s="88">
        <v>933.18143466538254</v>
      </c>
      <c r="EX86" s="88">
        <v>826.30596537522467</v>
      </c>
      <c r="EY86" s="88">
        <v>789.80238781825926</v>
      </c>
      <c r="EZ86" s="88">
        <v>864.41916547514597</v>
      </c>
      <c r="FA86" s="88">
        <v>606.83513724844397</v>
      </c>
      <c r="FB86" s="88">
        <v>643.45927187795269</v>
      </c>
      <c r="FC86" s="88">
        <v>542.82907640129565</v>
      </c>
      <c r="FD86" s="88">
        <v>506.8391245449144</v>
      </c>
      <c r="FE86" s="51">
        <v>149</v>
      </c>
      <c r="FF86" s="54">
        <v>138</v>
      </c>
      <c r="FG86" s="54">
        <v>134</v>
      </c>
      <c r="FH86" s="54">
        <v>126</v>
      </c>
      <c r="FI86" s="88">
        <v>190.57599999999999</v>
      </c>
      <c r="FJ86" s="88">
        <v>165.59819999999999</v>
      </c>
      <c r="FK86" s="88">
        <v>163.65020000000001</v>
      </c>
      <c r="FL86" s="88">
        <v>143.0368</v>
      </c>
      <c r="FM86" s="54">
        <v>237</v>
      </c>
      <c r="FN86" s="54">
        <v>208</v>
      </c>
      <c r="FO86" s="51">
        <v>157</v>
      </c>
      <c r="FP86" s="54">
        <v>141</v>
      </c>
      <c r="FQ86" s="88">
        <v>266.83330000000001</v>
      </c>
      <c r="FR86" s="88">
        <v>226.51910000000001</v>
      </c>
      <c r="FS86" s="88">
        <v>168.86080000000001</v>
      </c>
      <c r="FT86" s="88">
        <v>149.10409999999999</v>
      </c>
      <c r="FU86" s="53">
        <v>70</v>
      </c>
      <c r="FV86" s="53">
        <v>50</v>
      </c>
      <c r="FW86" s="53">
        <v>35</v>
      </c>
      <c r="FX86" s="53">
        <v>48</v>
      </c>
      <c r="FY86" s="88">
        <v>74.66234</v>
      </c>
      <c r="FZ86" s="88">
        <v>51.560279999999999</v>
      </c>
      <c r="GA86" s="88">
        <v>32.088410000000003</v>
      </c>
      <c r="GB86" s="88">
        <v>48.94144</v>
      </c>
      <c r="GC86" s="55">
        <v>25</v>
      </c>
      <c r="GD86" s="56">
        <v>29</v>
      </c>
      <c r="GE86" s="55">
        <v>29</v>
      </c>
      <c r="GF86" s="55">
        <v>29</v>
      </c>
      <c r="GG86" s="91">
        <v>42.441699999999997</v>
      </c>
      <c r="GH86" s="91">
        <v>41.593989999999998</v>
      </c>
      <c r="GI86" s="91">
        <v>38.863720000000001</v>
      </c>
      <c r="GJ86" s="91">
        <v>43.679989999999997</v>
      </c>
      <c r="GK86" s="55"/>
      <c r="GL86" s="55"/>
      <c r="GM86" s="55"/>
      <c r="GN86" s="56"/>
      <c r="GO86" s="55"/>
      <c r="GP86" s="55"/>
      <c r="GQ86" s="55"/>
      <c r="GR86" s="55"/>
      <c r="GS86" s="56"/>
      <c r="GT86" s="55"/>
      <c r="GU86" s="55"/>
      <c r="GV86" s="55"/>
      <c r="GW86" s="55"/>
      <c r="GX86" s="56"/>
      <c r="GY86" s="56"/>
      <c r="GZ86" s="56"/>
      <c r="HA86" s="56"/>
      <c r="HB86" s="56"/>
      <c r="HC86" s="56"/>
      <c r="HD86" s="57"/>
      <c r="HE86" s="57"/>
      <c r="HF86" s="57"/>
      <c r="HG86" s="57"/>
      <c r="HH86" s="57"/>
      <c r="HI86" s="58"/>
      <c r="HJ86" s="58"/>
      <c r="HK86" s="55"/>
      <c r="HL86" s="56"/>
      <c r="HM86" s="56"/>
      <c r="HN86" s="56"/>
      <c r="HO86" s="56"/>
      <c r="HP86" s="56"/>
      <c r="HQ86" s="56"/>
      <c r="HR86" s="56"/>
      <c r="HS86" s="56"/>
      <c r="HT86" s="56"/>
      <c r="HU86" s="38"/>
    </row>
    <row r="87" spans="1:229" x14ac:dyDescent="0.2">
      <c r="A87" s="36">
        <v>84</v>
      </c>
      <c r="B87" s="70" t="s">
        <v>140</v>
      </c>
      <c r="C87" s="77">
        <v>6286</v>
      </c>
      <c r="D87" s="77">
        <v>6264</v>
      </c>
      <c r="E87" s="77">
        <v>6576</v>
      </c>
      <c r="F87" s="77">
        <v>6592</v>
      </c>
      <c r="G87" s="150">
        <v>6585</v>
      </c>
      <c r="H87" s="41">
        <v>6389</v>
      </c>
      <c r="I87" s="41">
        <v>20</v>
      </c>
      <c r="J87" s="41">
        <v>81</v>
      </c>
      <c r="K87" s="41">
        <v>27</v>
      </c>
      <c r="L87" s="41">
        <v>166</v>
      </c>
      <c r="M87" s="42">
        <v>2696</v>
      </c>
      <c r="N87" s="43">
        <v>2673</v>
      </c>
      <c r="O87" s="43">
        <v>2690</v>
      </c>
      <c r="P87" s="44">
        <v>2708</v>
      </c>
      <c r="Q87" s="44">
        <v>2711</v>
      </c>
      <c r="R87" s="87">
        <v>24.896366739819555</v>
      </c>
      <c r="S87" s="87">
        <v>28.246013667425967</v>
      </c>
      <c r="T87" s="87">
        <v>28.257191201353638</v>
      </c>
      <c r="U87" s="87">
        <v>28.867469879518072</v>
      </c>
      <c r="V87" s="87">
        <v>28.919182083739045</v>
      </c>
      <c r="W87" s="87">
        <v>28.383321141185078</v>
      </c>
      <c r="X87" s="87">
        <v>30.296127562642369</v>
      </c>
      <c r="Y87" s="87">
        <v>30.698573845781969</v>
      </c>
      <c r="Z87" s="87">
        <v>29.975903614457831</v>
      </c>
      <c r="AA87" s="42">
        <v>31.377799415774099</v>
      </c>
      <c r="AB87" s="87">
        <v>53.279687881004634</v>
      </c>
      <c r="AC87" s="87">
        <v>58.542141230068339</v>
      </c>
      <c r="AD87" s="87">
        <v>58.955765047135607</v>
      </c>
      <c r="AE87" s="87">
        <v>58.843373493975903</v>
      </c>
      <c r="AF87" s="87">
        <v>60.296981499513144</v>
      </c>
      <c r="AG87" s="44">
        <v>4.3378995433789953</v>
      </c>
      <c r="AH87" s="44">
        <v>5.6024774774774775</v>
      </c>
      <c r="AI87" s="44">
        <v>4.8793859649122808</v>
      </c>
      <c r="AJ87" s="43">
        <v>4.2682926829268295</v>
      </c>
      <c r="AK87" s="43">
        <v>4.1052631578947372</v>
      </c>
      <c r="AL87" s="47">
        <v>150</v>
      </c>
      <c r="AM87" s="47">
        <v>184.58333333333334</v>
      </c>
      <c r="AN87" s="47">
        <v>150</v>
      </c>
      <c r="AO87" s="47">
        <v>314.58333333333331</v>
      </c>
      <c r="AP87" s="47">
        <v>350.75</v>
      </c>
      <c r="AQ87" s="47">
        <v>44425.826380867598</v>
      </c>
      <c r="AR87" s="47">
        <v>38111.288613606586</v>
      </c>
      <c r="AS87" s="47">
        <v>43906.252345426277</v>
      </c>
      <c r="AT87" s="47">
        <v>44430.011780718101</v>
      </c>
      <c r="AU87" s="47">
        <v>52342.900531511012</v>
      </c>
      <c r="AV87" s="84">
        <v>55177.545306456115</v>
      </c>
      <c r="AW87" s="85">
        <v>53238.652612530866</v>
      </c>
      <c r="AX87" s="85">
        <v>51183.719439374974</v>
      </c>
      <c r="AY87" s="85">
        <v>51038.461383433358</v>
      </c>
      <c r="AZ87" s="85">
        <v>51940</v>
      </c>
      <c r="BA87" s="83">
        <v>7.7236434740101023</v>
      </c>
      <c r="BB87" s="83">
        <v>9.1147111765668463</v>
      </c>
      <c r="BC87" s="83">
        <v>9.4925839188134269</v>
      </c>
      <c r="BD87" s="83">
        <v>9.6342412451361863</v>
      </c>
      <c r="BE87" s="83">
        <v>9.5794392523364493</v>
      </c>
      <c r="BF87" s="83">
        <v>10.623229461756374</v>
      </c>
      <c r="BG87" s="46">
        <v>12.200137080191912</v>
      </c>
      <c r="BH87" s="46">
        <v>13.600525624178712</v>
      </c>
      <c r="BI87" s="46">
        <v>12.850619699934768</v>
      </c>
      <c r="BJ87" s="46">
        <v>12.934362934362934</v>
      </c>
      <c r="BK87" s="42">
        <v>1121</v>
      </c>
      <c r="BL87" s="42">
        <v>1119</v>
      </c>
      <c r="BM87" s="40">
        <v>1120</v>
      </c>
      <c r="BN87" s="40">
        <v>1083</v>
      </c>
      <c r="BO87" s="43">
        <v>40.231935771632472</v>
      </c>
      <c r="BP87" s="43">
        <v>40.125111706881142</v>
      </c>
      <c r="BQ87" s="44">
        <v>41.517857142857146</v>
      </c>
      <c r="BR87" s="44">
        <v>41.458910433979689</v>
      </c>
      <c r="BS87" s="87">
        <v>3.0330062444246209</v>
      </c>
      <c r="BT87" s="87">
        <v>1.8766756032171581</v>
      </c>
      <c r="BU87" s="87">
        <v>3.2142857142857144</v>
      </c>
      <c r="BV87" s="87">
        <v>1.7543859649122806</v>
      </c>
      <c r="BW87" s="43">
        <v>18.554861730597679</v>
      </c>
      <c r="BX87" s="43">
        <v>19.749776586237711</v>
      </c>
      <c r="BY87" s="43">
        <v>20.625</v>
      </c>
      <c r="BZ87" s="43">
        <v>19.113573407202217</v>
      </c>
      <c r="CA87" s="42">
        <v>78.301886792452834</v>
      </c>
      <c r="CB87" s="42">
        <v>83.63636363636364</v>
      </c>
      <c r="CC87" s="42">
        <v>88.14</v>
      </c>
      <c r="CD87" s="44">
        <v>71.84</v>
      </c>
      <c r="CE87" s="43">
        <v>7.5471698113207548</v>
      </c>
      <c r="CF87" s="43">
        <v>8.1818181818181817</v>
      </c>
      <c r="CG87" s="43">
        <v>1.69</v>
      </c>
      <c r="CH87" s="44">
        <v>5.83</v>
      </c>
      <c r="CI87" s="49">
        <v>471</v>
      </c>
      <c r="CJ87" s="49">
        <v>397</v>
      </c>
      <c r="CK87" s="51">
        <v>394</v>
      </c>
      <c r="CL87" s="51">
        <v>348</v>
      </c>
      <c r="CM87" s="88">
        <v>12.7</v>
      </c>
      <c r="CN87" s="88">
        <v>11.1</v>
      </c>
      <c r="CO87" s="88">
        <v>11.7</v>
      </c>
      <c r="CP87" s="88">
        <v>10.8</v>
      </c>
      <c r="CQ87" s="53">
        <v>24</v>
      </c>
      <c r="CR87" s="53">
        <v>17</v>
      </c>
      <c r="CS87" s="53">
        <v>20</v>
      </c>
      <c r="CT87" s="53">
        <v>15</v>
      </c>
      <c r="CU87" s="88">
        <v>5.3</v>
      </c>
      <c r="CV87" s="88">
        <v>4.5999999999999996</v>
      </c>
      <c r="CW87" s="88">
        <v>5.3</v>
      </c>
      <c r="CX87" s="88">
        <v>4.4000000000000004</v>
      </c>
      <c r="CY87" s="51">
        <v>32</v>
      </c>
      <c r="CZ87" s="53">
        <v>29</v>
      </c>
      <c r="DA87" s="53">
        <v>32</v>
      </c>
      <c r="DB87" s="53">
        <v>22</v>
      </c>
      <c r="DC87" s="88">
        <v>7.4</v>
      </c>
      <c r="DD87" s="88">
        <v>7.9</v>
      </c>
      <c r="DE87" s="88">
        <v>9.1</v>
      </c>
      <c r="DF87" s="88">
        <v>7.3</v>
      </c>
      <c r="DG87" s="88">
        <v>81.900000000000006</v>
      </c>
      <c r="DH87" s="88">
        <v>88.8</v>
      </c>
      <c r="DI87" s="88">
        <v>88.1</v>
      </c>
      <c r="DJ87" s="88">
        <v>91.3</v>
      </c>
      <c r="DK87" s="88">
        <v>18.899999999999999</v>
      </c>
      <c r="DL87" s="88">
        <v>15.2</v>
      </c>
      <c r="DM87" s="88">
        <v>14.5</v>
      </c>
      <c r="DN87" s="88">
        <v>14.697406340057636</v>
      </c>
      <c r="DO87" s="88">
        <v>21.2</v>
      </c>
      <c r="DP87" s="88">
        <v>22.7</v>
      </c>
      <c r="DQ87" s="88">
        <v>24.1</v>
      </c>
      <c r="DR87" s="88">
        <v>32.5</v>
      </c>
      <c r="DS87" s="88">
        <v>32.456140350877192</v>
      </c>
      <c r="DT87" s="88">
        <v>23.238925199709513</v>
      </c>
      <c r="DU87" s="88">
        <v>16.788321167883211</v>
      </c>
      <c r="DV87" s="88" t="s">
        <v>39</v>
      </c>
      <c r="DW87" s="54">
        <v>66</v>
      </c>
      <c r="DX87" s="54">
        <v>0</v>
      </c>
      <c r="DY87" s="51">
        <v>4</v>
      </c>
      <c r="DZ87" s="53">
        <v>0</v>
      </c>
      <c r="EA87" s="53">
        <v>2</v>
      </c>
      <c r="EB87" s="53">
        <v>2</v>
      </c>
      <c r="EC87" s="53">
        <v>5</v>
      </c>
      <c r="ED87" s="51">
        <v>4</v>
      </c>
      <c r="EE87" s="53">
        <v>0</v>
      </c>
      <c r="EF87" s="53">
        <v>416</v>
      </c>
      <c r="EG87" s="53">
        <v>377</v>
      </c>
      <c r="EH87" s="53">
        <v>348</v>
      </c>
      <c r="EI87" s="53">
        <v>424</v>
      </c>
      <c r="EJ87" s="92">
        <v>87</v>
      </c>
      <c r="EK87" s="92">
        <v>0</v>
      </c>
      <c r="EL87" s="92">
        <v>0</v>
      </c>
      <c r="EM87" s="92">
        <v>0</v>
      </c>
      <c r="EN87" s="92">
        <v>0</v>
      </c>
      <c r="EO87" s="88">
        <v>1124.7194960391489</v>
      </c>
      <c r="EP87" s="88">
        <v>1056.0519902518279</v>
      </c>
      <c r="EQ87" s="88">
        <v>1036.238573087574</v>
      </c>
      <c r="ER87" s="88">
        <v>1310.3662804261608</v>
      </c>
      <c r="ES87" s="88">
        <v>823.5</v>
      </c>
      <c r="ET87" s="88">
        <v>782.3</v>
      </c>
      <c r="EU87" s="88">
        <v>726</v>
      </c>
      <c r="EV87" s="88">
        <v>849.5</v>
      </c>
      <c r="EW87" s="88">
        <v>972.50045131418392</v>
      </c>
      <c r="EX87" s="88">
        <v>947.03513605412627</v>
      </c>
      <c r="EY87" s="88">
        <v>820.60117651395899</v>
      </c>
      <c r="EZ87" s="88">
        <v>874.24242271293087</v>
      </c>
      <c r="FA87" s="88">
        <v>698.15474627196693</v>
      </c>
      <c r="FB87" s="88">
        <v>645.40363819214599</v>
      </c>
      <c r="FC87" s="88">
        <v>621.44923308856482</v>
      </c>
      <c r="FD87" s="88">
        <v>812.0192093638982</v>
      </c>
      <c r="FE87" s="51">
        <v>84</v>
      </c>
      <c r="FF87" s="54">
        <v>96</v>
      </c>
      <c r="FG87" s="54">
        <v>73</v>
      </c>
      <c r="FH87" s="54">
        <v>68</v>
      </c>
      <c r="FI87" s="88">
        <v>173.82300000000001</v>
      </c>
      <c r="FJ87" s="88">
        <v>214.0857</v>
      </c>
      <c r="FK87" s="88">
        <v>163.1712</v>
      </c>
      <c r="FL87" s="88">
        <v>147.3663</v>
      </c>
      <c r="FM87" s="54">
        <v>162</v>
      </c>
      <c r="FN87" s="54">
        <v>98</v>
      </c>
      <c r="FO87" s="51">
        <v>98</v>
      </c>
      <c r="FP87" s="54">
        <v>146</v>
      </c>
      <c r="FQ87" s="88">
        <v>304.56270000000001</v>
      </c>
      <c r="FR87" s="88">
        <v>195.0274</v>
      </c>
      <c r="FS87" s="88">
        <v>189.8579</v>
      </c>
      <c r="FT87" s="88">
        <v>284.6542</v>
      </c>
      <c r="FU87" s="53">
        <v>26</v>
      </c>
      <c r="FV87" s="53">
        <v>37</v>
      </c>
      <c r="FW87" s="53">
        <v>31</v>
      </c>
      <c r="FX87" s="53">
        <v>34</v>
      </c>
      <c r="FY87" s="88">
        <v>46.624180000000003</v>
      </c>
      <c r="FZ87" s="88">
        <v>66.555440000000004</v>
      </c>
      <c r="GA87" s="88">
        <v>54.070659999999997</v>
      </c>
      <c r="GB87" s="88">
        <v>59.368209999999998</v>
      </c>
      <c r="GC87" s="55">
        <v>14</v>
      </c>
      <c r="GD87" s="56">
        <v>17</v>
      </c>
      <c r="GE87" s="55">
        <v>13</v>
      </c>
      <c r="GF87" s="55">
        <v>19</v>
      </c>
      <c r="GG87" s="91">
        <v>32.255769999999998</v>
      </c>
      <c r="GH87" s="91">
        <v>37.810929999999999</v>
      </c>
      <c r="GI87" s="91">
        <v>37.814920000000001</v>
      </c>
      <c r="GJ87" s="91">
        <v>48.989409999999999</v>
      </c>
      <c r="GK87" s="55"/>
      <c r="GL87" s="55"/>
      <c r="GM87" s="55"/>
      <c r="GN87" s="56"/>
      <c r="GO87" s="55"/>
      <c r="GP87" s="55"/>
      <c r="GQ87" s="55"/>
      <c r="GR87" s="55"/>
      <c r="GS87" s="56"/>
      <c r="GT87" s="55"/>
      <c r="GU87" s="55"/>
      <c r="GV87" s="55"/>
      <c r="GW87" s="55"/>
      <c r="GX87" s="56"/>
      <c r="GY87" s="56"/>
      <c r="GZ87" s="56"/>
      <c r="HA87" s="56"/>
      <c r="HB87" s="56"/>
      <c r="HC87" s="56"/>
      <c r="HD87" s="57"/>
      <c r="HE87" s="57"/>
      <c r="HF87" s="57"/>
      <c r="HG87" s="57"/>
      <c r="HH87" s="57"/>
      <c r="HI87" s="58"/>
      <c r="HJ87" s="58"/>
      <c r="HK87" s="55"/>
      <c r="HL87" s="56"/>
      <c r="HM87" s="56"/>
      <c r="HN87" s="56"/>
      <c r="HO87" s="56"/>
      <c r="HP87" s="56"/>
      <c r="HQ87" s="56"/>
      <c r="HR87" s="56"/>
      <c r="HS87" s="56"/>
      <c r="HT87" s="56"/>
      <c r="HU87" s="38"/>
    </row>
    <row r="88" spans="1:229" x14ac:dyDescent="0.2">
      <c r="A88" s="36">
        <v>85</v>
      </c>
      <c r="B88" s="70" t="s">
        <v>141</v>
      </c>
      <c r="C88" s="77">
        <v>49879</v>
      </c>
      <c r="D88" s="77">
        <v>49436</v>
      </c>
      <c r="E88" s="77">
        <v>51461</v>
      </c>
      <c r="F88" s="77">
        <v>51378</v>
      </c>
      <c r="G88" s="150">
        <v>51629</v>
      </c>
      <c r="H88" s="41">
        <v>48952</v>
      </c>
      <c r="I88" s="41">
        <v>655</v>
      </c>
      <c r="J88" s="41">
        <v>173</v>
      </c>
      <c r="K88" s="41">
        <v>1291</v>
      </c>
      <c r="L88" s="41">
        <v>1366</v>
      </c>
      <c r="M88" s="42">
        <v>19541</v>
      </c>
      <c r="N88" s="43">
        <v>19731</v>
      </c>
      <c r="O88" s="43">
        <v>19554</v>
      </c>
      <c r="P88" s="44">
        <v>19609</v>
      </c>
      <c r="Q88" s="44">
        <v>19721</v>
      </c>
      <c r="R88" s="87">
        <v>20.002280761774433</v>
      </c>
      <c r="S88" s="87">
        <v>19.294077233561389</v>
      </c>
      <c r="T88" s="87">
        <v>18.92871858261228</v>
      </c>
      <c r="U88" s="87">
        <v>19.281699794379712</v>
      </c>
      <c r="V88" s="87">
        <v>19.914569699624874</v>
      </c>
      <c r="W88" s="87">
        <v>22.20036492188391</v>
      </c>
      <c r="X88" s="87">
        <v>22.222540291414994</v>
      </c>
      <c r="Y88" s="87">
        <v>22.428237879412169</v>
      </c>
      <c r="Z88" s="87">
        <v>21.57642220699109</v>
      </c>
      <c r="AA88" s="42">
        <v>21.453410366638373</v>
      </c>
      <c r="AB88" s="87">
        <v>42.202645683658339</v>
      </c>
      <c r="AC88" s="87">
        <v>41.516617524976382</v>
      </c>
      <c r="AD88" s="87">
        <v>41.356956462024449</v>
      </c>
      <c r="AE88" s="87">
        <v>40.858122001370802</v>
      </c>
      <c r="AF88" s="87">
        <v>41.367980066263243</v>
      </c>
      <c r="AG88" s="44">
        <v>4.7310791267819017</v>
      </c>
      <c r="AH88" s="44">
        <v>7.9607829599199089</v>
      </c>
      <c r="AI88" s="44">
        <v>6.8558165315596202</v>
      </c>
      <c r="AJ88" s="43">
        <v>5.9752129059059751</v>
      </c>
      <c r="AK88" s="43">
        <v>5.0330452465683786</v>
      </c>
      <c r="AL88" s="47">
        <v>946.16666666666663</v>
      </c>
      <c r="AM88" s="47">
        <v>1214.8333333333333</v>
      </c>
      <c r="AN88" s="47">
        <v>946.16666666666663</v>
      </c>
      <c r="AO88" s="47">
        <v>1731.5833333333333</v>
      </c>
      <c r="AP88" s="47">
        <v>1821.75</v>
      </c>
      <c r="AQ88" s="47">
        <v>36178.151142282622</v>
      </c>
      <c r="AR88" s="47">
        <v>34842.449242195064</v>
      </c>
      <c r="AS88" s="47">
        <v>35233.575120492213</v>
      </c>
      <c r="AT88" s="47">
        <v>37135.818677271687</v>
      </c>
      <c r="AU88" s="47">
        <v>37981.560750740864</v>
      </c>
      <c r="AV88" s="84">
        <v>48152.253605570339</v>
      </c>
      <c r="AW88" s="85">
        <v>45751.61593338909</v>
      </c>
      <c r="AX88" s="85">
        <v>44341.81516015713</v>
      </c>
      <c r="AY88" s="85">
        <v>46980.207594525848</v>
      </c>
      <c r="AZ88" s="85">
        <v>49753</v>
      </c>
      <c r="BA88" s="83">
        <v>13.660291279171785</v>
      </c>
      <c r="BB88" s="83">
        <v>16.379023860690786</v>
      </c>
      <c r="BC88" s="83">
        <v>15.371245681341275</v>
      </c>
      <c r="BD88" s="83">
        <v>14.624262740272416</v>
      </c>
      <c r="BE88" s="83">
        <v>13.838886761138772</v>
      </c>
      <c r="BF88" s="83">
        <v>11.724795929184777</v>
      </c>
      <c r="BG88" s="46">
        <v>12.966138019717102</v>
      </c>
      <c r="BH88" s="46">
        <v>15.141277641277641</v>
      </c>
      <c r="BI88" s="46">
        <v>14.615627965833596</v>
      </c>
      <c r="BJ88" s="46">
        <v>14.311594202898551</v>
      </c>
      <c r="BK88" s="42">
        <v>5716</v>
      </c>
      <c r="BL88" s="42">
        <v>5632</v>
      </c>
      <c r="BM88" s="40">
        <v>5563</v>
      </c>
      <c r="BN88" s="40">
        <v>5482</v>
      </c>
      <c r="BO88" s="43">
        <v>34.797060881735476</v>
      </c>
      <c r="BP88" s="43">
        <v>35.3515625</v>
      </c>
      <c r="BQ88" s="44">
        <v>36.059680028761463</v>
      </c>
      <c r="BR88" s="44">
        <v>36.48303538854433</v>
      </c>
      <c r="BS88" s="87">
        <v>2.4667599720083975</v>
      </c>
      <c r="BT88" s="87">
        <v>2.5213068181818183</v>
      </c>
      <c r="BU88" s="87">
        <v>2.948049613517886</v>
      </c>
      <c r="BV88" s="87">
        <v>3.1375410434148123</v>
      </c>
      <c r="BW88" s="43">
        <v>16.217634709587124</v>
      </c>
      <c r="BX88" s="43">
        <v>16.637073863636363</v>
      </c>
      <c r="BY88" s="43">
        <v>17.166996225058423</v>
      </c>
      <c r="BZ88" s="43">
        <v>17.147026632615834</v>
      </c>
      <c r="CA88" s="42">
        <v>83.02658486707567</v>
      </c>
      <c r="CB88" s="42">
        <v>81.818181818181813</v>
      </c>
      <c r="CC88" s="42">
        <v>83.04</v>
      </c>
      <c r="CD88" s="44">
        <v>81.59</v>
      </c>
      <c r="CE88" s="43">
        <v>4.4989775051124745</v>
      </c>
      <c r="CF88" s="43">
        <v>4.338842975206612</v>
      </c>
      <c r="CG88" s="43">
        <v>4.3499999999999996</v>
      </c>
      <c r="CH88" s="44">
        <v>4.3899999999999997</v>
      </c>
      <c r="CI88" s="49">
        <v>2812</v>
      </c>
      <c r="CJ88" s="49">
        <v>2690</v>
      </c>
      <c r="CK88" s="54">
        <v>2701</v>
      </c>
      <c r="CL88" s="54">
        <v>2408</v>
      </c>
      <c r="CM88" s="88">
        <v>11.6</v>
      </c>
      <c r="CN88" s="88">
        <v>11</v>
      </c>
      <c r="CO88" s="88">
        <v>10.9</v>
      </c>
      <c r="CP88" s="88">
        <v>9.5</v>
      </c>
      <c r="CQ88" s="53">
        <v>103</v>
      </c>
      <c r="CR88" s="53">
        <v>97</v>
      </c>
      <c r="CS88" s="53">
        <v>110</v>
      </c>
      <c r="CT88" s="53">
        <v>90</v>
      </c>
      <c r="CU88" s="88">
        <v>3.8</v>
      </c>
      <c r="CV88" s="88">
        <v>3.7</v>
      </c>
      <c r="CW88" s="88">
        <v>4.2</v>
      </c>
      <c r="CX88" s="88">
        <v>3.9</v>
      </c>
      <c r="CY88" s="51">
        <v>178</v>
      </c>
      <c r="CZ88" s="53">
        <v>173</v>
      </c>
      <c r="DA88" s="53">
        <v>158</v>
      </c>
      <c r="DB88" s="53">
        <v>133</v>
      </c>
      <c r="DC88" s="88">
        <v>7.3</v>
      </c>
      <c r="DD88" s="88">
        <v>7.4</v>
      </c>
      <c r="DE88" s="88">
        <v>7.3</v>
      </c>
      <c r="DF88" s="88">
        <v>6.3</v>
      </c>
      <c r="DG88" s="88">
        <v>86.8</v>
      </c>
      <c r="DH88" s="88">
        <v>89.1</v>
      </c>
      <c r="DI88" s="88">
        <v>87.4</v>
      </c>
      <c r="DJ88" s="88">
        <v>86.8</v>
      </c>
      <c r="DK88" s="88">
        <v>12.6</v>
      </c>
      <c r="DL88" s="88">
        <v>11</v>
      </c>
      <c r="DM88" s="88">
        <v>9.6</v>
      </c>
      <c r="DN88" s="88">
        <v>12.593828190158465</v>
      </c>
      <c r="DO88" s="88">
        <v>21.3</v>
      </c>
      <c r="DP88" s="88">
        <v>25.1</v>
      </c>
      <c r="DQ88" s="88">
        <v>27.5</v>
      </c>
      <c r="DR88" s="88">
        <v>32.4</v>
      </c>
      <c r="DS88" s="88">
        <v>18.294526761415181</v>
      </c>
      <c r="DT88" s="88">
        <v>15.560838556299979</v>
      </c>
      <c r="DU88" s="88">
        <v>13.421828908554572</v>
      </c>
      <c r="DV88" s="88">
        <v>8.1289611463213003</v>
      </c>
      <c r="DW88" s="54">
        <v>444</v>
      </c>
      <c r="DX88" s="54">
        <v>9</v>
      </c>
      <c r="DY88" s="51">
        <v>1</v>
      </c>
      <c r="DZ88" s="53">
        <v>13</v>
      </c>
      <c r="EA88" s="53">
        <v>18</v>
      </c>
      <c r="EB88" s="53">
        <v>14</v>
      </c>
      <c r="EC88" s="53">
        <v>17</v>
      </c>
      <c r="ED88" s="51">
        <v>18</v>
      </c>
      <c r="EE88" s="53">
        <v>13</v>
      </c>
      <c r="EF88" s="53">
        <v>2151</v>
      </c>
      <c r="EG88" s="53">
        <v>2119</v>
      </c>
      <c r="EH88" s="53">
        <v>1949</v>
      </c>
      <c r="EI88" s="53">
        <v>1992</v>
      </c>
      <c r="EJ88" s="92">
        <v>380</v>
      </c>
      <c r="EK88" s="92">
        <v>2</v>
      </c>
      <c r="EL88" s="92">
        <v>0</v>
      </c>
      <c r="EM88" s="92">
        <v>4</v>
      </c>
      <c r="EN88" s="92">
        <v>2</v>
      </c>
      <c r="EO88" s="88">
        <v>889.89835052314106</v>
      </c>
      <c r="EP88" s="88">
        <v>864.90501963281338</v>
      </c>
      <c r="EQ88" s="88">
        <v>789.40760002268178</v>
      </c>
      <c r="ER88" s="88">
        <v>793.4544950879033</v>
      </c>
      <c r="ES88" s="88">
        <v>791.6</v>
      </c>
      <c r="ET88" s="88">
        <v>773.9</v>
      </c>
      <c r="EU88" s="88">
        <v>666.7</v>
      </c>
      <c r="EV88" s="88">
        <v>659.2</v>
      </c>
      <c r="EW88" s="88">
        <v>972.32526867629736</v>
      </c>
      <c r="EX88" s="88">
        <v>975.81933796789394</v>
      </c>
      <c r="EY88" s="88">
        <v>802.64723863563279</v>
      </c>
      <c r="EZ88" s="88">
        <v>786.88722643892231</v>
      </c>
      <c r="FA88" s="88">
        <v>650.88588048745578</v>
      </c>
      <c r="FB88" s="88">
        <v>627.9430364995419</v>
      </c>
      <c r="FC88" s="88">
        <v>563.82455783629769</v>
      </c>
      <c r="FD88" s="88">
        <v>567.27156742584827</v>
      </c>
      <c r="FE88" s="51">
        <v>499</v>
      </c>
      <c r="FF88" s="54">
        <v>502</v>
      </c>
      <c r="FG88" s="54">
        <v>476</v>
      </c>
      <c r="FH88" s="54">
        <v>487</v>
      </c>
      <c r="FI88" s="88">
        <v>192.8167</v>
      </c>
      <c r="FJ88" s="88">
        <v>197.33260000000001</v>
      </c>
      <c r="FK88" s="88">
        <v>178.7439</v>
      </c>
      <c r="FL88" s="88">
        <v>168.0607</v>
      </c>
      <c r="FM88" s="54">
        <v>686</v>
      </c>
      <c r="FN88" s="54">
        <v>633</v>
      </c>
      <c r="FO88" s="51">
        <v>512</v>
      </c>
      <c r="FP88" s="54">
        <v>457</v>
      </c>
      <c r="FQ88" s="88">
        <v>247.636</v>
      </c>
      <c r="FR88" s="88">
        <v>225.59039999999999</v>
      </c>
      <c r="FS88" s="88">
        <v>167.8355</v>
      </c>
      <c r="FT88" s="88">
        <v>146.0187</v>
      </c>
      <c r="FU88" s="53">
        <v>180</v>
      </c>
      <c r="FV88" s="53">
        <v>147</v>
      </c>
      <c r="FW88" s="53">
        <v>112</v>
      </c>
      <c r="FX88" s="53">
        <v>107</v>
      </c>
      <c r="FY88" s="88">
        <v>62.824539999999999</v>
      </c>
      <c r="FZ88" s="88">
        <v>51.295659999999998</v>
      </c>
      <c r="GA88" s="88">
        <v>35.654000000000003</v>
      </c>
      <c r="GB88" s="88">
        <v>33.073459999999997</v>
      </c>
      <c r="GC88" s="55">
        <v>88</v>
      </c>
      <c r="GD88" s="56">
        <v>87</v>
      </c>
      <c r="GE88" s="55">
        <v>99</v>
      </c>
      <c r="GF88" s="55">
        <v>111</v>
      </c>
      <c r="GG88" s="91">
        <v>33.773139999999998</v>
      </c>
      <c r="GH88" s="91">
        <v>33.285719999999998</v>
      </c>
      <c r="GI88" s="91">
        <v>38.2682</v>
      </c>
      <c r="GJ88" s="91">
        <v>39.756639999999997</v>
      </c>
      <c r="GK88" s="55"/>
      <c r="GL88" s="55"/>
      <c r="GM88" s="55"/>
      <c r="GN88" s="56"/>
      <c r="GO88" s="55"/>
      <c r="GP88" s="55"/>
      <c r="GQ88" s="55"/>
      <c r="GR88" s="55"/>
      <c r="GS88" s="56"/>
      <c r="GT88" s="55"/>
      <c r="GU88" s="55"/>
      <c r="GV88" s="55"/>
      <c r="GW88" s="55"/>
      <c r="GX88" s="56"/>
      <c r="GY88" s="56"/>
      <c r="GZ88" s="56"/>
      <c r="HA88" s="56"/>
      <c r="HB88" s="56"/>
      <c r="HC88" s="56"/>
      <c r="HD88" s="57"/>
      <c r="HE88" s="57"/>
      <c r="HF88" s="57"/>
      <c r="HG88" s="57"/>
      <c r="HH88" s="57"/>
      <c r="HI88" s="58"/>
      <c r="HJ88" s="58"/>
      <c r="HK88" s="55"/>
      <c r="HL88" s="56"/>
      <c r="HM88" s="56"/>
      <c r="HN88" s="56"/>
      <c r="HO88" s="56"/>
      <c r="HP88" s="56"/>
      <c r="HQ88" s="56"/>
      <c r="HR88" s="56"/>
      <c r="HS88" s="56"/>
      <c r="HT88" s="56"/>
      <c r="HU88" s="38"/>
    </row>
    <row r="89" spans="1:229" x14ac:dyDescent="0.2">
      <c r="A89" s="36">
        <v>86</v>
      </c>
      <c r="B89" s="70" t="s">
        <v>142</v>
      </c>
      <c r="C89" s="77">
        <v>119701</v>
      </c>
      <c r="D89" s="77">
        <v>121907</v>
      </c>
      <c r="E89" s="77">
        <v>124700</v>
      </c>
      <c r="F89" s="77">
        <v>126437</v>
      </c>
      <c r="G89" s="150">
        <v>127336</v>
      </c>
      <c r="H89" s="41">
        <v>121826</v>
      </c>
      <c r="I89" s="41">
        <v>1421</v>
      </c>
      <c r="J89" s="41">
        <v>508</v>
      </c>
      <c r="K89" s="41">
        <v>1610</v>
      </c>
      <c r="L89" s="41">
        <v>3428</v>
      </c>
      <c r="M89" s="42">
        <v>43878</v>
      </c>
      <c r="N89" s="43">
        <v>44627</v>
      </c>
      <c r="O89" s="43">
        <v>44473</v>
      </c>
      <c r="P89" s="44">
        <v>44955</v>
      </c>
      <c r="Q89" s="44">
        <v>45263</v>
      </c>
      <c r="R89" s="87">
        <v>12.93262058677275</v>
      </c>
      <c r="S89" s="87">
        <v>13.880688117393525</v>
      </c>
      <c r="T89" s="87">
        <v>14.697587349286303</v>
      </c>
      <c r="U89" s="87">
        <v>15.360085685422524</v>
      </c>
      <c r="V89" s="87">
        <v>16.032398452611218</v>
      </c>
      <c r="W89" s="87">
        <v>35.875186474390851</v>
      </c>
      <c r="X89" s="87">
        <v>37.977253758859945</v>
      </c>
      <c r="Y89" s="87">
        <v>38.87951525302659</v>
      </c>
      <c r="Z89" s="87">
        <v>38.529229196334029</v>
      </c>
      <c r="AA89" s="42">
        <v>37.90377176015474</v>
      </c>
      <c r="AB89" s="87">
        <v>48.807807061163601</v>
      </c>
      <c r="AC89" s="87">
        <v>51.85794187625347</v>
      </c>
      <c r="AD89" s="87">
        <v>53.577102602312891</v>
      </c>
      <c r="AE89" s="87">
        <v>53.889314881756555</v>
      </c>
      <c r="AF89" s="87">
        <v>53.936170212765958</v>
      </c>
      <c r="AG89" s="44">
        <v>6.047624675017726</v>
      </c>
      <c r="AH89" s="44">
        <v>9.3045717965228594</v>
      </c>
      <c r="AI89" s="44">
        <v>8.2297999823773011</v>
      </c>
      <c r="AJ89" s="43">
        <v>7.2351041972409744</v>
      </c>
      <c r="AK89" s="43">
        <v>6.0889022763457978</v>
      </c>
      <c r="AL89" s="47">
        <v>1393</v>
      </c>
      <c r="AM89" s="47">
        <v>1832.5833333333333</v>
      </c>
      <c r="AN89" s="47">
        <v>1393</v>
      </c>
      <c r="AO89" s="47">
        <v>2980.9166666666665</v>
      </c>
      <c r="AP89" s="47">
        <v>3197.3333333333335</v>
      </c>
      <c r="AQ89" s="47">
        <v>36882.635702367508</v>
      </c>
      <c r="AR89" s="47">
        <v>35967.98244304557</v>
      </c>
      <c r="AS89" s="47">
        <v>36279.258062086526</v>
      </c>
      <c r="AT89" s="47">
        <v>37806.866584442723</v>
      </c>
      <c r="AU89" s="47">
        <v>38796.522585914434</v>
      </c>
      <c r="AV89" s="84">
        <v>71260.643277427473</v>
      </c>
      <c r="AW89" s="85">
        <v>71885.61188888397</v>
      </c>
      <c r="AX89" s="85">
        <v>70244.814109532046</v>
      </c>
      <c r="AY89" s="85">
        <v>69801.761031694608</v>
      </c>
      <c r="AZ89" s="85">
        <v>72216</v>
      </c>
      <c r="BA89" s="83">
        <v>5.583952977238086</v>
      </c>
      <c r="BB89" s="83">
        <v>6.1955397409905251</v>
      </c>
      <c r="BC89" s="83">
        <v>5.8149850794418905</v>
      </c>
      <c r="BD89" s="83">
        <v>6.9108092144122857</v>
      </c>
      <c r="BE89" s="83">
        <v>7.0171269230159865</v>
      </c>
      <c r="BF89" s="83">
        <v>6.4364624564305544</v>
      </c>
      <c r="BG89" s="46">
        <v>7.4256867279598398</v>
      </c>
      <c r="BH89" s="46">
        <v>7.2151282328752302</v>
      </c>
      <c r="BI89" s="46">
        <v>8.5873777199685666</v>
      </c>
      <c r="BJ89" s="46">
        <v>8.3043289101587998</v>
      </c>
      <c r="BK89" s="42">
        <v>25458</v>
      </c>
      <c r="BL89" s="42">
        <v>25626</v>
      </c>
      <c r="BM89" s="40">
        <v>26212</v>
      </c>
      <c r="BN89" s="40">
        <v>26518</v>
      </c>
      <c r="BO89" s="43">
        <v>23.454316914133081</v>
      </c>
      <c r="BP89" s="43">
        <v>25.005853430110044</v>
      </c>
      <c r="BQ89" s="44">
        <v>23.741034640622615</v>
      </c>
      <c r="BR89" s="44">
        <v>24.315559242778491</v>
      </c>
      <c r="BS89" s="87">
        <v>1.7872574436326498</v>
      </c>
      <c r="BT89" s="87">
        <v>1.8262701943338797</v>
      </c>
      <c r="BU89" s="87">
        <v>1.8846329925225087</v>
      </c>
      <c r="BV89" s="87">
        <v>1.7007315785504187</v>
      </c>
      <c r="BW89" s="43">
        <v>13.327834079660617</v>
      </c>
      <c r="BX89" s="43">
        <v>13.369234371341607</v>
      </c>
      <c r="BY89" s="43">
        <v>13.543415229665802</v>
      </c>
      <c r="BZ89" s="43">
        <v>13.349423033411268</v>
      </c>
      <c r="CA89" s="42">
        <v>87.34518039849219</v>
      </c>
      <c r="CB89" s="42">
        <v>87.671232876712324</v>
      </c>
      <c r="CC89" s="42">
        <v>88.04</v>
      </c>
      <c r="CD89" s="44">
        <v>89.74</v>
      </c>
      <c r="CE89" s="43">
        <v>2.6925148088314486</v>
      </c>
      <c r="CF89" s="43">
        <v>2.8451001053740779</v>
      </c>
      <c r="CG89" s="43">
        <v>2.89</v>
      </c>
      <c r="CH89" s="44">
        <v>3</v>
      </c>
      <c r="CI89" s="49">
        <v>6100</v>
      </c>
      <c r="CJ89" s="49">
        <v>7379</v>
      </c>
      <c r="CK89" s="54">
        <v>10172</v>
      </c>
      <c r="CL89" s="54">
        <v>9630</v>
      </c>
      <c r="CM89" s="88">
        <v>15.5</v>
      </c>
      <c r="CN89" s="88">
        <v>16.2</v>
      </c>
      <c r="CO89" s="88">
        <v>18.399999999999999</v>
      </c>
      <c r="CP89" s="88">
        <v>15.5</v>
      </c>
      <c r="CQ89" s="53">
        <v>195</v>
      </c>
      <c r="CR89" s="53">
        <v>304</v>
      </c>
      <c r="CS89" s="53">
        <v>385</v>
      </c>
      <c r="CT89" s="53">
        <v>348</v>
      </c>
      <c r="CU89" s="88">
        <v>3.3</v>
      </c>
      <c r="CV89" s="88">
        <v>4.3</v>
      </c>
      <c r="CW89" s="88">
        <v>3.9</v>
      </c>
      <c r="CX89" s="88">
        <v>3.8</v>
      </c>
      <c r="CY89" s="51">
        <v>358</v>
      </c>
      <c r="CZ89" s="53">
        <v>517</v>
      </c>
      <c r="DA89" s="53">
        <v>653</v>
      </c>
      <c r="DB89" s="53">
        <v>602</v>
      </c>
      <c r="DC89" s="88">
        <v>6.7</v>
      </c>
      <c r="DD89" s="88">
        <v>8.1999999999999993</v>
      </c>
      <c r="DE89" s="88">
        <v>8</v>
      </c>
      <c r="DF89" s="88">
        <v>7.4</v>
      </c>
      <c r="DG89" s="88">
        <v>88.4</v>
      </c>
      <c r="DH89" s="88">
        <v>91.7</v>
      </c>
      <c r="DI89" s="88">
        <v>89.9</v>
      </c>
      <c r="DJ89" s="88">
        <v>89.9</v>
      </c>
      <c r="DK89" s="88">
        <v>12.2</v>
      </c>
      <c r="DL89" s="88">
        <v>11.9</v>
      </c>
      <c r="DM89" s="88">
        <v>9</v>
      </c>
      <c r="DN89" s="88">
        <v>9.6036905011532809</v>
      </c>
      <c r="DO89" s="88">
        <v>17.2</v>
      </c>
      <c r="DP89" s="88">
        <v>16.899999999999999</v>
      </c>
      <c r="DQ89" s="88">
        <v>17.2</v>
      </c>
      <c r="DR89" s="88">
        <v>19.899999999999999</v>
      </c>
      <c r="DS89" s="88">
        <v>25.291430908719068</v>
      </c>
      <c r="DT89" s="88">
        <v>22.679830747531735</v>
      </c>
      <c r="DU89" s="88">
        <v>22.200524179043118</v>
      </c>
      <c r="DV89" s="88">
        <v>17.765495459928939</v>
      </c>
      <c r="DW89" s="54">
        <v>1752</v>
      </c>
      <c r="DX89" s="54">
        <v>26</v>
      </c>
      <c r="DY89" s="51">
        <v>4</v>
      </c>
      <c r="DZ89" s="53">
        <v>29</v>
      </c>
      <c r="EA89" s="53">
        <v>55</v>
      </c>
      <c r="EB89" s="53">
        <v>34</v>
      </c>
      <c r="EC89" s="53">
        <v>28</v>
      </c>
      <c r="ED89" s="51">
        <v>41</v>
      </c>
      <c r="EE89" s="53">
        <v>44</v>
      </c>
      <c r="EF89" s="53">
        <v>2389</v>
      </c>
      <c r="EG89" s="53">
        <v>2743</v>
      </c>
      <c r="EH89" s="53">
        <v>2933</v>
      </c>
      <c r="EI89" s="53">
        <v>3272</v>
      </c>
      <c r="EJ89" s="92">
        <v>659</v>
      </c>
      <c r="EK89" s="92">
        <v>4</v>
      </c>
      <c r="EL89" s="92">
        <v>2</v>
      </c>
      <c r="EM89" s="92">
        <v>1</v>
      </c>
      <c r="EN89" s="92">
        <v>3</v>
      </c>
      <c r="EO89" s="88">
        <v>607.48614148400554</v>
      </c>
      <c r="EP89" s="88">
        <v>603.10368634210909</v>
      </c>
      <c r="EQ89" s="88">
        <v>531.04523390071097</v>
      </c>
      <c r="ER89" s="88">
        <v>528.26512699266357</v>
      </c>
      <c r="ES89" s="88">
        <v>763.9</v>
      </c>
      <c r="ET89" s="88">
        <v>793.5</v>
      </c>
      <c r="EU89" s="88">
        <v>716.6</v>
      </c>
      <c r="EV89" s="88">
        <v>666.1</v>
      </c>
      <c r="EW89" s="88">
        <v>904.6051103712432</v>
      </c>
      <c r="EX89" s="88">
        <v>939.11321527711345</v>
      </c>
      <c r="EY89" s="88">
        <v>844.15659191657267</v>
      </c>
      <c r="EZ89" s="88">
        <v>753.87409507879602</v>
      </c>
      <c r="FA89" s="88">
        <v>635.05716386249856</v>
      </c>
      <c r="FB89" s="88">
        <v>683.90563455905476</v>
      </c>
      <c r="FC89" s="88">
        <v>616.10693505958977</v>
      </c>
      <c r="FD89" s="88">
        <v>590.6563714109368</v>
      </c>
      <c r="FE89" s="51">
        <v>553</v>
      </c>
      <c r="FF89" s="54">
        <v>616</v>
      </c>
      <c r="FG89" s="54">
        <v>736</v>
      </c>
      <c r="FH89" s="54">
        <v>851</v>
      </c>
      <c r="FI89" s="88">
        <v>177.8295</v>
      </c>
      <c r="FJ89" s="88">
        <v>177.90299999999999</v>
      </c>
      <c r="FK89" s="88">
        <v>180.89420000000001</v>
      </c>
      <c r="FL89" s="88">
        <v>170.13630000000001</v>
      </c>
      <c r="FM89" s="54">
        <v>671</v>
      </c>
      <c r="FN89" s="54">
        <v>605</v>
      </c>
      <c r="FO89" s="51">
        <v>567</v>
      </c>
      <c r="FP89" s="54">
        <v>551</v>
      </c>
      <c r="FQ89" s="88">
        <v>219.33439999999999</v>
      </c>
      <c r="FR89" s="88">
        <v>178.22630000000001</v>
      </c>
      <c r="FS89" s="88">
        <v>141.63480000000001</v>
      </c>
      <c r="FT89" s="88">
        <v>114.4007</v>
      </c>
      <c r="FU89" s="53">
        <v>210</v>
      </c>
      <c r="FV89" s="53">
        <v>231</v>
      </c>
      <c r="FW89" s="53">
        <v>162</v>
      </c>
      <c r="FX89" s="53">
        <v>188</v>
      </c>
      <c r="FY89" s="88">
        <v>68.638660000000002</v>
      </c>
      <c r="FZ89" s="88">
        <v>68.598370000000003</v>
      </c>
      <c r="GA89" s="88">
        <v>42.19988</v>
      </c>
      <c r="GB89" s="88">
        <v>40.106360000000002</v>
      </c>
      <c r="GC89" s="55">
        <v>139</v>
      </c>
      <c r="GD89" s="56">
        <v>155</v>
      </c>
      <c r="GE89" s="55">
        <v>196</v>
      </c>
      <c r="GF89" s="55">
        <v>210</v>
      </c>
      <c r="GG89" s="91">
        <v>39.525919999999999</v>
      </c>
      <c r="GH89" s="91">
        <v>40.364890000000003</v>
      </c>
      <c r="GI89" s="91">
        <v>40.12189</v>
      </c>
      <c r="GJ89" s="91">
        <v>39.565849999999998</v>
      </c>
      <c r="GK89" s="55"/>
      <c r="GL89" s="55"/>
      <c r="GM89" s="55"/>
      <c r="GN89" s="56"/>
      <c r="GO89" s="55"/>
      <c r="GP89" s="55"/>
      <c r="GQ89" s="55"/>
      <c r="GR89" s="55"/>
      <c r="GS89" s="56"/>
      <c r="GT89" s="55"/>
      <c r="GU89" s="55"/>
      <c r="GV89" s="55"/>
      <c r="GW89" s="55"/>
      <c r="GX89" s="56"/>
      <c r="GY89" s="56"/>
      <c r="GZ89" s="56"/>
      <c r="HA89" s="56"/>
      <c r="HB89" s="56"/>
      <c r="HC89" s="56"/>
      <c r="HD89" s="57"/>
      <c r="HE89" s="57"/>
      <c r="HF89" s="57"/>
      <c r="HG89" s="57"/>
      <c r="HH89" s="57"/>
      <c r="HI89" s="58"/>
      <c r="HJ89" s="58"/>
      <c r="HK89" s="55"/>
      <c r="HL89" s="56"/>
      <c r="HM89" s="56"/>
      <c r="HN89" s="56"/>
      <c r="HO89" s="56"/>
      <c r="HP89" s="56"/>
      <c r="HQ89" s="56"/>
      <c r="HR89" s="56"/>
      <c r="HS89" s="56"/>
      <c r="HT89" s="56"/>
      <c r="HU89" s="38"/>
    </row>
    <row r="90" spans="1:229" ht="21" customHeight="1" x14ac:dyDescent="0.2">
      <c r="A90" s="36">
        <v>87</v>
      </c>
      <c r="B90" s="70" t="s">
        <v>143</v>
      </c>
      <c r="C90" s="77">
        <v>9958</v>
      </c>
      <c r="D90" s="77">
        <v>9867</v>
      </c>
      <c r="E90" s="77">
        <v>10438</v>
      </c>
      <c r="F90" s="77">
        <v>10307</v>
      </c>
      <c r="G90" s="150">
        <v>10158</v>
      </c>
      <c r="H90" s="41">
        <v>9585</v>
      </c>
      <c r="I90" s="41">
        <v>32</v>
      </c>
      <c r="J90" s="41">
        <v>342</v>
      </c>
      <c r="K90" s="41">
        <v>54</v>
      </c>
      <c r="L90" s="41">
        <v>429</v>
      </c>
      <c r="M90" s="42">
        <v>4329</v>
      </c>
      <c r="N90" s="43">
        <v>4286</v>
      </c>
      <c r="O90" s="43">
        <v>4292</v>
      </c>
      <c r="P90" s="44">
        <v>4260</v>
      </c>
      <c r="Q90" s="44">
        <v>4229</v>
      </c>
      <c r="R90" s="87">
        <v>34.870364292746963</v>
      </c>
      <c r="S90" s="87">
        <v>34.869302949061662</v>
      </c>
      <c r="T90" s="87">
        <v>31.774092615769714</v>
      </c>
      <c r="U90" s="87">
        <v>32.244250594766058</v>
      </c>
      <c r="V90" s="87">
        <v>31.743236753641749</v>
      </c>
      <c r="W90" s="87">
        <v>28.536265178864458</v>
      </c>
      <c r="X90" s="87">
        <v>30.462466487935657</v>
      </c>
      <c r="Y90" s="87">
        <v>31.523779724655821</v>
      </c>
      <c r="Z90" s="87">
        <v>31.229183187946074</v>
      </c>
      <c r="AA90" s="42">
        <v>30.862814150792381</v>
      </c>
      <c r="AB90" s="87">
        <v>63.406629471611424</v>
      </c>
      <c r="AC90" s="87">
        <v>65.33176943699732</v>
      </c>
      <c r="AD90" s="87">
        <v>63.297872340425535</v>
      </c>
      <c r="AE90" s="87">
        <v>63.473433782712135</v>
      </c>
      <c r="AF90" s="87">
        <v>62.606050904434127</v>
      </c>
      <c r="AG90" s="44">
        <v>5.0264099505878344</v>
      </c>
      <c r="AH90" s="44">
        <v>6.6757261763207065</v>
      </c>
      <c r="AI90" s="44">
        <v>6.0529421682684204</v>
      </c>
      <c r="AJ90" s="43">
        <v>5.4713804713804715</v>
      </c>
      <c r="AK90" s="43">
        <v>5.0228310502283104</v>
      </c>
      <c r="AL90" s="47">
        <v>157.08333333333334</v>
      </c>
      <c r="AM90" s="47">
        <v>213.58333333333334</v>
      </c>
      <c r="AN90" s="47">
        <v>157.08333333333334</v>
      </c>
      <c r="AO90" s="47">
        <v>281.91666666666669</v>
      </c>
      <c r="AP90" s="47">
        <v>288.66666666666669</v>
      </c>
      <c r="AQ90" s="47">
        <v>39997.232454200603</v>
      </c>
      <c r="AR90" s="47">
        <v>40538.261616063312</v>
      </c>
      <c r="AS90" s="47">
        <v>42328.74114654764</v>
      </c>
      <c r="AT90" s="47">
        <v>46012.929288258812</v>
      </c>
      <c r="AU90" s="47">
        <v>48668.930891907854</v>
      </c>
      <c r="AV90" s="84">
        <v>49459.631812201478</v>
      </c>
      <c r="AW90" s="85">
        <v>49470.519944254964</v>
      </c>
      <c r="AX90" s="85">
        <v>49061.023374908502</v>
      </c>
      <c r="AY90" s="85">
        <v>47549.751260071724</v>
      </c>
      <c r="AZ90" s="85">
        <v>53266</v>
      </c>
      <c r="BA90" s="83">
        <v>9.9050763516302105</v>
      </c>
      <c r="BB90" s="83">
        <v>10.035431429762401</v>
      </c>
      <c r="BC90" s="83">
        <v>12.73154954425169</v>
      </c>
      <c r="BD90" s="83">
        <v>11.067036890122967</v>
      </c>
      <c r="BE90" s="83">
        <v>9.2967099305765171</v>
      </c>
      <c r="BF90" s="83">
        <v>11.431226765799256</v>
      </c>
      <c r="BG90" s="46">
        <v>13.294010889292196</v>
      </c>
      <c r="BH90" s="46">
        <v>18.076764341725134</v>
      </c>
      <c r="BI90" s="46">
        <v>14.974832214765101</v>
      </c>
      <c r="BJ90" s="46">
        <v>13.209982788296042</v>
      </c>
      <c r="BK90" s="42">
        <v>1684</v>
      </c>
      <c r="BL90" s="42">
        <v>1643</v>
      </c>
      <c r="BM90" s="40">
        <v>1609</v>
      </c>
      <c r="BN90" s="40">
        <v>1546</v>
      </c>
      <c r="BO90" s="43">
        <v>47.684085510688838</v>
      </c>
      <c r="BP90" s="43">
        <v>49.543517954960436</v>
      </c>
      <c r="BQ90" s="44">
        <v>44.375388440024864</v>
      </c>
      <c r="BR90" s="44">
        <v>46.119016817593788</v>
      </c>
      <c r="BS90" s="87">
        <v>3.7410926365795723</v>
      </c>
      <c r="BT90" s="87">
        <v>2.7997565429093121</v>
      </c>
      <c r="BU90" s="87">
        <v>3.4804226227470481</v>
      </c>
      <c r="BV90" s="87">
        <v>3.2988357050452781</v>
      </c>
      <c r="BW90" s="43">
        <v>18.64608076009501</v>
      </c>
      <c r="BX90" s="43">
        <v>18.015824710894705</v>
      </c>
      <c r="BY90" s="43">
        <v>18.210068365444375</v>
      </c>
      <c r="BZ90" s="43">
        <v>19.404915912031047</v>
      </c>
      <c r="CA90" s="42">
        <v>90.683229813664596</v>
      </c>
      <c r="CB90" s="42">
        <v>95.172413793103445</v>
      </c>
      <c r="CC90" s="42">
        <v>96.55</v>
      </c>
      <c r="CD90" s="44">
        <v>93.85</v>
      </c>
      <c r="CE90" s="43">
        <v>1.8633540372670807</v>
      </c>
      <c r="CF90" s="43">
        <v>0</v>
      </c>
      <c r="CG90" s="43">
        <v>1.38</v>
      </c>
      <c r="CH90" s="44">
        <v>3.08</v>
      </c>
      <c r="CI90" s="49">
        <v>652</v>
      </c>
      <c r="CJ90" s="49">
        <v>624</v>
      </c>
      <c r="CK90" s="51">
        <v>640</v>
      </c>
      <c r="CL90" s="51">
        <v>613</v>
      </c>
      <c r="CM90" s="88">
        <v>11.2</v>
      </c>
      <c r="CN90" s="88">
        <v>11.2</v>
      </c>
      <c r="CO90" s="88">
        <v>12.2</v>
      </c>
      <c r="CP90" s="88">
        <v>12.1</v>
      </c>
      <c r="CQ90" s="53">
        <v>20</v>
      </c>
      <c r="CR90" s="53">
        <v>20</v>
      </c>
      <c r="CS90" s="53">
        <v>33</v>
      </c>
      <c r="CT90" s="53">
        <v>14</v>
      </c>
      <c r="CU90" s="88">
        <v>3.1</v>
      </c>
      <c r="CV90" s="88">
        <v>3.3</v>
      </c>
      <c r="CW90" s="88">
        <v>5.4</v>
      </c>
      <c r="CX90" s="88">
        <v>2.4</v>
      </c>
      <c r="CY90" s="51">
        <v>36</v>
      </c>
      <c r="CZ90" s="53">
        <v>46</v>
      </c>
      <c r="DA90" s="53">
        <v>52</v>
      </c>
      <c r="DB90" s="53">
        <v>36</v>
      </c>
      <c r="DC90" s="88">
        <v>6.4</v>
      </c>
      <c r="DD90" s="88">
        <v>8.1999999999999993</v>
      </c>
      <c r="DE90" s="88">
        <v>10.199999999999999</v>
      </c>
      <c r="DF90" s="88">
        <v>6.9</v>
      </c>
      <c r="DG90" s="88">
        <v>84.4</v>
      </c>
      <c r="DH90" s="88">
        <v>86.3</v>
      </c>
      <c r="DI90" s="88">
        <v>85.8</v>
      </c>
      <c r="DJ90" s="88">
        <v>86.9</v>
      </c>
      <c r="DK90" s="88">
        <v>12.5</v>
      </c>
      <c r="DL90" s="88">
        <v>15.2</v>
      </c>
      <c r="DM90" s="88">
        <v>16.100000000000001</v>
      </c>
      <c r="DN90" s="88">
        <v>16.33986928104575</v>
      </c>
      <c r="DO90" s="88">
        <v>19</v>
      </c>
      <c r="DP90" s="88">
        <v>25.8</v>
      </c>
      <c r="DQ90" s="88">
        <v>29.1</v>
      </c>
      <c r="DR90" s="88">
        <v>33</v>
      </c>
      <c r="DS90" s="88">
        <v>44.340723453908986</v>
      </c>
      <c r="DT90" s="88">
        <v>36.92762186115214</v>
      </c>
      <c r="DU90" s="88">
        <v>23.869984763839511</v>
      </c>
      <c r="DV90" s="88">
        <v>30.042918454935624</v>
      </c>
      <c r="DW90" s="54">
        <v>131</v>
      </c>
      <c r="DX90" s="54">
        <v>1</v>
      </c>
      <c r="DY90" s="51">
        <v>6</v>
      </c>
      <c r="DZ90" s="53">
        <v>1</v>
      </c>
      <c r="EA90" s="53">
        <v>8</v>
      </c>
      <c r="EB90" s="53">
        <v>8</v>
      </c>
      <c r="EC90" s="53">
        <v>2</v>
      </c>
      <c r="ED90" s="51">
        <v>2</v>
      </c>
      <c r="EE90" s="53">
        <v>2</v>
      </c>
      <c r="EF90" s="53">
        <v>696</v>
      </c>
      <c r="EG90" s="53">
        <v>679</v>
      </c>
      <c r="EH90" s="53">
        <v>656</v>
      </c>
      <c r="EI90" s="53">
        <v>587</v>
      </c>
      <c r="EJ90" s="92">
        <v>119</v>
      </c>
      <c r="EK90" s="92">
        <v>0</v>
      </c>
      <c r="EL90" s="92">
        <v>0</v>
      </c>
      <c r="EM90" s="92">
        <v>0</v>
      </c>
      <c r="EN90" s="92">
        <v>0</v>
      </c>
      <c r="EO90" s="88">
        <v>1197.295763018011</v>
      </c>
      <c r="EP90" s="88">
        <v>1222.2342225582315</v>
      </c>
      <c r="EQ90" s="88">
        <v>1255.1660799020358</v>
      </c>
      <c r="ER90" s="88">
        <v>1153.5617451318708</v>
      </c>
      <c r="ES90" s="88">
        <v>691.7</v>
      </c>
      <c r="ET90" s="88">
        <v>714.1</v>
      </c>
      <c r="EU90" s="88">
        <v>714.4</v>
      </c>
      <c r="EV90" s="88">
        <v>635.29999999999995</v>
      </c>
      <c r="EW90" s="88">
        <v>843.85397184801695</v>
      </c>
      <c r="EX90" s="88">
        <v>880.51315968419203</v>
      </c>
      <c r="EY90" s="88">
        <v>888.09780814919213</v>
      </c>
      <c r="EZ90" s="88">
        <v>758.0015736423934</v>
      </c>
      <c r="FA90" s="88">
        <v>570.24064185463612</v>
      </c>
      <c r="FB90" s="88">
        <v>582.5857061301715</v>
      </c>
      <c r="FC90" s="88">
        <v>594.04191054797013</v>
      </c>
      <c r="FD90" s="88">
        <v>523.87216532287744</v>
      </c>
      <c r="FE90" s="51">
        <v>172</v>
      </c>
      <c r="FF90" s="54">
        <v>158</v>
      </c>
      <c r="FG90" s="54">
        <v>151</v>
      </c>
      <c r="FH90" s="54">
        <v>134</v>
      </c>
      <c r="FI90" s="88">
        <v>178.0566</v>
      </c>
      <c r="FJ90" s="88">
        <v>186.00129999999999</v>
      </c>
      <c r="FK90" s="88">
        <v>190.91229999999999</v>
      </c>
      <c r="FL90" s="88">
        <v>163.7319</v>
      </c>
      <c r="FM90" s="54">
        <v>257</v>
      </c>
      <c r="FN90" s="54">
        <v>206</v>
      </c>
      <c r="FO90" s="51">
        <v>147</v>
      </c>
      <c r="FP90" s="54">
        <v>114</v>
      </c>
      <c r="FQ90" s="88">
        <v>247.8683</v>
      </c>
      <c r="FR90" s="88">
        <v>209.18790000000001</v>
      </c>
      <c r="FS90" s="88">
        <v>142.30410000000001</v>
      </c>
      <c r="FT90" s="88">
        <v>115.2146</v>
      </c>
      <c r="FU90" s="53">
        <v>80</v>
      </c>
      <c r="FV90" s="53">
        <v>54</v>
      </c>
      <c r="FW90" s="53">
        <v>65</v>
      </c>
      <c r="FX90" s="53">
        <v>48</v>
      </c>
      <c r="FY90" s="88">
        <v>72.941239999999993</v>
      </c>
      <c r="FZ90" s="88">
        <v>45.046030000000002</v>
      </c>
      <c r="GA90" s="88">
        <v>61.311770000000003</v>
      </c>
      <c r="GB90" s="88">
        <v>43.213850000000001</v>
      </c>
      <c r="GC90" s="55">
        <v>20</v>
      </c>
      <c r="GD90" s="56">
        <v>32</v>
      </c>
      <c r="GE90" s="55">
        <v>35</v>
      </c>
      <c r="GF90" s="55">
        <v>32</v>
      </c>
      <c r="GG90" s="91">
        <v>26.873419999999999</v>
      </c>
      <c r="GH90" s="91">
        <v>43.157589999999999</v>
      </c>
      <c r="GI90" s="91">
        <v>51.126420000000003</v>
      </c>
      <c r="GJ90" s="91">
        <v>45.766509999999997</v>
      </c>
      <c r="GK90" s="55"/>
      <c r="GL90" s="55"/>
      <c r="GM90" s="55"/>
      <c r="GN90" s="56"/>
      <c r="GO90" s="55"/>
      <c r="GP90" s="55"/>
      <c r="GQ90" s="55"/>
      <c r="GR90" s="55"/>
      <c r="GS90" s="56"/>
      <c r="GT90" s="55"/>
      <c r="GU90" s="55"/>
      <c r="GV90" s="55"/>
      <c r="GW90" s="55"/>
      <c r="GX90" s="56"/>
      <c r="GY90" s="56"/>
      <c r="GZ90" s="56"/>
      <c r="HA90" s="56"/>
      <c r="HB90" s="56"/>
      <c r="HC90" s="56"/>
      <c r="HD90" s="57"/>
      <c r="HE90" s="57"/>
      <c r="HF90" s="57"/>
      <c r="HG90" s="57"/>
      <c r="HH90" s="57"/>
      <c r="HI90" s="58"/>
      <c r="HJ90" s="58"/>
      <c r="HK90" s="55"/>
      <c r="HL90" s="56"/>
      <c r="HM90" s="56"/>
      <c r="HN90" s="56"/>
      <c r="HO90" s="56"/>
      <c r="HP90" s="56"/>
      <c r="HQ90" s="56"/>
      <c r="HR90" s="56"/>
      <c r="HS90" s="56"/>
      <c r="HT90" s="56"/>
      <c r="HU90" s="38"/>
    </row>
    <row r="91" spans="1:229" s="177" customFormat="1" x14ac:dyDescent="0.2">
      <c r="A91" s="151" t="s">
        <v>450</v>
      </c>
      <c r="B91" s="152" t="s">
        <v>487</v>
      </c>
      <c r="C91" s="153">
        <f t="shared" ref="C91:F91" si="0">C4+C34+C39</f>
        <v>73499</v>
      </c>
      <c r="D91" s="153">
        <f t="shared" si="0"/>
        <v>73501</v>
      </c>
      <c r="E91" s="153">
        <f t="shared" si="0"/>
        <v>74571</v>
      </c>
      <c r="F91" s="153">
        <f t="shared" si="0"/>
        <v>74467</v>
      </c>
      <c r="G91" s="154">
        <v>74356</v>
      </c>
      <c r="H91" s="153">
        <v>69912</v>
      </c>
      <c r="I91" s="153">
        <v>325</v>
      </c>
      <c r="J91" s="153">
        <v>2371</v>
      </c>
      <c r="K91" s="153">
        <v>271</v>
      </c>
      <c r="L91" s="153">
        <v>803</v>
      </c>
      <c r="M91" s="153">
        <f t="shared" ref="M91:O91" si="1">M4+M34+M39</f>
        <v>32249</v>
      </c>
      <c r="N91" s="153">
        <f t="shared" si="1"/>
        <v>32260</v>
      </c>
      <c r="O91" s="153">
        <f t="shared" si="1"/>
        <v>31946</v>
      </c>
      <c r="P91" s="155">
        <v>32036</v>
      </c>
      <c r="Q91" s="155">
        <v>32017</v>
      </c>
      <c r="R91" s="156">
        <v>31.666880314489596</v>
      </c>
      <c r="S91" s="156">
        <v>32.736234149730763</v>
      </c>
      <c r="T91" s="156">
        <v>33.628833958845604</v>
      </c>
      <c r="U91" s="156">
        <v>33.951870733604082</v>
      </c>
      <c r="V91" s="156">
        <v>35.641592436147164</v>
      </c>
      <c r="W91" s="156">
        <v>25.362133059864121</v>
      </c>
      <c r="X91" s="156">
        <v>26.854264373805801</v>
      </c>
      <c r="Y91" s="156">
        <v>27.216254691342048</v>
      </c>
      <c r="Z91" s="156">
        <v>26.91177741294392</v>
      </c>
      <c r="AA91" s="157">
        <v>27.095051541879144</v>
      </c>
      <c r="AB91" s="156">
        <v>57.029013374353717</v>
      </c>
      <c r="AC91" s="156">
        <v>59.590498523536567</v>
      </c>
      <c r="AD91" s="156">
        <v>60.845088650187655</v>
      </c>
      <c r="AE91" s="156">
        <v>60.863648146548002</v>
      </c>
      <c r="AF91" s="156">
        <v>62.736643978026308</v>
      </c>
      <c r="AG91" s="158">
        <v>7.814294307431509</v>
      </c>
      <c r="AH91" s="158">
        <v>10.828569902238367</v>
      </c>
      <c r="AI91" s="158">
        <v>9.6085315312937194</v>
      </c>
      <c r="AJ91" s="159">
        <v>8.8253917999050184</v>
      </c>
      <c r="AK91" s="159">
        <v>7.6787620064034154</v>
      </c>
      <c r="AL91" s="160">
        <v>2659.5</v>
      </c>
      <c r="AM91" s="160">
        <v>3256.166666666667</v>
      </c>
      <c r="AN91" s="160">
        <v>2659.5</v>
      </c>
      <c r="AO91" s="160">
        <v>4337.0833333333339</v>
      </c>
      <c r="AP91" s="160">
        <v>4576.4166666666661</v>
      </c>
      <c r="AQ91" s="160">
        <v>32977.522562001817</v>
      </c>
      <c r="AR91" s="160">
        <v>33557.445271709192</v>
      </c>
      <c r="AS91" s="160">
        <v>34190.608084748907</v>
      </c>
      <c r="AT91" s="160">
        <v>34968.316479331996</v>
      </c>
      <c r="AU91" s="160">
        <v>35121.550379256551</v>
      </c>
      <c r="AV91" s="160" t="s">
        <v>158</v>
      </c>
      <c r="AW91" s="160" t="s">
        <v>158</v>
      </c>
      <c r="AX91" s="160" t="s">
        <v>158</v>
      </c>
      <c r="AY91" s="160" t="s">
        <v>158</v>
      </c>
      <c r="AZ91" s="160" t="s">
        <v>158</v>
      </c>
      <c r="BA91" s="161">
        <v>13.126996639422478</v>
      </c>
      <c r="BB91" s="162">
        <v>13.765669535379251</v>
      </c>
      <c r="BC91" s="162">
        <v>12.852823270259547</v>
      </c>
      <c r="BD91" s="162">
        <v>13.866893169301587</v>
      </c>
      <c r="BE91" s="162">
        <v>13.666913559926481</v>
      </c>
      <c r="BF91" s="161">
        <v>18.614748449345278</v>
      </c>
      <c r="BG91" s="162">
        <v>20.53344055756601</v>
      </c>
      <c r="BH91" s="162">
        <v>20.662092852860855</v>
      </c>
      <c r="BI91" s="162">
        <v>21.237266410308305</v>
      </c>
      <c r="BJ91" s="162">
        <v>20.582035765281837</v>
      </c>
      <c r="BK91" s="163">
        <v>10590</v>
      </c>
      <c r="BL91" s="163">
        <v>10571</v>
      </c>
      <c r="BM91" s="163">
        <v>10433</v>
      </c>
      <c r="BN91" s="163">
        <v>10521</v>
      </c>
      <c r="BO91" s="159">
        <v>45.949008498583567</v>
      </c>
      <c r="BP91" s="159">
        <v>45.776180115410085</v>
      </c>
      <c r="BQ91" s="158">
        <v>47.225150963289565</v>
      </c>
      <c r="BR91" s="158">
        <v>47.495485220036116</v>
      </c>
      <c r="BS91" s="164">
        <v>7.5542965061378656E-2</v>
      </c>
      <c r="BT91" s="164">
        <v>9.4598429666067546E-2</v>
      </c>
      <c r="BU91" s="156">
        <v>8.6264736892552471E-2</v>
      </c>
      <c r="BV91" s="156">
        <v>0.10455279916357761</v>
      </c>
      <c r="BW91" s="159">
        <v>15.901794145420208</v>
      </c>
      <c r="BX91" s="159">
        <v>16.015514142465236</v>
      </c>
      <c r="BY91" s="159">
        <v>16.428639892648327</v>
      </c>
      <c r="BZ91" s="159">
        <v>16.424294268605646</v>
      </c>
      <c r="CA91" s="163">
        <v>78.915046059365409</v>
      </c>
      <c r="CB91" s="163">
        <v>82.067510548523202</v>
      </c>
      <c r="CC91" s="163">
        <v>77.553191489361708</v>
      </c>
      <c r="CD91" s="155">
        <v>81.68701442841288</v>
      </c>
      <c r="CE91" s="159">
        <v>6.1412487205731834</v>
      </c>
      <c r="CF91" s="159">
        <v>4.9578059071729959</v>
      </c>
      <c r="CG91" s="159">
        <v>7.6595744680851068</v>
      </c>
      <c r="CH91" s="155">
        <v>4.4395116537180908</v>
      </c>
      <c r="CI91" s="163">
        <v>3707</v>
      </c>
      <c r="CJ91" s="165">
        <v>3629</v>
      </c>
      <c r="CK91" s="166">
        <v>3882</v>
      </c>
      <c r="CL91" s="166">
        <v>3532</v>
      </c>
      <c r="CM91" s="158">
        <v>10.199999999999999</v>
      </c>
      <c r="CN91" s="158">
        <v>9.9</v>
      </c>
      <c r="CO91" s="158">
        <v>10.5</v>
      </c>
      <c r="CP91" s="158">
        <v>9.5</v>
      </c>
      <c r="CQ91" s="167">
        <v>143</v>
      </c>
      <c r="CR91" s="167">
        <v>149</v>
      </c>
      <c r="CS91" s="167">
        <v>171</v>
      </c>
      <c r="CT91" s="167">
        <v>160</v>
      </c>
      <c r="CU91" s="158">
        <v>3.9</v>
      </c>
      <c r="CV91" s="158">
        <v>4.2</v>
      </c>
      <c r="CW91" s="158">
        <v>4.5</v>
      </c>
      <c r="CX91" s="158">
        <v>4.7</v>
      </c>
      <c r="CY91" s="168">
        <v>198</v>
      </c>
      <c r="CZ91" s="167">
        <v>197</v>
      </c>
      <c r="DA91" s="167">
        <v>275</v>
      </c>
      <c r="DB91" s="167">
        <v>240</v>
      </c>
      <c r="DC91" s="158">
        <v>6.9</v>
      </c>
      <c r="DD91" s="158">
        <v>6.4</v>
      </c>
      <c r="DE91" s="158">
        <v>8.6999999999999993</v>
      </c>
      <c r="DF91" s="158">
        <v>8.3000000000000007</v>
      </c>
      <c r="DG91" s="158">
        <v>84.6</v>
      </c>
      <c r="DH91" s="158">
        <v>88.7</v>
      </c>
      <c r="DI91" s="158">
        <v>85.1</v>
      </c>
      <c r="DJ91" s="158">
        <v>84.4</v>
      </c>
      <c r="DK91" s="158">
        <v>21.8</v>
      </c>
      <c r="DL91" s="158">
        <v>19.5</v>
      </c>
      <c r="DM91" s="158">
        <v>23.1</v>
      </c>
      <c r="DN91" s="158">
        <v>24.040114613180517</v>
      </c>
      <c r="DO91" s="158">
        <v>30.6</v>
      </c>
      <c r="DP91" s="158">
        <v>34.299999999999997</v>
      </c>
      <c r="DQ91" s="158">
        <v>40.1</v>
      </c>
      <c r="DR91" s="158">
        <v>42.8</v>
      </c>
      <c r="DS91" s="158">
        <v>33.11410217191802</v>
      </c>
      <c r="DT91" s="158">
        <v>30.024106947183871</v>
      </c>
      <c r="DU91" s="158">
        <v>30.801510700797316</v>
      </c>
      <c r="DV91" s="158">
        <v>27.372262773722628</v>
      </c>
      <c r="DW91" s="166">
        <v>620</v>
      </c>
      <c r="DX91" s="166">
        <v>6</v>
      </c>
      <c r="DY91" s="168">
        <v>47</v>
      </c>
      <c r="DZ91" s="167">
        <v>4</v>
      </c>
      <c r="EA91" s="167">
        <v>18</v>
      </c>
      <c r="EB91" s="153">
        <v>25</v>
      </c>
      <c r="EC91" s="153">
        <v>26</v>
      </c>
      <c r="ED91" s="153">
        <v>26</v>
      </c>
      <c r="EE91" s="153">
        <v>11</v>
      </c>
      <c r="EF91" s="153">
        <f t="shared" ref="EF91:EI91" si="2">EF4+EF34+EF39</f>
        <v>3930</v>
      </c>
      <c r="EG91" s="153">
        <f t="shared" si="2"/>
        <v>4005</v>
      </c>
      <c r="EH91" s="153">
        <f t="shared" si="2"/>
        <v>3966</v>
      </c>
      <c r="EI91" s="153">
        <f t="shared" si="2"/>
        <v>4243</v>
      </c>
      <c r="EJ91" s="153">
        <f t="shared" ref="EJ91:EN91" si="3">EJ4+EJ34+EJ39</f>
        <v>830</v>
      </c>
      <c r="EK91" s="153">
        <f t="shared" si="3"/>
        <v>0</v>
      </c>
      <c r="EL91" s="153">
        <f t="shared" si="3"/>
        <v>27</v>
      </c>
      <c r="EM91" s="153">
        <f t="shared" si="3"/>
        <v>1</v>
      </c>
      <c r="EN91" s="153">
        <f t="shared" si="3"/>
        <v>4</v>
      </c>
      <c r="EO91" s="158">
        <v>1085.6413571345697</v>
      </c>
      <c r="EP91" s="158">
        <v>1089.4668549091296</v>
      </c>
      <c r="EQ91" s="158">
        <v>1068.4641434101948</v>
      </c>
      <c r="ER91" s="158">
        <v>1142.4209054243036</v>
      </c>
      <c r="ES91" s="158">
        <v>904.1</v>
      </c>
      <c r="ET91" s="158">
        <v>815.1</v>
      </c>
      <c r="EU91" s="158">
        <v>727</v>
      </c>
      <c r="EV91" s="159">
        <v>734.4</v>
      </c>
      <c r="EW91" s="159">
        <v>1132.6798299131569</v>
      </c>
      <c r="EX91" s="159">
        <v>965.58744249468077</v>
      </c>
      <c r="EY91" s="159">
        <v>858.67892268057449</v>
      </c>
      <c r="EZ91" s="158">
        <v>871.89992021141632</v>
      </c>
      <c r="FA91" s="158">
        <v>722.89282043569403</v>
      </c>
      <c r="FB91" s="158">
        <v>692.44061890728904</v>
      </c>
      <c r="FC91" s="158">
        <v>609.35249473633041</v>
      </c>
      <c r="FD91" s="158">
        <v>609.39092362125609</v>
      </c>
      <c r="FE91" s="168">
        <v>958</v>
      </c>
      <c r="FF91" s="166">
        <v>1010</v>
      </c>
      <c r="FG91" s="166">
        <v>1021</v>
      </c>
      <c r="FH91" s="166">
        <v>1055</v>
      </c>
      <c r="FI91" s="158">
        <v>213.35169999999999</v>
      </c>
      <c r="FJ91" s="158">
        <v>201.83609999999999</v>
      </c>
      <c r="FK91" s="158">
        <v>186.98869999999999</v>
      </c>
      <c r="FL91" s="158">
        <v>177.8588</v>
      </c>
      <c r="FM91" s="166">
        <v>1210</v>
      </c>
      <c r="FN91" s="166">
        <v>1079</v>
      </c>
      <c r="FO91" s="168">
        <v>948</v>
      </c>
      <c r="FP91" s="166">
        <v>889</v>
      </c>
      <c r="FQ91" s="158">
        <v>274.27300000000002</v>
      </c>
      <c r="FR91" s="158">
        <v>213.7432</v>
      </c>
      <c r="FS91" s="158">
        <v>167.69110000000001</v>
      </c>
      <c r="FT91" s="158">
        <v>147.0676</v>
      </c>
      <c r="FU91" s="162">
        <v>313</v>
      </c>
      <c r="FV91" s="162">
        <v>274</v>
      </c>
      <c r="FW91" s="162">
        <v>263</v>
      </c>
      <c r="FX91" s="162">
        <v>226</v>
      </c>
      <c r="FY91" s="158">
        <v>70.931640000000002</v>
      </c>
      <c r="FZ91" s="159">
        <v>54.089820000000003</v>
      </c>
      <c r="GA91" s="159">
        <v>44.531300000000002</v>
      </c>
      <c r="GB91" s="159">
        <v>37.323779999999999</v>
      </c>
      <c r="GC91" s="169">
        <v>167</v>
      </c>
      <c r="GD91" s="170">
        <v>205</v>
      </c>
      <c r="GE91" s="169">
        <v>197</v>
      </c>
      <c r="GF91" s="169">
        <v>239</v>
      </c>
      <c r="GG91" s="171">
        <v>44.66046</v>
      </c>
      <c r="GH91" s="171">
        <v>50.483550000000001</v>
      </c>
      <c r="GI91" s="172">
        <v>45.091670000000001</v>
      </c>
      <c r="GJ91" s="171">
        <v>53.161790000000003</v>
      </c>
      <c r="GK91" s="169"/>
      <c r="GL91" s="169"/>
      <c r="GM91" s="169"/>
      <c r="GN91" s="170"/>
      <c r="GO91" s="169"/>
      <c r="GP91" s="169"/>
      <c r="GQ91" s="169"/>
      <c r="GR91" s="169"/>
      <c r="GS91" s="170"/>
      <c r="GT91" s="169"/>
      <c r="GU91" s="169"/>
      <c r="GV91" s="169"/>
      <c r="GW91" s="169"/>
      <c r="GX91" s="170"/>
      <c r="GY91" s="170"/>
      <c r="GZ91" s="170"/>
      <c r="HA91" s="170"/>
      <c r="HB91" s="170"/>
      <c r="HC91" s="170"/>
      <c r="HD91" s="173"/>
      <c r="HE91" s="173"/>
      <c r="HF91" s="173"/>
      <c r="HG91" s="173"/>
      <c r="HH91" s="173"/>
      <c r="HI91" s="174"/>
      <c r="HJ91" s="174"/>
      <c r="HK91" s="175"/>
      <c r="HL91" s="170"/>
      <c r="HM91" s="170"/>
      <c r="HN91" s="170"/>
      <c r="HO91" s="170"/>
      <c r="HP91" s="170"/>
      <c r="HQ91" s="170"/>
      <c r="HR91" s="170"/>
      <c r="HS91" s="170"/>
      <c r="HT91" s="170"/>
      <c r="HU91" s="176"/>
    </row>
    <row r="92" spans="1:229" ht="24" x14ac:dyDescent="0.2">
      <c r="A92" s="76" t="s">
        <v>451</v>
      </c>
      <c r="B92" s="74" t="s">
        <v>503</v>
      </c>
      <c r="C92" s="75">
        <f>C7+C18+C32+C42</f>
        <v>74879</v>
      </c>
      <c r="D92" s="75">
        <f>D7+D18+D32+D42</f>
        <v>75116</v>
      </c>
      <c r="E92" s="75">
        <f>E7+E18+E32+E42</f>
        <v>77610</v>
      </c>
      <c r="F92" s="75">
        <f>F7+F18+F32+F42</f>
        <v>78348</v>
      </c>
      <c r="G92" s="150">
        <v>78398</v>
      </c>
      <c r="H92" s="75">
        <v>64661</v>
      </c>
      <c r="I92" s="75">
        <v>421</v>
      </c>
      <c r="J92" s="75">
        <v>10571</v>
      </c>
      <c r="K92" s="75">
        <v>538</v>
      </c>
      <c r="L92" s="75">
        <v>1275</v>
      </c>
      <c r="M92" s="75">
        <f t="shared" ref="M92:O92" si="4">M7+M18+M32+M42</f>
        <v>29677</v>
      </c>
      <c r="N92" s="75">
        <f t="shared" si="4"/>
        <v>29733</v>
      </c>
      <c r="O92" s="75">
        <f t="shared" si="4"/>
        <v>30818</v>
      </c>
      <c r="P92" s="44">
        <v>31215</v>
      </c>
      <c r="Q92" s="44">
        <v>31250</v>
      </c>
      <c r="R92" s="87">
        <v>24.978234733220017</v>
      </c>
      <c r="S92" s="87">
        <v>25.191821160466176</v>
      </c>
      <c r="T92" s="87">
        <v>25.010051463493085</v>
      </c>
      <c r="U92" s="87">
        <v>25.638048721900834</v>
      </c>
      <c r="V92" s="87">
        <v>26.684559966096906</v>
      </c>
      <c r="W92" s="87">
        <v>30.237137763774303</v>
      </c>
      <c r="X92" s="87">
        <v>30.579403591721622</v>
      </c>
      <c r="Y92" s="87">
        <v>31.008764876165969</v>
      </c>
      <c r="Z92" s="87">
        <v>31.192825830213984</v>
      </c>
      <c r="AA92" s="42">
        <v>31.525841018707244</v>
      </c>
      <c r="AB92" s="87">
        <v>55.21537249699432</v>
      </c>
      <c r="AC92" s="87">
        <v>55.771224752187798</v>
      </c>
      <c r="AD92" s="87">
        <v>56.018816339659054</v>
      </c>
      <c r="AE92" s="87">
        <v>56.830874552114821</v>
      </c>
      <c r="AF92" s="87">
        <v>58.210400984804146</v>
      </c>
      <c r="AG92" s="88">
        <v>7.4490097546556315</v>
      </c>
      <c r="AH92" s="88">
        <v>9.9551569506726452</v>
      </c>
      <c r="AI92" s="88">
        <v>9.1851851851851851</v>
      </c>
      <c r="AJ92" s="43">
        <v>8.9841903461316246</v>
      </c>
      <c r="AK92" s="43">
        <v>7.9329138253337197</v>
      </c>
      <c r="AL92" s="47">
        <v>4297.583333333333</v>
      </c>
      <c r="AM92" s="47">
        <v>4930.166666666667</v>
      </c>
      <c r="AN92" s="47">
        <v>4297.583333333333</v>
      </c>
      <c r="AO92" s="47">
        <v>6134.75</v>
      </c>
      <c r="AP92" s="47">
        <v>6036.583333333333</v>
      </c>
      <c r="AQ92" s="47">
        <v>32692.52095195424</v>
      </c>
      <c r="AR92" s="47">
        <v>33271.529509403859</v>
      </c>
      <c r="AS92" s="47">
        <v>33602.372287386941</v>
      </c>
      <c r="AT92" s="47">
        <v>33995.968342748369</v>
      </c>
      <c r="AU92" s="47">
        <v>34654.012646199692</v>
      </c>
      <c r="AV92" s="50" t="s">
        <v>158</v>
      </c>
      <c r="AW92" s="50" t="s">
        <v>158</v>
      </c>
      <c r="AX92" s="50" t="s">
        <v>158</v>
      </c>
      <c r="AY92" s="50" t="s">
        <v>158</v>
      </c>
      <c r="AZ92" s="50" t="s">
        <v>158</v>
      </c>
      <c r="BA92" s="83">
        <v>14.853366377529946</v>
      </c>
      <c r="BB92" s="46">
        <v>17.908599265161211</v>
      </c>
      <c r="BC92" s="46">
        <v>17.590697674418603</v>
      </c>
      <c r="BD92" s="46">
        <v>18.18720535173431</v>
      </c>
      <c r="BE92" s="46">
        <v>18.030715780330848</v>
      </c>
      <c r="BF92" s="83">
        <v>22.992489890236858</v>
      </c>
      <c r="BG92" s="46">
        <v>26.773018900641581</v>
      </c>
      <c r="BH92" s="46">
        <v>26.344561016013252</v>
      </c>
      <c r="BI92" s="46">
        <v>27.610629186340176</v>
      </c>
      <c r="BJ92" s="46">
        <v>25.648335983332419</v>
      </c>
      <c r="BK92" s="42">
        <v>12040</v>
      </c>
      <c r="BL92" s="42">
        <v>12137</v>
      </c>
      <c r="BM92" s="42">
        <v>12080</v>
      </c>
      <c r="BN92" s="42">
        <v>12196</v>
      </c>
      <c r="BO92" s="43">
        <v>56.569767441860463</v>
      </c>
      <c r="BP92" s="43">
        <v>57.485375298673475</v>
      </c>
      <c r="BQ92" s="88">
        <v>57.284768211920529</v>
      </c>
      <c r="BR92" s="88">
        <v>56.674319448999675</v>
      </c>
      <c r="BS92" s="89">
        <v>1.1794019933554818</v>
      </c>
      <c r="BT92" s="89">
        <v>0.74153415176732307</v>
      </c>
      <c r="BU92" s="87">
        <v>0.78642384105960261</v>
      </c>
      <c r="BV92" s="87">
        <v>0.79534273532305677</v>
      </c>
      <c r="BW92" s="43">
        <v>18.845514950166113</v>
      </c>
      <c r="BX92" s="43">
        <v>18.711378429595452</v>
      </c>
      <c r="BY92" s="43">
        <v>18.443708609271525</v>
      </c>
      <c r="BZ92" s="43">
        <v>18.612659888488029</v>
      </c>
      <c r="CA92" s="42">
        <v>66.2109375</v>
      </c>
      <c r="CB92" s="42">
        <v>65.435897435897431</v>
      </c>
      <c r="CC92" s="42">
        <v>66.596858638743456</v>
      </c>
      <c r="CD92" s="44">
        <v>69.960079840319366</v>
      </c>
      <c r="CE92" s="43">
        <v>9.86328125</v>
      </c>
      <c r="CF92" s="43">
        <v>9.9487179487179489</v>
      </c>
      <c r="CG92" s="43">
        <v>10.261780104712042</v>
      </c>
      <c r="CH92" s="44">
        <v>11.177644710578843</v>
      </c>
      <c r="CI92" s="42">
        <v>4302</v>
      </c>
      <c r="CJ92" s="49">
        <v>4482</v>
      </c>
      <c r="CK92" s="54">
        <v>5312</v>
      </c>
      <c r="CL92" s="54">
        <v>5478</v>
      </c>
      <c r="CM92" s="88">
        <v>12.9</v>
      </c>
      <c r="CN92" s="88">
        <v>12.7</v>
      </c>
      <c r="CO92" s="88">
        <v>14.3</v>
      </c>
      <c r="CP92" s="88">
        <v>14.3</v>
      </c>
      <c r="CQ92" s="53">
        <v>197</v>
      </c>
      <c r="CR92" s="53">
        <v>206</v>
      </c>
      <c r="CS92" s="53">
        <v>241</v>
      </c>
      <c r="CT92" s="53">
        <v>247</v>
      </c>
      <c r="CU92" s="88">
        <v>4.7</v>
      </c>
      <c r="CV92" s="88">
        <v>4.7</v>
      </c>
      <c r="CW92" s="88">
        <v>4.7</v>
      </c>
      <c r="CX92" s="88">
        <v>4.7</v>
      </c>
      <c r="CY92" s="51">
        <v>295</v>
      </c>
      <c r="CZ92" s="53">
        <v>304</v>
      </c>
      <c r="DA92" s="53">
        <v>383</v>
      </c>
      <c r="DB92" s="53">
        <v>434</v>
      </c>
      <c r="DC92" s="88">
        <v>7.8</v>
      </c>
      <c r="DD92" s="88">
        <v>8.6</v>
      </c>
      <c r="DE92" s="88">
        <v>8.8000000000000007</v>
      </c>
      <c r="DF92" s="88">
        <v>9.4</v>
      </c>
      <c r="DG92" s="88">
        <v>72.3</v>
      </c>
      <c r="DH92" s="88">
        <v>74.2</v>
      </c>
      <c r="DI92" s="88">
        <v>73.8</v>
      </c>
      <c r="DJ92" s="88">
        <v>73.599999999999994</v>
      </c>
      <c r="DK92" s="88">
        <v>19.2</v>
      </c>
      <c r="DL92" s="88">
        <v>18.899999999999999</v>
      </c>
      <c r="DM92" s="88">
        <v>25.3</v>
      </c>
      <c r="DN92" s="88">
        <v>26.167368613806996</v>
      </c>
      <c r="DO92" s="88">
        <v>39.9</v>
      </c>
      <c r="DP92" s="88">
        <v>43.8</v>
      </c>
      <c r="DQ92" s="88">
        <v>46.5</v>
      </c>
      <c r="DR92" s="88">
        <v>51.1</v>
      </c>
      <c r="DS92" s="88">
        <v>42.899190581309789</v>
      </c>
      <c r="DT92" s="88">
        <v>42.281090956544432</v>
      </c>
      <c r="DU92" s="88">
        <v>46.880224704072759</v>
      </c>
      <c r="DV92" s="88">
        <v>46.286010516181591</v>
      </c>
      <c r="DW92" s="54">
        <v>715</v>
      </c>
      <c r="DX92" s="54">
        <v>6</v>
      </c>
      <c r="DY92" s="51">
        <v>315</v>
      </c>
      <c r="DZ92" s="53">
        <v>6</v>
      </c>
      <c r="EA92" s="53">
        <v>18</v>
      </c>
      <c r="EB92" s="75">
        <v>40</v>
      </c>
      <c r="EC92" s="75">
        <v>33</v>
      </c>
      <c r="ED92" s="75">
        <v>35</v>
      </c>
      <c r="EE92" s="75">
        <v>44</v>
      </c>
      <c r="EF92" s="75">
        <f t="shared" ref="EF92:EI92" si="5">EF7+EF18+EF32+EF42</f>
        <v>3176</v>
      </c>
      <c r="EG92" s="75">
        <f t="shared" si="5"/>
        <v>3297</v>
      </c>
      <c r="EH92" s="75">
        <f t="shared" si="5"/>
        <v>3242</v>
      </c>
      <c r="EI92" s="75">
        <f t="shared" si="5"/>
        <v>3471</v>
      </c>
      <c r="EJ92" s="75">
        <f>EJ7+EJ18+EJ32+EJ42</f>
        <v>663</v>
      </c>
      <c r="EK92" s="75">
        <f t="shared" ref="EK92:EN92" si="6">EK7+EK18+EK32+EK42</f>
        <v>0</v>
      </c>
      <c r="EL92" s="75">
        <f t="shared" si="6"/>
        <v>94</v>
      </c>
      <c r="EM92" s="75">
        <f t="shared" si="6"/>
        <v>2</v>
      </c>
      <c r="EN92" s="75">
        <f t="shared" si="6"/>
        <v>0</v>
      </c>
      <c r="EO92" s="88">
        <v>953.37297715927275</v>
      </c>
      <c r="EP92" s="88">
        <v>935.515540851129</v>
      </c>
      <c r="EQ92" s="88">
        <v>872.96501139001236</v>
      </c>
      <c r="ER92" s="88">
        <v>886.08381025843835</v>
      </c>
      <c r="ES92" s="88">
        <v>860.7</v>
      </c>
      <c r="ET92" s="88">
        <v>833.4</v>
      </c>
      <c r="EU92" s="88">
        <v>731.5</v>
      </c>
      <c r="EV92" s="43">
        <v>717.1</v>
      </c>
      <c r="EW92" s="43">
        <v>1059.4594909915622</v>
      </c>
      <c r="EX92" s="43">
        <v>967.85770541069371</v>
      </c>
      <c r="EY92" s="43">
        <v>902.19847421814836</v>
      </c>
      <c r="EZ92" s="88">
        <v>841.32250372655699</v>
      </c>
      <c r="FA92" s="88">
        <v>691.26979751243857</v>
      </c>
      <c r="FB92" s="88">
        <v>711.12156438409397</v>
      </c>
      <c r="FC92" s="88">
        <v>582.80745040174486</v>
      </c>
      <c r="FD92" s="88">
        <v>604.22746610661466</v>
      </c>
      <c r="FE92" s="51">
        <v>714</v>
      </c>
      <c r="FF92" s="54">
        <v>725</v>
      </c>
      <c r="FG92" s="54">
        <v>775</v>
      </c>
      <c r="FH92" s="54">
        <v>813</v>
      </c>
      <c r="FI92" s="88">
        <v>197.15289999999999</v>
      </c>
      <c r="FJ92" s="88">
        <v>185.3211</v>
      </c>
      <c r="FK92" s="88">
        <v>178.2587</v>
      </c>
      <c r="FL92" s="88">
        <v>165.5966</v>
      </c>
      <c r="FM92" s="54">
        <v>889</v>
      </c>
      <c r="FN92" s="54">
        <v>842</v>
      </c>
      <c r="FO92" s="51">
        <v>727</v>
      </c>
      <c r="FP92" s="54">
        <v>693</v>
      </c>
      <c r="FQ92" s="88">
        <v>237.5034</v>
      </c>
      <c r="FR92" s="88">
        <v>208.13220000000001</v>
      </c>
      <c r="FS92" s="88">
        <v>159.44560000000001</v>
      </c>
      <c r="FT92" s="88">
        <v>138.87190000000001</v>
      </c>
      <c r="FU92" s="46">
        <v>262</v>
      </c>
      <c r="FV92" s="46">
        <v>232</v>
      </c>
      <c r="FW92" s="46">
        <v>184</v>
      </c>
      <c r="FX92" s="46">
        <v>203</v>
      </c>
      <c r="FY92" s="88">
        <v>68.415649999999999</v>
      </c>
      <c r="FZ92" s="43">
        <v>56.803489999999996</v>
      </c>
      <c r="GA92" s="43">
        <v>39.461919999999999</v>
      </c>
      <c r="GB92" s="43">
        <v>40.173459999999999</v>
      </c>
      <c r="GC92" s="59">
        <v>190</v>
      </c>
      <c r="GD92" s="56">
        <v>205</v>
      </c>
      <c r="GE92" s="59">
        <v>209</v>
      </c>
      <c r="GF92" s="59">
        <v>205</v>
      </c>
      <c r="GG92" s="65">
        <v>55.305660000000003</v>
      </c>
      <c r="GH92" s="65">
        <v>56.717419999999997</v>
      </c>
      <c r="GI92" s="91">
        <v>53.972349999999999</v>
      </c>
      <c r="GJ92" s="65">
        <v>50.719929999999998</v>
      </c>
      <c r="GK92" s="59"/>
      <c r="GL92" s="59"/>
      <c r="GM92" s="59"/>
      <c r="GN92" s="56"/>
      <c r="GO92" s="59"/>
      <c r="GP92" s="59"/>
      <c r="GQ92" s="59"/>
      <c r="GR92" s="59"/>
      <c r="GS92" s="56"/>
      <c r="GT92" s="59"/>
      <c r="GU92" s="59"/>
      <c r="GV92" s="59"/>
      <c r="GW92" s="59"/>
      <c r="GX92" s="56"/>
      <c r="GY92" s="56"/>
      <c r="GZ92" s="56"/>
      <c r="HA92" s="56"/>
      <c r="HB92" s="56"/>
      <c r="HC92" s="56"/>
      <c r="HD92" s="57"/>
      <c r="HE92" s="57"/>
      <c r="HF92" s="57"/>
      <c r="HG92" s="57"/>
      <c r="HH92" s="57"/>
      <c r="HI92" s="58"/>
      <c r="HJ92" s="58"/>
      <c r="HK92" s="55"/>
      <c r="HL92" s="56"/>
      <c r="HM92" s="56"/>
      <c r="HN92" s="56"/>
      <c r="HO92" s="56"/>
      <c r="HP92" s="56"/>
      <c r="HQ92" s="56"/>
      <c r="HR92" s="56"/>
      <c r="HS92" s="56"/>
      <c r="HT92" s="56"/>
      <c r="HU92" s="38"/>
    </row>
    <row r="93" spans="1:229" ht="36" x14ac:dyDescent="0.2">
      <c r="A93" s="76" t="s">
        <v>452</v>
      </c>
      <c r="B93" s="74" t="s">
        <v>504</v>
      </c>
      <c r="C93" s="75">
        <f>C9+C15+C40+C79+C90</f>
        <v>45937</v>
      </c>
      <c r="D93" s="75">
        <f>D9+D15+D40+D79+D90</f>
        <v>45372</v>
      </c>
      <c r="E93" s="75">
        <f>E9+E15+E40+E79+E90</f>
        <v>45190</v>
      </c>
      <c r="F93" s="75">
        <f>F9+F15+F40+F79+F90</f>
        <v>44697</v>
      </c>
      <c r="G93" s="150">
        <v>44160</v>
      </c>
      <c r="H93" s="75">
        <v>42559</v>
      </c>
      <c r="I93" s="75">
        <v>217</v>
      </c>
      <c r="J93" s="75">
        <v>556</v>
      </c>
      <c r="K93" s="75">
        <v>325</v>
      </c>
      <c r="L93" s="75">
        <v>1628</v>
      </c>
      <c r="M93" s="75">
        <f t="shared" ref="M93:O93" si="7">M9+M15+M40+M79+M90</f>
        <v>19441</v>
      </c>
      <c r="N93" s="75">
        <f t="shared" si="7"/>
        <v>19303</v>
      </c>
      <c r="O93" s="75">
        <f t="shared" si="7"/>
        <v>19217</v>
      </c>
      <c r="P93" s="44">
        <v>19120</v>
      </c>
      <c r="Q93" s="44">
        <v>18986</v>
      </c>
      <c r="R93" s="87">
        <v>33.304368982656143</v>
      </c>
      <c r="S93" s="87">
        <v>33.104062722736991</v>
      </c>
      <c r="T93" s="87">
        <v>34.381482694617318</v>
      </c>
      <c r="U93" s="87">
        <v>34.400970802382879</v>
      </c>
      <c r="V93" s="87">
        <v>35.024452159629668</v>
      </c>
      <c r="W93" s="87">
        <v>26.359876264293906</v>
      </c>
      <c r="X93" s="87">
        <v>28.592302209550962</v>
      </c>
      <c r="Y93" s="87">
        <v>30.083342431852095</v>
      </c>
      <c r="Z93" s="87">
        <v>29.962491726116056</v>
      </c>
      <c r="AA93" s="42">
        <v>29.831634748198752</v>
      </c>
      <c r="AB93" s="87">
        <v>59.664245246950053</v>
      </c>
      <c r="AC93" s="87">
        <v>61.696364932287956</v>
      </c>
      <c r="AD93" s="87">
        <v>64.464825126469407</v>
      </c>
      <c r="AE93" s="87">
        <v>64.363462528498928</v>
      </c>
      <c r="AF93" s="87">
        <v>64.856086907828427</v>
      </c>
      <c r="AG93" s="88">
        <v>5.2815226011102299</v>
      </c>
      <c r="AH93" s="88">
        <v>7.0939973868265316</v>
      </c>
      <c r="AI93" s="88">
        <v>6.7209001748650499</v>
      </c>
      <c r="AJ93" s="43">
        <v>6.1496099128040385</v>
      </c>
      <c r="AK93" s="43">
        <v>5.1299107841602751</v>
      </c>
      <c r="AL93" s="47">
        <v>833.5</v>
      </c>
      <c r="AM93" s="47">
        <v>1069.5833333333333</v>
      </c>
      <c r="AN93" s="47">
        <v>833.5</v>
      </c>
      <c r="AO93" s="47">
        <v>1522</v>
      </c>
      <c r="AP93" s="47">
        <v>1567.5000000000002</v>
      </c>
      <c r="AQ93" s="47">
        <v>41160.581558533115</v>
      </c>
      <c r="AR93" s="47">
        <v>41554.174015643977</v>
      </c>
      <c r="AS93" s="47">
        <v>44280.057319352127</v>
      </c>
      <c r="AT93" s="47">
        <v>46345.241998584577</v>
      </c>
      <c r="AU93" s="47">
        <v>51997.576992753624</v>
      </c>
      <c r="AV93" s="50" t="s">
        <v>158</v>
      </c>
      <c r="AW93" s="50" t="s">
        <v>158</v>
      </c>
      <c r="AX93" s="50" t="s">
        <v>158</v>
      </c>
      <c r="AY93" s="50" t="s">
        <v>158</v>
      </c>
      <c r="AZ93" s="50" t="s">
        <v>158</v>
      </c>
      <c r="BA93" s="83">
        <v>10.341319026917029</v>
      </c>
      <c r="BB93" s="46">
        <v>10.298909858164341</v>
      </c>
      <c r="BC93" s="46">
        <v>10.728722082966375</v>
      </c>
      <c r="BD93" s="46">
        <v>11.249543629061701</v>
      </c>
      <c r="BE93" s="46">
        <v>10.327229060342239</v>
      </c>
      <c r="BF93" s="83">
        <v>12.334987855106135</v>
      </c>
      <c r="BG93" s="46">
        <v>13.40069401918759</v>
      </c>
      <c r="BH93" s="46">
        <v>15.523429710867397</v>
      </c>
      <c r="BI93" s="46">
        <v>15.895719212822073</v>
      </c>
      <c r="BJ93" s="46">
        <v>15.009303287161464</v>
      </c>
      <c r="BK93" s="42">
        <v>7714</v>
      </c>
      <c r="BL93" s="42">
        <v>7533</v>
      </c>
      <c r="BM93" s="42">
        <v>7412</v>
      </c>
      <c r="BN93" s="42">
        <v>7349</v>
      </c>
      <c r="BO93" s="43">
        <v>39.655172413793103</v>
      </c>
      <c r="BP93" s="43">
        <v>42.453205894066109</v>
      </c>
      <c r="BQ93" s="88">
        <v>40.744738262277387</v>
      </c>
      <c r="BR93" s="88">
        <v>42.373111988025585</v>
      </c>
      <c r="BS93" s="89">
        <v>2.3463831993777546</v>
      </c>
      <c r="BT93" s="89">
        <v>2.2832868711004912</v>
      </c>
      <c r="BU93" s="87">
        <v>2.6173772261198058</v>
      </c>
      <c r="BV93" s="87">
        <v>2.6806368213362362</v>
      </c>
      <c r="BW93" s="43">
        <v>16.528389940368161</v>
      </c>
      <c r="BX93" s="43">
        <v>17.04500199123855</v>
      </c>
      <c r="BY93" s="43">
        <v>16.972477064220183</v>
      </c>
      <c r="BZ93" s="43">
        <v>17.403728398421553</v>
      </c>
      <c r="CA93" s="42">
        <v>85.536159600997507</v>
      </c>
      <c r="CB93" s="42">
        <v>87.5</v>
      </c>
      <c r="CC93" s="42">
        <v>85.050798258345424</v>
      </c>
      <c r="CD93" s="44">
        <v>86.882716049382722</v>
      </c>
      <c r="CE93" s="43">
        <v>6.7331670822942646</v>
      </c>
      <c r="CF93" s="43">
        <v>1.3157894736842106</v>
      </c>
      <c r="CG93" s="43">
        <v>2.0319303338171264</v>
      </c>
      <c r="CH93" s="44">
        <v>1.6975308641975309</v>
      </c>
      <c r="CI93" s="42">
        <v>2742</v>
      </c>
      <c r="CJ93" s="49">
        <v>2525</v>
      </c>
      <c r="CK93" s="54">
        <v>2634</v>
      </c>
      <c r="CL93" s="54">
        <v>2602</v>
      </c>
      <c r="CM93" s="88">
        <v>11</v>
      </c>
      <c r="CN93" s="88">
        <v>10.3</v>
      </c>
      <c r="CO93" s="88">
        <v>11.1</v>
      </c>
      <c r="CP93" s="88">
        <v>11.5</v>
      </c>
      <c r="CQ93" s="53">
        <v>83</v>
      </c>
      <c r="CR93" s="53">
        <v>82</v>
      </c>
      <c r="CS93" s="53">
        <v>109</v>
      </c>
      <c r="CT93" s="53">
        <v>81</v>
      </c>
      <c r="CU93" s="88">
        <v>3.1</v>
      </c>
      <c r="CV93" s="88">
        <v>3.3</v>
      </c>
      <c r="CW93" s="88">
        <v>4.3</v>
      </c>
      <c r="CX93" s="88">
        <v>3.2</v>
      </c>
      <c r="CY93" s="51">
        <v>150</v>
      </c>
      <c r="CZ93" s="53">
        <v>163</v>
      </c>
      <c r="DA93" s="53">
        <v>169</v>
      </c>
      <c r="DB93" s="53">
        <v>168</v>
      </c>
      <c r="DC93" s="88">
        <v>6.1</v>
      </c>
      <c r="DD93" s="88">
        <v>6.9</v>
      </c>
      <c r="DE93" s="88">
        <v>7.5</v>
      </c>
      <c r="DF93" s="88">
        <v>7.5</v>
      </c>
      <c r="DG93" s="88">
        <v>84.6</v>
      </c>
      <c r="DH93" s="88">
        <v>84.5</v>
      </c>
      <c r="DI93" s="88">
        <v>86.5</v>
      </c>
      <c r="DJ93" s="88">
        <v>87.6</v>
      </c>
      <c r="DK93" s="88">
        <v>14.2</v>
      </c>
      <c r="DL93" s="88">
        <v>16.100000000000001</v>
      </c>
      <c r="DM93" s="88">
        <v>16.2</v>
      </c>
      <c r="DN93" s="88">
        <v>17.354415734670265</v>
      </c>
      <c r="DO93" s="88">
        <v>19.3</v>
      </c>
      <c r="DP93" s="88">
        <v>26.1</v>
      </c>
      <c r="DQ93" s="88">
        <v>30.4</v>
      </c>
      <c r="DR93" s="88">
        <v>34.4</v>
      </c>
      <c r="DS93" s="88">
        <v>31.41017216454199</v>
      </c>
      <c r="DT93" s="88">
        <v>30.316949931097842</v>
      </c>
      <c r="DU93" s="88">
        <v>25.63458155315406</v>
      </c>
      <c r="DV93" s="88">
        <v>28.848900314195944</v>
      </c>
      <c r="DW93" s="54">
        <v>496</v>
      </c>
      <c r="DX93" s="54">
        <v>2</v>
      </c>
      <c r="DY93" s="51">
        <v>9</v>
      </c>
      <c r="DZ93" s="53">
        <v>10</v>
      </c>
      <c r="EA93" s="53">
        <v>38</v>
      </c>
      <c r="EB93" s="75">
        <v>19</v>
      </c>
      <c r="EC93" s="75">
        <v>12</v>
      </c>
      <c r="ED93" s="75">
        <v>11</v>
      </c>
      <c r="EE93" s="75">
        <v>12</v>
      </c>
      <c r="EF93" s="75">
        <f t="shared" ref="EF93:EI93" si="8">EF9+EF15+EF40+EF79+EF90</f>
        <v>3255</v>
      </c>
      <c r="EG93" s="75">
        <f t="shared" si="8"/>
        <v>3203</v>
      </c>
      <c r="EH93" s="75">
        <f t="shared" si="8"/>
        <v>2856</v>
      </c>
      <c r="EI93" s="75">
        <f t="shared" si="8"/>
        <v>2751</v>
      </c>
      <c r="EJ93" s="75">
        <f>EJ9+EJ15+EJ40+EJ79+EJ90</f>
        <v>520</v>
      </c>
      <c r="EK93" s="75">
        <f t="shared" ref="EK93:EN93" si="9">EK9+EK15+EK40+EK79+EK90</f>
        <v>1</v>
      </c>
      <c r="EL93" s="75">
        <f t="shared" si="9"/>
        <v>1</v>
      </c>
      <c r="EM93" s="75">
        <f t="shared" si="9"/>
        <v>0</v>
      </c>
      <c r="EN93" s="75">
        <f t="shared" si="9"/>
        <v>5</v>
      </c>
      <c r="EO93" s="88">
        <v>1307.7908980967725</v>
      </c>
      <c r="EP93" s="88">
        <v>1300.9959544428016</v>
      </c>
      <c r="EQ93" s="88">
        <v>1203.7630239066661</v>
      </c>
      <c r="ER93" s="88">
        <v>1227.952051921676</v>
      </c>
      <c r="ES93" s="88">
        <v>762.2</v>
      </c>
      <c r="ET93" s="88">
        <v>744.2</v>
      </c>
      <c r="EU93" s="88">
        <v>659.3</v>
      </c>
      <c r="EV93" s="43">
        <v>656</v>
      </c>
      <c r="EW93" s="43">
        <v>964.45509407480472</v>
      </c>
      <c r="EX93" s="43">
        <v>919.14004424574864</v>
      </c>
      <c r="EY93" s="43">
        <v>813.41086677473197</v>
      </c>
      <c r="EZ93" s="88">
        <v>778.86760263053429</v>
      </c>
      <c r="FA93" s="88">
        <v>598.44964988128027</v>
      </c>
      <c r="FB93" s="88">
        <v>601.12572204446997</v>
      </c>
      <c r="FC93" s="88">
        <v>542.06329952461715</v>
      </c>
      <c r="FD93" s="88">
        <v>556.14248649778187</v>
      </c>
      <c r="FE93" s="51">
        <v>766</v>
      </c>
      <c r="FF93" s="54">
        <v>747</v>
      </c>
      <c r="FG93" s="54">
        <v>671</v>
      </c>
      <c r="FH93" s="54">
        <v>620</v>
      </c>
      <c r="FI93" s="88">
        <v>192.98259999999999</v>
      </c>
      <c r="FJ93" s="88">
        <v>193.76779999999999</v>
      </c>
      <c r="FK93" s="88">
        <v>173.62540000000001</v>
      </c>
      <c r="FL93" s="88">
        <v>162.73390000000001</v>
      </c>
      <c r="FM93" s="54">
        <v>1133</v>
      </c>
      <c r="FN93" s="54">
        <v>908</v>
      </c>
      <c r="FO93" s="51">
        <v>731</v>
      </c>
      <c r="FP93" s="54">
        <v>652</v>
      </c>
      <c r="FQ93" s="88">
        <v>250.82300000000001</v>
      </c>
      <c r="FR93" s="88">
        <v>198.74</v>
      </c>
      <c r="FS93" s="88">
        <v>154.58529999999999</v>
      </c>
      <c r="FT93" s="88">
        <v>142.916</v>
      </c>
      <c r="FU93" s="46">
        <v>295</v>
      </c>
      <c r="FV93" s="46">
        <v>267</v>
      </c>
      <c r="FW93" s="46">
        <v>221</v>
      </c>
      <c r="FX93" s="46">
        <v>171</v>
      </c>
      <c r="FY93" s="88">
        <v>62.830750000000002</v>
      </c>
      <c r="FZ93" s="43">
        <v>53.546779999999998</v>
      </c>
      <c r="GA93" s="43">
        <v>44.322949999999999</v>
      </c>
      <c r="GB93" s="43">
        <v>35.027180000000001</v>
      </c>
      <c r="GC93" s="59">
        <v>123</v>
      </c>
      <c r="GD93" s="56">
        <v>135</v>
      </c>
      <c r="GE93" s="59">
        <v>141</v>
      </c>
      <c r="GF93" s="59">
        <v>144</v>
      </c>
      <c r="GG93" s="65">
        <v>39.579700000000003</v>
      </c>
      <c r="GH93" s="65">
        <v>42.943730000000002</v>
      </c>
      <c r="GI93" s="91">
        <v>44.752830000000003</v>
      </c>
      <c r="GJ93" s="65">
        <v>46.596409999999999</v>
      </c>
      <c r="GK93" s="59"/>
      <c r="GL93" s="59"/>
      <c r="GM93" s="59"/>
      <c r="GN93" s="56"/>
      <c r="GO93" s="59"/>
      <c r="GP93" s="59"/>
      <c r="GQ93" s="59"/>
      <c r="GR93" s="59"/>
      <c r="GS93" s="56"/>
      <c r="GT93" s="59"/>
      <c r="GU93" s="59"/>
      <c r="GV93" s="59"/>
      <c r="GW93" s="59"/>
      <c r="GX93" s="56"/>
      <c r="GY93" s="56"/>
      <c r="GZ93" s="56"/>
      <c r="HA93" s="56"/>
      <c r="HB93" s="56"/>
      <c r="HC93" s="56"/>
      <c r="HD93" s="57"/>
      <c r="HE93" s="57"/>
      <c r="HF93" s="57"/>
      <c r="HG93" s="57"/>
      <c r="HH93" s="57"/>
      <c r="HI93" s="58"/>
      <c r="HJ93" s="58"/>
      <c r="HK93" s="55"/>
      <c r="HL93" s="56"/>
      <c r="HM93" s="56"/>
      <c r="HN93" s="56"/>
      <c r="HO93" s="56"/>
      <c r="HP93" s="56"/>
      <c r="HQ93" s="56"/>
      <c r="HR93" s="56"/>
      <c r="HS93" s="56"/>
      <c r="HT93" s="56"/>
      <c r="HU93" s="38"/>
    </row>
    <row r="94" spans="1:229" x14ac:dyDescent="0.2">
      <c r="A94" s="76" t="s">
        <v>453</v>
      </c>
      <c r="B94" s="74" t="s">
        <v>488</v>
      </c>
      <c r="C94" s="75">
        <f>C11+C55</f>
        <v>57889</v>
      </c>
      <c r="D94" s="75">
        <f>D11+D55</f>
        <v>57827</v>
      </c>
      <c r="E94" s="75">
        <f>E11+E55</f>
        <v>58620</v>
      </c>
      <c r="F94" s="75">
        <f>F11+F55</f>
        <v>58554</v>
      </c>
      <c r="G94" s="150">
        <v>58354</v>
      </c>
      <c r="H94" s="75">
        <v>56123</v>
      </c>
      <c r="I94" s="75">
        <v>827</v>
      </c>
      <c r="J94" s="75">
        <v>177</v>
      </c>
      <c r="K94" s="75">
        <v>643</v>
      </c>
      <c r="L94" s="75">
        <v>2150</v>
      </c>
      <c r="M94" s="75">
        <f t="shared" ref="M94:O94" si="10">M11+M55</f>
        <v>22921</v>
      </c>
      <c r="N94" s="75">
        <f t="shared" si="10"/>
        <v>22992</v>
      </c>
      <c r="O94" s="75">
        <f t="shared" si="10"/>
        <v>22983</v>
      </c>
      <c r="P94" s="44">
        <v>23099</v>
      </c>
      <c r="Q94" s="44">
        <v>23081</v>
      </c>
      <c r="R94" s="87">
        <v>22.760514228528905</v>
      </c>
      <c r="S94" s="87">
        <v>22.791875549123986</v>
      </c>
      <c r="T94" s="87">
        <v>22.613245780536602</v>
      </c>
      <c r="U94" s="87">
        <v>23.016056518946691</v>
      </c>
      <c r="V94" s="87">
        <v>24.043829356321243</v>
      </c>
      <c r="W94" s="87">
        <v>25.783274742757435</v>
      </c>
      <c r="X94" s="87">
        <v>26.639619618584941</v>
      </c>
      <c r="Y94" s="87">
        <v>27.748422510644847</v>
      </c>
      <c r="Z94" s="87">
        <v>27.411689145793193</v>
      </c>
      <c r="AA94" s="42">
        <v>27.473840002077221</v>
      </c>
      <c r="AB94" s="87">
        <v>48.54378897128634</v>
      </c>
      <c r="AC94" s="87">
        <v>49.431495167708924</v>
      </c>
      <c r="AD94" s="87">
        <v>50.361668291181452</v>
      </c>
      <c r="AE94" s="87">
        <v>50.427745664739888</v>
      </c>
      <c r="AF94" s="87">
        <v>51.517669358398464</v>
      </c>
      <c r="AG94" s="88">
        <v>5.0086009174311927</v>
      </c>
      <c r="AH94" s="88">
        <v>6.9713113586507509</v>
      </c>
      <c r="AI94" s="88">
        <v>6.3715056052220804</v>
      </c>
      <c r="AJ94" s="43">
        <v>5.5100310822266181</v>
      </c>
      <c r="AK94" s="43">
        <v>5.0606476713582786</v>
      </c>
      <c r="AL94" s="47">
        <v>1001.6666666666666</v>
      </c>
      <c r="AM94" s="47">
        <v>1321.3333333333335</v>
      </c>
      <c r="AN94" s="47">
        <v>1001.6666666666666</v>
      </c>
      <c r="AO94" s="47">
        <v>1913.0833333333335</v>
      </c>
      <c r="AP94" s="47">
        <v>1957.1666666666665</v>
      </c>
      <c r="AQ94" s="47">
        <v>39903.255237087367</v>
      </c>
      <c r="AR94" s="47">
        <v>38673.524253461423</v>
      </c>
      <c r="AS94" s="47">
        <v>39418.016077184126</v>
      </c>
      <c r="AT94" s="47">
        <v>41172.042173765862</v>
      </c>
      <c r="AU94" s="47">
        <v>42465.692154779448</v>
      </c>
      <c r="AV94" s="50" t="s">
        <v>158</v>
      </c>
      <c r="AW94" s="50" t="s">
        <v>158</v>
      </c>
      <c r="AX94" s="50" t="s">
        <v>158</v>
      </c>
      <c r="AY94" s="50" t="s">
        <v>158</v>
      </c>
      <c r="AZ94" s="50" t="s">
        <v>158</v>
      </c>
      <c r="BA94" s="83">
        <v>9.8010736873069568</v>
      </c>
      <c r="BB94" s="46">
        <v>10.153908390489676</v>
      </c>
      <c r="BC94" s="46">
        <v>9.1522488228183807</v>
      </c>
      <c r="BD94" s="46">
        <v>9.2713794973784118</v>
      </c>
      <c r="BE94" s="46">
        <v>9.6012487068261425</v>
      </c>
      <c r="BF94" s="83">
        <v>9.9227227885563956</v>
      </c>
      <c r="BG94" s="46">
        <v>11.09768865265362</v>
      </c>
      <c r="BH94" s="46">
        <v>11.393684865453414</v>
      </c>
      <c r="BI94" s="46">
        <v>11.772612270714738</v>
      </c>
      <c r="BJ94" s="46">
        <v>10.886035569024644</v>
      </c>
      <c r="BK94" s="42">
        <v>5897</v>
      </c>
      <c r="BL94" s="42">
        <v>5917</v>
      </c>
      <c r="BM94" s="42">
        <v>5967</v>
      </c>
      <c r="BN94" s="42">
        <v>5935</v>
      </c>
      <c r="BO94" s="43">
        <v>34.23774800746142</v>
      </c>
      <c r="BP94" s="43">
        <v>36.471184721987491</v>
      </c>
      <c r="BQ94" s="88">
        <v>37.372213842802076</v>
      </c>
      <c r="BR94" s="88">
        <v>38.652064026958719</v>
      </c>
      <c r="BS94" s="89">
        <v>2.7980328980837714</v>
      </c>
      <c r="BT94" s="89">
        <v>2.9237789420314351</v>
      </c>
      <c r="BU94" s="87">
        <v>2.8825205295793532</v>
      </c>
      <c r="BV94" s="87">
        <v>3.3866891322662172</v>
      </c>
      <c r="BW94" s="43">
        <v>17.534339494658301</v>
      </c>
      <c r="BX94" s="43">
        <v>18.489099205678553</v>
      </c>
      <c r="BY94" s="43">
        <v>18.300653594771241</v>
      </c>
      <c r="BZ94" s="43">
        <v>18.062342038753158</v>
      </c>
      <c r="CA94" s="42">
        <v>83.77896613190731</v>
      </c>
      <c r="CB94" s="42">
        <v>80.582524271844662</v>
      </c>
      <c r="CC94" s="42">
        <v>85.887096774193552</v>
      </c>
      <c r="CD94" s="44">
        <v>84.274193548387103</v>
      </c>
      <c r="CE94" s="43">
        <v>4.6345811051693406</v>
      </c>
      <c r="CF94" s="43">
        <v>4.8543689320388346</v>
      </c>
      <c r="CG94" s="43">
        <v>3.8306451612903225</v>
      </c>
      <c r="CH94" s="44">
        <v>6.653225806451613</v>
      </c>
      <c r="CI94" s="42">
        <v>3215</v>
      </c>
      <c r="CJ94" s="49">
        <v>3234</v>
      </c>
      <c r="CK94" s="54">
        <v>3474</v>
      </c>
      <c r="CL94" s="54">
        <v>3381</v>
      </c>
      <c r="CM94" s="88">
        <v>11.3</v>
      </c>
      <c r="CN94" s="88">
        <v>11.4</v>
      </c>
      <c r="CO94" s="88">
        <v>12.1</v>
      </c>
      <c r="CP94" s="88">
        <v>11.6</v>
      </c>
      <c r="CQ94" s="53">
        <v>135</v>
      </c>
      <c r="CR94" s="53">
        <v>115</v>
      </c>
      <c r="CS94" s="53">
        <v>147</v>
      </c>
      <c r="CT94" s="53">
        <v>119</v>
      </c>
      <c r="CU94" s="88">
        <v>4.3</v>
      </c>
      <c r="CV94" s="88">
        <v>3.7</v>
      </c>
      <c r="CW94" s="88">
        <v>4.4000000000000004</v>
      </c>
      <c r="CX94" s="88">
        <v>3.7</v>
      </c>
      <c r="CY94" s="51">
        <v>206</v>
      </c>
      <c r="CZ94" s="53">
        <v>197</v>
      </c>
      <c r="DA94" s="53">
        <v>293</v>
      </c>
      <c r="DB94" s="53">
        <v>227</v>
      </c>
      <c r="DC94" s="88">
        <v>7</v>
      </c>
      <c r="DD94" s="88">
        <v>6.5</v>
      </c>
      <c r="DE94" s="88">
        <v>9</v>
      </c>
      <c r="DF94" s="88">
        <v>7.1</v>
      </c>
      <c r="DG94" s="88">
        <v>86.9</v>
      </c>
      <c r="DH94" s="88">
        <v>87.5</v>
      </c>
      <c r="DI94" s="88">
        <v>89.6</v>
      </c>
      <c r="DJ94" s="88">
        <v>89.8</v>
      </c>
      <c r="DK94" s="88">
        <v>11.7</v>
      </c>
      <c r="DL94" s="88">
        <v>12.6</v>
      </c>
      <c r="DM94" s="88">
        <v>10.6</v>
      </c>
      <c r="DN94" s="88">
        <v>11.367673179396093</v>
      </c>
      <c r="DO94" s="88">
        <v>20.7</v>
      </c>
      <c r="DP94" s="88">
        <v>23.4</v>
      </c>
      <c r="DQ94" s="88">
        <v>27.7</v>
      </c>
      <c r="DR94" s="88">
        <v>31.5</v>
      </c>
      <c r="DS94" s="88">
        <v>19.916942113738454</v>
      </c>
      <c r="DT94" s="88">
        <v>18.988739236034444</v>
      </c>
      <c r="DU94" s="88">
        <v>17.907706436060305</v>
      </c>
      <c r="DV94" s="88">
        <v>15.548003398470689</v>
      </c>
      <c r="DW94" s="54">
        <v>566</v>
      </c>
      <c r="DX94" s="54">
        <v>26</v>
      </c>
      <c r="DY94" s="51">
        <v>3</v>
      </c>
      <c r="DZ94" s="53">
        <v>9</v>
      </c>
      <c r="EA94" s="53">
        <v>33</v>
      </c>
      <c r="EB94" s="75">
        <v>24</v>
      </c>
      <c r="EC94" s="75">
        <v>10</v>
      </c>
      <c r="ED94" s="75">
        <v>17</v>
      </c>
      <c r="EE94" s="75">
        <v>19</v>
      </c>
      <c r="EF94" s="75">
        <f t="shared" ref="EF94:EI94" si="11">EF11+EF55</f>
        <v>2234</v>
      </c>
      <c r="EG94" s="75">
        <f t="shared" si="11"/>
        <v>2278</v>
      </c>
      <c r="EH94" s="75">
        <f t="shared" si="11"/>
        <v>2409</v>
      </c>
      <c r="EI94" s="75">
        <f t="shared" si="11"/>
        <v>2435</v>
      </c>
      <c r="EJ94" s="75">
        <f>EJ11+EJ55</f>
        <v>502</v>
      </c>
      <c r="EK94" s="75">
        <f t="shared" ref="EK94:EN94" si="12">EK11+EK55</f>
        <v>0</v>
      </c>
      <c r="EL94" s="75">
        <f t="shared" si="12"/>
        <v>0</v>
      </c>
      <c r="EM94" s="75">
        <f t="shared" si="12"/>
        <v>0</v>
      </c>
      <c r="EN94" s="75">
        <f t="shared" si="12"/>
        <v>2</v>
      </c>
      <c r="EO94" s="88">
        <v>785.58794259651938</v>
      </c>
      <c r="EP94" s="88">
        <v>803.77399766418614</v>
      </c>
      <c r="EQ94" s="88">
        <v>837.68286279596214</v>
      </c>
      <c r="ER94" s="88">
        <v>830.00558203443688</v>
      </c>
      <c r="ES94" s="88">
        <v>678.9</v>
      </c>
      <c r="ET94" s="88">
        <v>693.1</v>
      </c>
      <c r="EU94" s="88">
        <v>662.8</v>
      </c>
      <c r="EV94" s="43">
        <v>619.9</v>
      </c>
      <c r="EW94" s="43">
        <v>853.85080686679692</v>
      </c>
      <c r="EX94" s="43">
        <v>872.89423932766113</v>
      </c>
      <c r="EY94" s="43">
        <v>758.0418959666747</v>
      </c>
      <c r="EZ94" s="88">
        <v>765.97417273346036</v>
      </c>
      <c r="FA94" s="88">
        <v>560.57883635799055</v>
      </c>
      <c r="FB94" s="88">
        <v>563.58217997900351</v>
      </c>
      <c r="FC94" s="88">
        <v>582.62330425522032</v>
      </c>
      <c r="FD94" s="88">
        <v>503.80896714735286</v>
      </c>
      <c r="FE94" s="51">
        <v>533</v>
      </c>
      <c r="FF94" s="54">
        <v>588</v>
      </c>
      <c r="FG94" s="54">
        <v>594</v>
      </c>
      <c r="FH94" s="54">
        <v>552</v>
      </c>
      <c r="FI94" s="88">
        <v>168.55240000000001</v>
      </c>
      <c r="FJ94" s="88">
        <v>189.3929</v>
      </c>
      <c r="FK94" s="88">
        <v>173.22839999999999</v>
      </c>
      <c r="FL94" s="88">
        <v>149.70769999999999</v>
      </c>
      <c r="FM94" s="54">
        <v>729</v>
      </c>
      <c r="FN94" s="54">
        <v>606</v>
      </c>
      <c r="FO94" s="51">
        <v>562</v>
      </c>
      <c r="FP94" s="54">
        <v>496</v>
      </c>
      <c r="FQ94" s="88">
        <v>218.05500000000001</v>
      </c>
      <c r="FR94" s="88">
        <v>178.08799999999999</v>
      </c>
      <c r="FS94" s="88">
        <v>148.21969999999999</v>
      </c>
      <c r="FT94" s="88">
        <v>119.8661</v>
      </c>
      <c r="FU94" s="46">
        <v>195</v>
      </c>
      <c r="FV94" s="46">
        <v>161</v>
      </c>
      <c r="FW94" s="46">
        <v>166</v>
      </c>
      <c r="FX94" s="46">
        <v>155</v>
      </c>
      <c r="FY94" s="88">
        <v>56.80688</v>
      </c>
      <c r="FZ94" s="43">
        <v>46.924390000000002</v>
      </c>
      <c r="GA94" s="43">
        <v>42.426209999999998</v>
      </c>
      <c r="GB94" s="43">
        <v>35.664380000000001</v>
      </c>
      <c r="GC94" s="59">
        <v>59</v>
      </c>
      <c r="GD94" s="56">
        <v>71</v>
      </c>
      <c r="GE94" s="59">
        <v>107</v>
      </c>
      <c r="GF94" s="59">
        <v>96</v>
      </c>
      <c r="GG94" s="65">
        <v>19.228359999999999</v>
      </c>
      <c r="GH94" s="65">
        <v>21.970980000000001</v>
      </c>
      <c r="GI94" s="91">
        <v>30.981030000000001</v>
      </c>
      <c r="GJ94" s="65">
        <v>28.244949999999999</v>
      </c>
      <c r="GK94" s="59"/>
      <c r="GL94" s="59"/>
      <c r="GM94" s="59"/>
      <c r="GN94" s="56"/>
      <c r="GO94" s="59"/>
      <c r="GP94" s="59"/>
      <c r="GQ94" s="59"/>
      <c r="GR94" s="59"/>
      <c r="GS94" s="56"/>
      <c r="GT94" s="59"/>
      <c r="GU94" s="59"/>
      <c r="GV94" s="59"/>
      <c r="GW94" s="59"/>
      <c r="GX94" s="56"/>
      <c r="GY94" s="56"/>
      <c r="GZ94" s="56"/>
      <c r="HA94" s="56"/>
      <c r="HB94" s="56"/>
      <c r="HC94" s="56"/>
      <c r="HD94" s="57"/>
      <c r="HE94" s="57"/>
      <c r="HF94" s="57"/>
      <c r="HG94" s="57"/>
      <c r="HH94" s="57"/>
      <c r="HI94" s="58"/>
      <c r="HJ94" s="58"/>
      <c r="HK94" s="55"/>
      <c r="HL94" s="56"/>
      <c r="HM94" s="56"/>
      <c r="HN94" s="56"/>
      <c r="HO94" s="56"/>
      <c r="HP94" s="56"/>
      <c r="HQ94" s="56"/>
      <c r="HR94" s="56"/>
      <c r="HS94" s="56"/>
      <c r="HT94" s="56"/>
      <c r="HU94" s="38"/>
    </row>
    <row r="95" spans="1:229" ht="24" x14ac:dyDescent="0.2">
      <c r="A95" s="76" t="s">
        <v>454</v>
      </c>
      <c r="B95" s="74" t="s">
        <v>489</v>
      </c>
      <c r="C95" s="75">
        <f>C12+C19+C41+C72</f>
        <v>246843</v>
      </c>
      <c r="D95" s="75">
        <f>D12+D19+D41+D72</f>
        <v>248176</v>
      </c>
      <c r="E95" s="75">
        <f>E12+E19+E41+E72</f>
        <v>251654</v>
      </c>
      <c r="F95" s="75">
        <f>F12+F19+F41+F72</f>
        <v>251752</v>
      </c>
      <c r="G95" s="150">
        <v>251670</v>
      </c>
      <c r="H95" s="75">
        <v>233193</v>
      </c>
      <c r="I95" s="75">
        <v>3518</v>
      </c>
      <c r="J95" s="75">
        <v>7187</v>
      </c>
      <c r="K95" s="75">
        <v>2243</v>
      </c>
      <c r="L95" s="75">
        <v>3360</v>
      </c>
      <c r="M95" s="75">
        <f t="shared" ref="M95:O95" si="13">M12+M19+M41+M72</f>
        <v>105442</v>
      </c>
      <c r="N95" s="75">
        <f t="shared" si="13"/>
        <v>105632</v>
      </c>
      <c r="O95" s="75">
        <f t="shared" si="13"/>
        <v>105640</v>
      </c>
      <c r="P95" s="44">
        <v>105931</v>
      </c>
      <c r="Q95" s="44">
        <v>106006</v>
      </c>
      <c r="R95" s="87">
        <v>23.358651297173324</v>
      </c>
      <c r="S95" s="87">
        <v>24.17403053964534</v>
      </c>
      <c r="T95" s="87">
        <v>23.973176865046103</v>
      </c>
      <c r="U95" s="87">
        <v>24.149112412081337</v>
      </c>
      <c r="V95" s="87">
        <v>25.027622996590193</v>
      </c>
      <c r="W95" s="87">
        <v>23.689869835880021</v>
      </c>
      <c r="X95" s="87">
        <v>24.205120233411854</v>
      </c>
      <c r="Y95" s="87">
        <v>24.577641878091686</v>
      </c>
      <c r="Z95" s="87">
        <v>24.274689447402089</v>
      </c>
      <c r="AA95" s="42">
        <v>24.475163064786322</v>
      </c>
      <c r="AB95" s="87">
        <v>47.048521133053349</v>
      </c>
      <c r="AC95" s="87">
        <v>48.379150773057191</v>
      </c>
      <c r="AD95" s="87">
        <v>48.550818743137789</v>
      </c>
      <c r="AE95" s="87">
        <v>48.423801859483426</v>
      </c>
      <c r="AF95" s="87">
        <v>49.502786061376518</v>
      </c>
      <c r="AG95" s="88">
        <v>6.2529430528762173</v>
      </c>
      <c r="AH95" s="88">
        <v>9.3505321349328714</v>
      </c>
      <c r="AI95" s="88">
        <v>7.9771568671420665</v>
      </c>
      <c r="AJ95" s="43">
        <v>7.3557434645387962</v>
      </c>
      <c r="AK95" s="43">
        <v>6.6528256256987062</v>
      </c>
      <c r="AL95" s="47">
        <v>8735.5833333333339</v>
      </c>
      <c r="AM95" s="47">
        <v>10909.75</v>
      </c>
      <c r="AN95" s="47">
        <v>8735.5833333333339</v>
      </c>
      <c r="AO95" s="47">
        <v>14619.416666666668</v>
      </c>
      <c r="AP95" s="47">
        <v>15236.666666666666</v>
      </c>
      <c r="AQ95" s="47">
        <v>37665.067088315467</v>
      </c>
      <c r="AR95" s="47">
        <v>37016.342031109765</v>
      </c>
      <c r="AS95" s="47">
        <v>37528.284958767763</v>
      </c>
      <c r="AT95" s="47">
        <v>38782.125081158876</v>
      </c>
      <c r="AU95" s="47">
        <v>39030.764832022876</v>
      </c>
      <c r="AV95" s="50" t="s">
        <v>158</v>
      </c>
      <c r="AW95" s="50" t="s">
        <v>158</v>
      </c>
      <c r="AX95" s="50" t="s">
        <v>158</v>
      </c>
      <c r="AY95" s="50" t="s">
        <v>158</v>
      </c>
      <c r="AZ95" s="50" t="s">
        <v>158</v>
      </c>
      <c r="BA95" s="83">
        <v>13.577761414470745</v>
      </c>
      <c r="BB95" s="46">
        <v>15.229497774952321</v>
      </c>
      <c r="BC95" s="46">
        <v>16.001971104273899</v>
      </c>
      <c r="BD95" s="46">
        <v>16.326133650069735</v>
      </c>
      <c r="BE95" s="46">
        <v>14.559326667384623</v>
      </c>
      <c r="BF95" s="83">
        <v>14.144339347472812</v>
      </c>
      <c r="BG95" s="46">
        <v>17.134471497664421</v>
      </c>
      <c r="BH95" s="46">
        <v>19.846633214632568</v>
      </c>
      <c r="BI95" s="46">
        <v>19.721754140808024</v>
      </c>
      <c r="BJ95" s="46">
        <v>16.888843102915423</v>
      </c>
      <c r="BK95" s="42">
        <v>33809</v>
      </c>
      <c r="BL95" s="42">
        <v>33423</v>
      </c>
      <c r="BM95" s="42">
        <v>33398</v>
      </c>
      <c r="BN95" s="42">
        <v>33390</v>
      </c>
      <c r="BO95" s="43">
        <v>38.20876098080393</v>
      </c>
      <c r="BP95" s="43">
        <v>39.284325165305326</v>
      </c>
      <c r="BQ95" s="88">
        <v>40.208994550571887</v>
      </c>
      <c r="BR95" s="88">
        <v>40.637915543575922</v>
      </c>
      <c r="BS95" s="89">
        <v>0.17450974592564111</v>
      </c>
      <c r="BT95" s="89">
        <v>0.11668611435239207</v>
      </c>
      <c r="BU95" s="87">
        <v>0.13473860710222169</v>
      </c>
      <c r="BV95" s="87">
        <v>0.14675052410901468</v>
      </c>
      <c r="BW95" s="43">
        <v>16.11996805584312</v>
      </c>
      <c r="BX95" s="43">
        <v>16.300152589534154</v>
      </c>
      <c r="BY95" s="43">
        <v>16.399185579974848</v>
      </c>
      <c r="BZ95" s="43">
        <v>16.244384546271338</v>
      </c>
      <c r="CA95" s="42">
        <v>78.940526486837825</v>
      </c>
      <c r="CB95" s="42">
        <v>77.577577577577571</v>
      </c>
      <c r="CC95" s="42">
        <v>77.218728162124393</v>
      </c>
      <c r="CD95" s="44">
        <v>80.226789510985114</v>
      </c>
      <c r="CE95" s="43">
        <v>6.7923301917452061</v>
      </c>
      <c r="CF95" s="43">
        <v>6.2062062062062058</v>
      </c>
      <c r="CG95" s="43">
        <v>6.8134171907756818</v>
      </c>
      <c r="CH95" s="44">
        <v>6.5201984408221119</v>
      </c>
      <c r="CI95" s="42">
        <v>12637</v>
      </c>
      <c r="CJ95" s="49">
        <v>12633</v>
      </c>
      <c r="CK95" s="54">
        <v>13401</v>
      </c>
      <c r="CL95" s="54">
        <v>13285</v>
      </c>
      <c r="CM95" s="88">
        <v>10.4</v>
      </c>
      <c r="CN95" s="88">
        <v>10.3</v>
      </c>
      <c r="CO95" s="88">
        <v>10.8</v>
      </c>
      <c r="CP95" s="88">
        <v>10.6</v>
      </c>
      <c r="CQ95" s="53">
        <v>510</v>
      </c>
      <c r="CR95" s="53">
        <v>577</v>
      </c>
      <c r="CS95" s="53">
        <v>576</v>
      </c>
      <c r="CT95" s="53">
        <v>587</v>
      </c>
      <c r="CU95" s="88">
        <v>4.0999999999999996</v>
      </c>
      <c r="CV95" s="88">
        <v>4.7</v>
      </c>
      <c r="CW95" s="88">
        <v>4.4000000000000004</v>
      </c>
      <c r="CX95" s="88">
        <v>4.5999999999999996</v>
      </c>
      <c r="CY95" s="51">
        <v>838</v>
      </c>
      <c r="CZ95" s="53">
        <v>949</v>
      </c>
      <c r="DA95" s="53">
        <v>1167</v>
      </c>
      <c r="DB95" s="53">
        <v>1002</v>
      </c>
      <c r="DC95" s="88">
        <v>7.2</v>
      </c>
      <c r="DD95" s="88">
        <v>8.3000000000000007</v>
      </c>
      <c r="DE95" s="88">
        <v>9.5</v>
      </c>
      <c r="DF95" s="88">
        <v>8.3000000000000007</v>
      </c>
      <c r="DG95" s="88">
        <v>87.8</v>
      </c>
      <c r="DH95" s="88">
        <v>87.5</v>
      </c>
      <c r="DI95" s="88">
        <v>88.6</v>
      </c>
      <c r="DJ95" s="88">
        <v>87.8</v>
      </c>
      <c r="DK95" s="88">
        <v>22.6</v>
      </c>
      <c r="DL95" s="88">
        <v>21.9</v>
      </c>
      <c r="DM95" s="88">
        <v>22.1</v>
      </c>
      <c r="DN95" s="88">
        <v>19.683344862039814</v>
      </c>
      <c r="DO95" s="88">
        <v>30.6</v>
      </c>
      <c r="DP95" s="88">
        <v>33.4</v>
      </c>
      <c r="DQ95" s="88">
        <v>38</v>
      </c>
      <c r="DR95" s="88">
        <v>39.700000000000003</v>
      </c>
      <c r="DS95" s="88">
        <v>30.224977775751636</v>
      </c>
      <c r="DT95" s="88">
        <v>26.058289937846464</v>
      </c>
      <c r="DU95" s="88">
        <v>24.677863493998696</v>
      </c>
      <c r="DV95" s="88">
        <v>20.59850594527693</v>
      </c>
      <c r="DW95" s="54">
        <v>2344</v>
      </c>
      <c r="DX95" s="54">
        <v>64</v>
      </c>
      <c r="DY95" s="51">
        <v>129</v>
      </c>
      <c r="DZ95" s="53">
        <v>37</v>
      </c>
      <c r="EA95" s="53">
        <v>45</v>
      </c>
      <c r="EB95" s="75">
        <v>93</v>
      </c>
      <c r="EC95" s="75">
        <v>82</v>
      </c>
      <c r="ED95" s="75">
        <v>67</v>
      </c>
      <c r="EE95" s="75">
        <v>63</v>
      </c>
      <c r="EF95" s="75">
        <f t="shared" ref="EF95:EI95" si="14">EF12+EF19+EF41+EF72</f>
        <v>13349</v>
      </c>
      <c r="EG95" s="75">
        <f t="shared" si="14"/>
        <v>13474</v>
      </c>
      <c r="EH95" s="75">
        <f t="shared" si="14"/>
        <v>13075</v>
      </c>
      <c r="EI95" s="75">
        <f t="shared" si="14"/>
        <v>13083</v>
      </c>
      <c r="EJ95" s="75">
        <f>EJ12+EJ19+EJ41+EJ72</f>
        <v>2596</v>
      </c>
      <c r="EK95" s="75">
        <f t="shared" ref="EK95:EN95" si="15">EK12+EK19+EK41+EK72</f>
        <v>20</v>
      </c>
      <c r="EL95" s="75">
        <f t="shared" si="15"/>
        <v>70</v>
      </c>
      <c r="EM95" s="75">
        <f t="shared" si="15"/>
        <v>5</v>
      </c>
      <c r="EN95" s="75">
        <f t="shared" si="15"/>
        <v>3</v>
      </c>
      <c r="EO95" s="88">
        <v>1101.2890584716922</v>
      </c>
      <c r="EP95" s="88">
        <v>1098.4370465299041</v>
      </c>
      <c r="EQ95" s="88">
        <v>1056.542604727008</v>
      </c>
      <c r="ER95" s="88">
        <v>1040.2383754413202</v>
      </c>
      <c r="ES95" s="88">
        <v>895.8</v>
      </c>
      <c r="ET95" s="88">
        <v>854.1</v>
      </c>
      <c r="EU95" s="88">
        <v>782.5</v>
      </c>
      <c r="EV95" s="43">
        <v>762.4</v>
      </c>
      <c r="EW95" s="43">
        <v>1128.6676539061293</v>
      </c>
      <c r="EX95" s="43">
        <v>1043.0687592192389</v>
      </c>
      <c r="EY95" s="43">
        <v>944.30351303783345</v>
      </c>
      <c r="EZ95" s="88">
        <v>910.8254416528639</v>
      </c>
      <c r="FA95" s="88">
        <v>731.64451501033</v>
      </c>
      <c r="FB95" s="88">
        <v>708.46416654297434</v>
      </c>
      <c r="FC95" s="88">
        <v>658.33138087145949</v>
      </c>
      <c r="FD95" s="88">
        <v>641.85898529379949</v>
      </c>
      <c r="FE95" s="51">
        <v>2946</v>
      </c>
      <c r="FF95" s="54">
        <v>3042</v>
      </c>
      <c r="FG95" s="54">
        <v>3119</v>
      </c>
      <c r="FH95" s="54">
        <v>3073</v>
      </c>
      <c r="FI95" s="88">
        <v>197.88069999999999</v>
      </c>
      <c r="FJ95" s="88">
        <v>197.48560000000001</v>
      </c>
      <c r="FK95" s="88">
        <v>195.07300000000001</v>
      </c>
      <c r="FL95" s="88">
        <v>184.0754</v>
      </c>
      <c r="FM95" s="54">
        <v>4069</v>
      </c>
      <c r="FN95" s="54">
        <v>3489</v>
      </c>
      <c r="FO95" s="51">
        <v>3164</v>
      </c>
      <c r="FP95" s="54">
        <v>2789</v>
      </c>
      <c r="FQ95" s="88">
        <v>267.8734</v>
      </c>
      <c r="FR95" s="88">
        <v>215.2585</v>
      </c>
      <c r="FS95" s="88">
        <v>181.10579999999999</v>
      </c>
      <c r="FT95" s="88">
        <v>157.10640000000001</v>
      </c>
      <c r="FU95" s="46">
        <v>1063</v>
      </c>
      <c r="FV95" s="46">
        <v>981</v>
      </c>
      <c r="FW95" s="46">
        <v>763</v>
      </c>
      <c r="FX95" s="46">
        <v>618</v>
      </c>
      <c r="FY95" s="88">
        <v>69.108419999999995</v>
      </c>
      <c r="FZ95" s="43">
        <v>58.798029999999997</v>
      </c>
      <c r="GA95" s="43">
        <v>42.968429999999998</v>
      </c>
      <c r="GB95" s="43">
        <v>33.493319999999997</v>
      </c>
      <c r="GC95" s="59">
        <v>495</v>
      </c>
      <c r="GD95" s="56">
        <v>586</v>
      </c>
      <c r="GE95" s="59">
        <v>594</v>
      </c>
      <c r="GF95" s="59">
        <v>657</v>
      </c>
      <c r="GG95" s="65">
        <v>37.49324</v>
      </c>
      <c r="GH95" s="65">
        <v>41.887659999999997</v>
      </c>
      <c r="GI95" s="91">
        <v>41.307369999999999</v>
      </c>
      <c r="GJ95" s="65">
        <v>43.746160000000003</v>
      </c>
      <c r="GK95" s="59"/>
      <c r="GL95" s="59"/>
      <c r="GM95" s="59"/>
      <c r="GN95" s="56"/>
      <c r="GO95" s="59"/>
      <c r="GP95" s="59"/>
      <c r="GQ95" s="59"/>
      <c r="GR95" s="59"/>
      <c r="GS95" s="56"/>
      <c r="GT95" s="59"/>
      <c r="GU95" s="59"/>
      <c r="GV95" s="59"/>
      <c r="GW95" s="59"/>
      <c r="GX95" s="56"/>
      <c r="GY95" s="56"/>
      <c r="GZ95" s="56"/>
      <c r="HA95" s="56"/>
      <c r="HB95" s="56"/>
      <c r="HC95" s="56"/>
      <c r="HD95" s="57"/>
      <c r="HE95" s="57"/>
      <c r="HF95" s="57"/>
      <c r="HG95" s="57"/>
      <c r="HH95" s="57"/>
      <c r="HI95" s="58"/>
      <c r="HJ95" s="58"/>
      <c r="HK95" s="55"/>
      <c r="HL95" s="56"/>
      <c r="HM95" s="56"/>
      <c r="HN95" s="56"/>
      <c r="HO95" s="56"/>
      <c r="HP95" s="56"/>
      <c r="HQ95" s="56"/>
      <c r="HR95" s="56"/>
      <c r="HS95" s="56"/>
      <c r="HT95" s="56"/>
      <c r="HU95" s="38"/>
    </row>
    <row r="96" spans="1:229" x14ac:dyDescent="0.2">
      <c r="A96" s="76" t="s">
        <v>455</v>
      </c>
      <c r="B96" s="74" t="s">
        <v>490</v>
      </c>
      <c r="C96" s="75">
        <f>C20+C35</f>
        <v>22017</v>
      </c>
      <c r="D96" s="75">
        <f>D20+D35</f>
        <v>21902</v>
      </c>
      <c r="E96" s="75">
        <f>E20+E35</f>
        <v>21953</v>
      </c>
      <c r="F96" s="75">
        <f>F20+F35</f>
        <v>21888</v>
      </c>
      <c r="G96" s="150">
        <v>21878</v>
      </c>
      <c r="H96" s="75">
        <v>20843</v>
      </c>
      <c r="I96" s="75">
        <v>150</v>
      </c>
      <c r="J96" s="75">
        <v>67</v>
      </c>
      <c r="K96" s="75">
        <v>538</v>
      </c>
      <c r="L96" s="75">
        <v>1086</v>
      </c>
      <c r="M96" s="75">
        <f t="shared" ref="M96:O96" si="16">M20+M35</f>
        <v>9380</v>
      </c>
      <c r="N96" s="75">
        <f t="shared" si="16"/>
        <v>9344</v>
      </c>
      <c r="O96" s="75">
        <f t="shared" si="16"/>
        <v>9286</v>
      </c>
      <c r="P96" s="44">
        <v>9282</v>
      </c>
      <c r="Q96" s="44">
        <v>9303</v>
      </c>
      <c r="R96" s="87">
        <v>32.821973847614871</v>
      </c>
      <c r="S96" s="87">
        <v>33.24617108703773</v>
      </c>
      <c r="T96" s="87">
        <v>34.132730015082956</v>
      </c>
      <c r="U96" s="87">
        <v>34.07821229050279</v>
      </c>
      <c r="V96" s="87">
        <v>35.069576458064027</v>
      </c>
      <c r="W96" s="87">
        <v>28.015194681861349</v>
      </c>
      <c r="X96" s="87">
        <v>30.384759058647742</v>
      </c>
      <c r="Y96" s="87">
        <v>31.425339366515836</v>
      </c>
      <c r="Z96" s="87">
        <v>31.164125018873623</v>
      </c>
      <c r="AA96" s="42">
        <v>31.290396167591819</v>
      </c>
      <c r="AB96" s="87">
        <v>60.837168529476223</v>
      </c>
      <c r="AC96" s="87">
        <v>63.630930145685468</v>
      </c>
      <c r="AD96" s="87">
        <v>65.558069381598798</v>
      </c>
      <c r="AE96" s="87">
        <v>65.24233730937641</v>
      </c>
      <c r="AF96" s="87">
        <v>66.359972625655843</v>
      </c>
      <c r="AG96" s="88">
        <v>4.6752044437586795</v>
      </c>
      <c r="AH96" s="88">
        <v>6.0817325521026477</v>
      </c>
      <c r="AI96" s="88">
        <v>5.3955288048151333</v>
      </c>
      <c r="AJ96" s="43">
        <v>5.0614250614250613</v>
      </c>
      <c r="AK96" s="43">
        <v>4.747287264420331</v>
      </c>
      <c r="AL96" s="47">
        <v>438.75</v>
      </c>
      <c r="AM96" s="47">
        <v>530.33333333333326</v>
      </c>
      <c r="AN96" s="47">
        <v>438.75</v>
      </c>
      <c r="AO96" s="47">
        <v>771.5</v>
      </c>
      <c r="AP96" s="47">
        <v>811.33333333333326</v>
      </c>
      <c r="AQ96" s="47">
        <v>42324.752173720837</v>
      </c>
      <c r="AR96" s="47">
        <v>42387.913581696732</v>
      </c>
      <c r="AS96" s="47">
        <v>44427.035332775966</v>
      </c>
      <c r="AT96" s="47">
        <v>48607.298579275819</v>
      </c>
      <c r="AU96" s="47">
        <v>53075.006856202577</v>
      </c>
      <c r="AV96" s="50" t="s">
        <v>158</v>
      </c>
      <c r="AW96" s="50" t="s">
        <v>158</v>
      </c>
      <c r="AX96" s="50" t="s">
        <v>158</v>
      </c>
      <c r="AY96" s="50" t="s">
        <v>158</v>
      </c>
      <c r="AZ96" s="50" t="s">
        <v>158</v>
      </c>
      <c r="BA96" s="83">
        <v>10.371956612820632</v>
      </c>
      <c r="BB96" s="46">
        <v>10.466913314288391</v>
      </c>
      <c r="BC96" s="46">
        <v>10.424853219915862</v>
      </c>
      <c r="BD96" s="46">
        <v>11.462633947209723</v>
      </c>
      <c r="BE96" s="46">
        <v>11.148742692771643</v>
      </c>
      <c r="BF96" s="83">
        <v>14.094672044151984</v>
      </c>
      <c r="BG96" s="46">
        <v>14.821573398215733</v>
      </c>
      <c r="BH96" s="46">
        <v>15.09173406983626</v>
      </c>
      <c r="BI96" s="46">
        <v>16.93386773547094</v>
      </c>
      <c r="BJ96" s="46">
        <v>16.367305751765894</v>
      </c>
      <c r="BK96" s="42">
        <v>3856</v>
      </c>
      <c r="BL96" s="42">
        <v>3852</v>
      </c>
      <c r="BM96" s="42">
        <v>3848</v>
      </c>
      <c r="BN96" s="42">
        <v>3865</v>
      </c>
      <c r="BO96" s="43">
        <v>41.519709543568467</v>
      </c>
      <c r="BP96" s="43">
        <v>42.834890965732086</v>
      </c>
      <c r="BQ96" s="88">
        <v>44.152806652806653</v>
      </c>
      <c r="BR96" s="88">
        <v>42.871927554980594</v>
      </c>
      <c r="BS96" s="89">
        <v>7.8319502074688794</v>
      </c>
      <c r="BT96" s="89">
        <v>7.5545171339563861</v>
      </c>
      <c r="BU96" s="87">
        <v>7.3544698544698548</v>
      </c>
      <c r="BV96" s="87">
        <v>7.115135834411384</v>
      </c>
      <c r="BW96" s="43">
        <v>16.986514522821576</v>
      </c>
      <c r="BX96" s="43">
        <v>17.86085150571132</v>
      </c>
      <c r="BY96" s="43">
        <v>17.905405405405407</v>
      </c>
      <c r="BZ96" s="43">
        <v>17.774902975420439</v>
      </c>
      <c r="CA96" s="42">
        <v>84.98498498498499</v>
      </c>
      <c r="CB96" s="42">
        <v>87.654320987654316</v>
      </c>
      <c r="CC96" s="42">
        <v>90.510948905109487</v>
      </c>
      <c r="CD96" s="44">
        <v>91.065292096219935</v>
      </c>
      <c r="CE96" s="43">
        <v>3.3033033033033035</v>
      </c>
      <c r="CF96" s="43">
        <v>3.7037037037037037</v>
      </c>
      <c r="CG96" s="43">
        <v>3.2846715328467155</v>
      </c>
      <c r="CH96" s="44">
        <v>3.0927835051546393</v>
      </c>
      <c r="CI96" s="42">
        <v>1310</v>
      </c>
      <c r="CJ96" s="49">
        <v>1246</v>
      </c>
      <c r="CK96" s="54">
        <v>1274</v>
      </c>
      <c r="CL96" s="54">
        <v>1247</v>
      </c>
      <c r="CM96" s="88">
        <v>10.9</v>
      </c>
      <c r="CN96" s="88">
        <v>10.7</v>
      </c>
      <c r="CO96" s="88">
        <v>11.1</v>
      </c>
      <c r="CP96" s="88">
        <v>11.4</v>
      </c>
      <c r="CQ96" s="53">
        <v>50</v>
      </c>
      <c r="CR96" s="53">
        <v>50</v>
      </c>
      <c r="CS96" s="53">
        <v>74</v>
      </c>
      <c r="CT96" s="53">
        <v>55</v>
      </c>
      <c r="CU96" s="88">
        <v>3.9</v>
      </c>
      <c r="CV96" s="88">
        <v>4.0999999999999996</v>
      </c>
      <c r="CW96" s="88">
        <v>6</v>
      </c>
      <c r="CX96" s="88">
        <v>4.5999999999999996</v>
      </c>
      <c r="CY96" s="51">
        <v>105</v>
      </c>
      <c r="CZ96" s="53">
        <v>90</v>
      </c>
      <c r="DA96" s="53">
        <v>134</v>
      </c>
      <c r="DB96" s="53">
        <v>109</v>
      </c>
      <c r="DC96" s="88">
        <v>8.8000000000000007</v>
      </c>
      <c r="DD96" s="88">
        <v>7.6</v>
      </c>
      <c r="DE96" s="88">
        <v>11.4</v>
      </c>
      <c r="DF96" s="88">
        <v>9.8000000000000007</v>
      </c>
      <c r="DG96" s="88">
        <v>82.2</v>
      </c>
      <c r="DH96" s="88">
        <v>87.1</v>
      </c>
      <c r="DI96" s="88">
        <v>88.6</v>
      </c>
      <c r="DJ96" s="88">
        <v>85.9</v>
      </c>
      <c r="DK96" s="88">
        <v>12.2</v>
      </c>
      <c r="DL96" s="88">
        <v>11.6</v>
      </c>
      <c r="DM96" s="88">
        <v>13</v>
      </c>
      <c r="DN96" s="88">
        <v>15.903614457831326</v>
      </c>
      <c r="DO96" s="88">
        <v>22.2</v>
      </c>
      <c r="DP96" s="88">
        <v>23.8</v>
      </c>
      <c r="DQ96" s="88">
        <v>26.8</v>
      </c>
      <c r="DR96" s="88">
        <v>38.6</v>
      </c>
      <c r="DS96" s="88">
        <v>33.810463968410659</v>
      </c>
      <c r="DT96" s="88">
        <v>24.17480241748024</v>
      </c>
      <c r="DU96" s="88">
        <v>21.717171717171716</v>
      </c>
      <c r="DV96" s="88">
        <v>31.294051310967014</v>
      </c>
      <c r="DW96" s="54">
        <v>252</v>
      </c>
      <c r="DX96" s="54">
        <v>1</v>
      </c>
      <c r="DY96" s="51">
        <v>0</v>
      </c>
      <c r="DZ96" s="53">
        <v>14</v>
      </c>
      <c r="EA96" s="53">
        <v>27</v>
      </c>
      <c r="EB96" s="75">
        <v>6</v>
      </c>
      <c r="EC96" s="75">
        <v>6</v>
      </c>
      <c r="ED96" s="75">
        <v>6</v>
      </c>
      <c r="EE96" s="75">
        <v>5</v>
      </c>
      <c r="EF96" s="75">
        <f t="shared" ref="EF96:EI96" si="17">EF20+EF35</f>
        <v>1492</v>
      </c>
      <c r="EG96" s="75">
        <f t="shared" si="17"/>
        <v>1420</v>
      </c>
      <c r="EH96" s="75">
        <f t="shared" si="17"/>
        <v>1319</v>
      </c>
      <c r="EI96" s="75">
        <f t="shared" si="17"/>
        <v>1308</v>
      </c>
      <c r="EJ96" s="75">
        <f>EJ20+EJ35</f>
        <v>223</v>
      </c>
      <c r="EK96" s="75">
        <f t="shared" ref="EK96:EN96" si="18">EK20+EK35</f>
        <v>0</v>
      </c>
      <c r="EL96" s="75">
        <f t="shared" si="18"/>
        <v>1</v>
      </c>
      <c r="EM96" s="75">
        <f t="shared" si="18"/>
        <v>2</v>
      </c>
      <c r="EN96" s="75">
        <f t="shared" si="18"/>
        <v>0</v>
      </c>
      <c r="EO96" s="88">
        <v>1237.8660914295197</v>
      </c>
      <c r="EP96" s="88">
        <v>1215.1396126956417</v>
      </c>
      <c r="EQ96" s="88">
        <v>1152.5589605124037</v>
      </c>
      <c r="ER96" s="88">
        <v>1232.9079307201459</v>
      </c>
      <c r="ES96" s="88">
        <v>728.3</v>
      </c>
      <c r="ET96" s="88">
        <v>683.2</v>
      </c>
      <c r="EU96" s="88">
        <v>619.70000000000005</v>
      </c>
      <c r="EV96" s="43">
        <v>645.79999999999995</v>
      </c>
      <c r="EW96" s="43">
        <v>902.93293936006012</v>
      </c>
      <c r="EX96" s="43">
        <v>828.66870676234737</v>
      </c>
      <c r="EY96" s="43">
        <v>727.26417322091675</v>
      </c>
      <c r="EZ96" s="88">
        <v>783.40737170693512</v>
      </c>
      <c r="FA96" s="88">
        <v>596.44614703828381</v>
      </c>
      <c r="FB96" s="88">
        <v>572.69276750984795</v>
      </c>
      <c r="FC96" s="88">
        <v>525.33987665194331</v>
      </c>
      <c r="FD96" s="88">
        <v>528.83855079948842</v>
      </c>
      <c r="FE96" s="51">
        <v>319</v>
      </c>
      <c r="FF96" s="54">
        <v>300</v>
      </c>
      <c r="FG96" s="54">
        <v>279</v>
      </c>
      <c r="FH96" s="54">
        <v>280</v>
      </c>
      <c r="FI96" s="88">
        <v>175.47739999999999</v>
      </c>
      <c r="FJ96" s="88">
        <v>161.61160000000001</v>
      </c>
      <c r="FK96" s="88">
        <v>156.14789999999999</v>
      </c>
      <c r="FL96" s="88">
        <v>153.9753</v>
      </c>
      <c r="FM96" s="54">
        <v>498</v>
      </c>
      <c r="FN96" s="54">
        <v>430</v>
      </c>
      <c r="FO96" s="51">
        <v>372</v>
      </c>
      <c r="FP96" s="54">
        <v>360</v>
      </c>
      <c r="FQ96" s="88">
        <v>224.60489999999999</v>
      </c>
      <c r="FR96" s="88">
        <v>192.63579999999999</v>
      </c>
      <c r="FS96" s="88">
        <v>156.5163</v>
      </c>
      <c r="FT96" s="88">
        <v>161.26490000000001</v>
      </c>
      <c r="FU96" s="46">
        <v>153</v>
      </c>
      <c r="FV96" s="46">
        <v>107</v>
      </c>
      <c r="FW96" s="46">
        <v>93</v>
      </c>
      <c r="FX96" s="46">
        <v>65</v>
      </c>
      <c r="FY96" s="88">
        <v>66.065209999999993</v>
      </c>
      <c r="FZ96" s="43">
        <v>45.672879999999999</v>
      </c>
      <c r="GA96" s="43">
        <v>40.607689999999998</v>
      </c>
      <c r="GB96" s="43">
        <v>27.474029999999999</v>
      </c>
      <c r="GC96" s="59">
        <v>49</v>
      </c>
      <c r="GD96" s="56">
        <v>61</v>
      </c>
      <c r="GE96" s="59">
        <v>66</v>
      </c>
      <c r="GF96" s="59">
        <v>43</v>
      </c>
      <c r="GG96" s="65">
        <v>35.221609999999998</v>
      </c>
      <c r="GH96" s="65">
        <v>41.656370000000003</v>
      </c>
      <c r="GI96" s="91">
        <v>40.010170000000002</v>
      </c>
      <c r="GJ96" s="65">
        <v>30.789390000000001</v>
      </c>
      <c r="GK96" s="59"/>
      <c r="GL96" s="59"/>
      <c r="GM96" s="59"/>
      <c r="GN96" s="56"/>
      <c r="GO96" s="59"/>
      <c r="GP96" s="59"/>
      <c r="GQ96" s="59"/>
      <c r="GR96" s="59"/>
      <c r="GS96" s="56"/>
      <c r="GT96" s="59"/>
      <c r="GU96" s="59"/>
      <c r="GV96" s="59"/>
      <c r="GW96" s="59"/>
      <c r="GX96" s="56"/>
      <c r="GY96" s="56"/>
      <c r="GZ96" s="56"/>
      <c r="HA96" s="56"/>
      <c r="HB96" s="56"/>
      <c r="HC96" s="56"/>
      <c r="HD96" s="57"/>
      <c r="HE96" s="57"/>
      <c r="HF96" s="57"/>
      <c r="HG96" s="57"/>
      <c r="HH96" s="57"/>
      <c r="HI96" s="58"/>
      <c r="HJ96" s="58"/>
      <c r="HK96" s="55"/>
      <c r="HL96" s="56"/>
      <c r="HM96" s="56"/>
      <c r="HN96" s="56"/>
      <c r="HO96" s="56"/>
      <c r="HP96" s="56"/>
      <c r="HQ96" s="56"/>
      <c r="HR96" s="56"/>
      <c r="HS96" s="56"/>
      <c r="HT96" s="56"/>
      <c r="HU96" s="38"/>
    </row>
    <row r="97" spans="1:229" x14ac:dyDescent="0.2">
      <c r="A97" s="76" t="s">
        <v>456</v>
      </c>
      <c r="B97" s="74" t="s">
        <v>491</v>
      </c>
      <c r="C97" s="75">
        <f>C17+C87</f>
        <v>62053</v>
      </c>
      <c r="D97" s="75">
        <f>D17+D87</f>
        <v>63027</v>
      </c>
      <c r="E97" s="75">
        <f>E17+E87</f>
        <v>65575</v>
      </c>
      <c r="F97" s="75">
        <f>F17+F87</f>
        <v>66395</v>
      </c>
      <c r="G97" s="150">
        <v>66740</v>
      </c>
      <c r="H97" s="75">
        <v>62717</v>
      </c>
      <c r="I97" s="75">
        <v>915</v>
      </c>
      <c r="J97" s="75">
        <v>923</v>
      </c>
      <c r="K97" s="75">
        <v>898</v>
      </c>
      <c r="L97" s="75">
        <v>2458</v>
      </c>
      <c r="M97" s="75">
        <f t="shared" ref="M97:O97" si="19">M17+M87</f>
        <v>24295</v>
      </c>
      <c r="N97" s="75">
        <f t="shared" si="19"/>
        <v>24711</v>
      </c>
      <c r="O97" s="75">
        <f t="shared" si="19"/>
        <v>24969</v>
      </c>
      <c r="P97" s="44">
        <v>25224</v>
      </c>
      <c r="Q97" s="44">
        <v>25438</v>
      </c>
      <c r="R97" s="87">
        <v>18.769173126009882</v>
      </c>
      <c r="S97" s="87">
        <v>18.988402962134973</v>
      </c>
      <c r="T97" s="87">
        <v>18.514278017241381</v>
      </c>
      <c r="U97" s="87">
        <v>18.381183745583037</v>
      </c>
      <c r="V97" s="87">
        <v>18.876930896554772</v>
      </c>
      <c r="W97" s="87">
        <v>26.543802543146853</v>
      </c>
      <c r="X97" s="87">
        <v>27.783987704345396</v>
      </c>
      <c r="Y97" s="87">
        <v>28.699712643678161</v>
      </c>
      <c r="Z97" s="87">
        <v>28.250883392226147</v>
      </c>
      <c r="AA97" s="42">
        <v>28.611522397295087</v>
      </c>
      <c r="AB97" s="87">
        <v>45.312975669156735</v>
      </c>
      <c r="AC97" s="87">
        <v>46.772390666480369</v>
      </c>
      <c r="AD97" s="87">
        <v>47.213990660919542</v>
      </c>
      <c r="AE97" s="87">
        <v>46.632067137809187</v>
      </c>
      <c r="AF97" s="87">
        <v>47.488453293849858</v>
      </c>
      <c r="AG97" s="88">
        <v>3.7265176431239198</v>
      </c>
      <c r="AH97" s="88">
        <v>5.0526431536410366</v>
      </c>
      <c r="AI97" s="88">
        <v>4.7640861200183231</v>
      </c>
      <c r="AJ97" s="43">
        <v>4.9027500064919884</v>
      </c>
      <c r="AK97" s="43">
        <v>4.2042749130104911</v>
      </c>
      <c r="AL97" s="47">
        <v>1758.5</v>
      </c>
      <c r="AM97" s="47">
        <v>2207.9166666666665</v>
      </c>
      <c r="AN97" s="47">
        <v>1758.5</v>
      </c>
      <c r="AO97" s="47">
        <v>3009.5</v>
      </c>
      <c r="AP97" s="47">
        <v>3173.0833333333335</v>
      </c>
      <c r="AQ97" s="47">
        <v>37185.606742766104</v>
      </c>
      <c r="AR97" s="47">
        <v>35809.034116954659</v>
      </c>
      <c r="AS97" s="47">
        <v>37143.67100559867</v>
      </c>
      <c r="AT97" s="47">
        <v>38051.457878586974</v>
      </c>
      <c r="AU97" s="47">
        <v>39909.784237338929</v>
      </c>
      <c r="AV97" s="50" t="s">
        <v>158</v>
      </c>
      <c r="AW97" s="50" t="s">
        <v>158</v>
      </c>
      <c r="AX97" s="50" t="s">
        <v>158</v>
      </c>
      <c r="AY97" s="50" t="s">
        <v>158</v>
      </c>
      <c r="AZ97" s="50" t="s">
        <v>158</v>
      </c>
      <c r="BA97" s="83">
        <v>12.440776665575521</v>
      </c>
      <c r="BB97" s="46">
        <v>12.564637268365461</v>
      </c>
      <c r="BC97" s="46">
        <v>12.46404447173653</v>
      </c>
      <c r="BD97" s="46">
        <v>14.253046342789522</v>
      </c>
      <c r="BE97" s="46">
        <v>11.245837383088224</v>
      </c>
      <c r="BF97" s="83">
        <v>12.992818408324784</v>
      </c>
      <c r="BG97" s="46">
        <v>14.033845500247823</v>
      </c>
      <c r="BH97" s="46">
        <v>14.53584407003634</v>
      </c>
      <c r="BI97" s="46">
        <v>16.245343267695581</v>
      </c>
      <c r="BJ97" s="46">
        <v>13.374958922116333</v>
      </c>
      <c r="BK97" s="42">
        <v>10032</v>
      </c>
      <c r="BL97" s="42">
        <v>10061</v>
      </c>
      <c r="BM97" s="42">
        <v>10199</v>
      </c>
      <c r="BN97" s="42">
        <v>10390</v>
      </c>
      <c r="BO97" s="43">
        <v>30.921052631578949</v>
      </c>
      <c r="BP97" s="43">
        <v>33.157737799423515</v>
      </c>
      <c r="BQ97" s="88">
        <v>33.179723502304149</v>
      </c>
      <c r="BR97" s="88">
        <v>34.94706448508181</v>
      </c>
      <c r="BS97" s="89">
        <v>4.8644338118022326</v>
      </c>
      <c r="BT97" s="89">
        <v>4.7808368949408608</v>
      </c>
      <c r="BU97" s="87">
        <v>4.6279046965388764</v>
      </c>
      <c r="BV97" s="87">
        <v>3.4937439846005773</v>
      </c>
      <c r="BW97" s="43">
        <v>15.11164274322169</v>
      </c>
      <c r="BX97" s="43">
        <v>15.783719312195608</v>
      </c>
      <c r="BY97" s="43">
        <v>15.628983233650358</v>
      </c>
      <c r="BZ97" s="43">
        <v>15.514918190567853</v>
      </c>
      <c r="CA97" s="42">
        <v>78.051643192488257</v>
      </c>
      <c r="CB97" s="42">
        <v>76.077097505668931</v>
      </c>
      <c r="CC97" s="42">
        <v>76.383763837638369</v>
      </c>
      <c r="CD97" s="44">
        <v>77.528089887640448</v>
      </c>
      <c r="CE97" s="43">
        <v>4.929577464788732</v>
      </c>
      <c r="CF97" s="43">
        <v>5.7823129251700678</v>
      </c>
      <c r="CG97" s="43">
        <v>6.6420664206642064</v>
      </c>
      <c r="CH97" s="44">
        <v>6.3670411985018722</v>
      </c>
      <c r="CI97" s="42">
        <v>3755</v>
      </c>
      <c r="CJ97" s="49">
        <v>3220</v>
      </c>
      <c r="CK97" s="54">
        <v>3996</v>
      </c>
      <c r="CL97" s="54">
        <v>4273</v>
      </c>
      <c r="CM97" s="88">
        <v>12.7</v>
      </c>
      <c r="CN97" s="88">
        <v>11</v>
      </c>
      <c r="CO97" s="88">
        <v>13.2</v>
      </c>
      <c r="CP97" s="88">
        <v>13.2</v>
      </c>
      <c r="CQ97" s="53">
        <v>155</v>
      </c>
      <c r="CR97" s="53">
        <v>140</v>
      </c>
      <c r="CS97" s="53">
        <v>199</v>
      </c>
      <c r="CT97" s="53">
        <v>199</v>
      </c>
      <c r="CU97" s="88">
        <v>4.2</v>
      </c>
      <c r="CV97" s="88">
        <v>4.5</v>
      </c>
      <c r="CW97" s="88">
        <v>5.0999999999999996</v>
      </c>
      <c r="CX97" s="88">
        <v>4.9000000000000004</v>
      </c>
      <c r="CY97" s="51">
        <v>293</v>
      </c>
      <c r="CZ97" s="53">
        <v>262</v>
      </c>
      <c r="DA97" s="53">
        <v>324</v>
      </c>
      <c r="DB97" s="53">
        <v>222</v>
      </c>
      <c r="DC97" s="88">
        <v>8.1999999999999993</v>
      </c>
      <c r="DD97" s="88">
        <v>9</v>
      </c>
      <c r="DE97" s="88">
        <v>9.1999999999999993</v>
      </c>
      <c r="DF97" s="88">
        <v>7.9</v>
      </c>
      <c r="DG97" s="88">
        <v>75.8</v>
      </c>
      <c r="DH97" s="88">
        <v>85.8</v>
      </c>
      <c r="DI97" s="88">
        <v>83</v>
      </c>
      <c r="DJ97" s="88">
        <v>88.3</v>
      </c>
      <c r="DK97" s="88">
        <v>18.100000000000001</v>
      </c>
      <c r="DL97" s="88">
        <v>16.600000000000001</v>
      </c>
      <c r="DM97" s="88">
        <v>12.7</v>
      </c>
      <c r="DN97" s="88">
        <v>13.420427553444181</v>
      </c>
      <c r="DO97" s="88">
        <v>27.4</v>
      </c>
      <c r="DP97" s="88">
        <v>26.9</v>
      </c>
      <c r="DQ97" s="88">
        <v>26.2</v>
      </c>
      <c r="DR97" s="88">
        <v>28.2</v>
      </c>
      <c r="DS97" s="88">
        <v>25.641025641025642</v>
      </c>
      <c r="DT97" s="88">
        <v>17.019433098155712</v>
      </c>
      <c r="DU97" s="88">
        <v>15.68019832661915</v>
      </c>
      <c r="DV97" s="88">
        <v>13.875628540513016</v>
      </c>
      <c r="DW97" s="54">
        <v>781</v>
      </c>
      <c r="DX97" s="54">
        <v>19</v>
      </c>
      <c r="DY97" s="51">
        <v>43</v>
      </c>
      <c r="DZ97" s="53">
        <v>9</v>
      </c>
      <c r="EA97" s="53">
        <v>46</v>
      </c>
      <c r="EB97" s="75">
        <v>22</v>
      </c>
      <c r="EC97" s="75">
        <v>31</v>
      </c>
      <c r="ED97" s="75">
        <v>27</v>
      </c>
      <c r="EE97" s="75">
        <v>24</v>
      </c>
      <c r="EF97" s="75">
        <f t="shared" ref="EF97:EI97" si="20">EF17+EF87</f>
        <v>2292</v>
      </c>
      <c r="EG97" s="75">
        <f t="shared" si="20"/>
        <v>2331</v>
      </c>
      <c r="EH97" s="75">
        <f t="shared" si="20"/>
        <v>2269</v>
      </c>
      <c r="EI97" s="75">
        <f t="shared" si="20"/>
        <v>2525</v>
      </c>
      <c r="EJ97" s="75">
        <f>EJ17+EJ87</f>
        <v>545</v>
      </c>
      <c r="EK97" s="75">
        <f t="shared" ref="EK97:EN97" si="21">EK17+EK87</f>
        <v>3</v>
      </c>
      <c r="EL97" s="75">
        <f t="shared" si="21"/>
        <v>3</v>
      </c>
      <c r="EM97" s="75">
        <f t="shared" si="21"/>
        <v>0</v>
      </c>
      <c r="EN97" s="75">
        <f t="shared" si="21"/>
        <v>5</v>
      </c>
      <c r="EO97" s="88">
        <v>775.36687843789957</v>
      </c>
      <c r="EP97" s="88">
        <v>793.2024827135624</v>
      </c>
      <c r="EQ97" s="88">
        <v>752.2710695577216</v>
      </c>
      <c r="ER97" s="88">
        <v>766.77689165532001</v>
      </c>
      <c r="ES97" s="88">
        <v>746.2</v>
      </c>
      <c r="ET97" s="88">
        <v>726.8</v>
      </c>
      <c r="EU97" s="88">
        <v>653.5</v>
      </c>
      <c r="EV97" s="43">
        <v>689.3</v>
      </c>
      <c r="EW97" s="43">
        <v>933.28528536311171</v>
      </c>
      <c r="EX97" s="43">
        <v>895.25039000683796</v>
      </c>
      <c r="EY97" s="43">
        <v>782.4030560164307</v>
      </c>
      <c r="EZ97" s="88">
        <v>777.75734495163033</v>
      </c>
      <c r="FA97" s="88">
        <v>605.46048686775475</v>
      </c>
      <c r="FB97" s="88">
        <v>602.88593680830706</v>
      </c>
      <c r="FC97" s="88">
        <v>544.53479322813359</v>
      </c>
      <c r="FD97" s="88">
        <v>615.93127539819307</v>
      </c>
      <c r="FE97" s="51">
        <v>482</v>
      </c>
      <c r="FF97" s="54">
        <v>571</v>
      </c>
      <c r="FG97" s="54">
        <v>515</v>
      </c>
      <c r="FH97" s="54">
        <v>526</v>
      </c>
      <c r="FI97" s="88">
        <v>163.5855</v>
      </c>
      <c r="FJ97" s="88">
        <v>188.762</v>
      </c>
      <c r="FK97" s="88">
        <v>162.1464</v>
      </c>
      <c r="FL97" s="88">
        <v>152.8792</v>
      </c>
      <c r="FM97" s="54">
        <v>755</v>
      </c>
      <c r="FN97" s="54">
        <v>622</v>
      </c>
      <c r="FO97" s="51">
        <v>560</v>
      </c>
      <c r="FP97" s="54">
        <v>580</v>
      </c>
      <c r="FQ97" s="88">
        <v>242.69040000000001</v>
      </c>
      <c r="FR97" s="88">
        <v>189.935</v>
      </c>
      <c r="FS97" s="88">
        <v>151.03100000000001</v>
      </c>
      <c r="FT97" s="88">
        <v>154.6908</v>
      </c>
      <c r="FU97" s="46">
        <v>196</v>
      </c>
      <c r="FV97" s="46">
        <v>183</v>
      </c>
      <c r="FW97" s="46">
        <v>142</v>
      </c>
      <c r="FX97" s="46">
        <v>156</v>
      </c>
      <c r="FY97" s="88">
        <v>60.609819999999999</v>
      </c>
      <c r="FZ97" s="43">
        <v>53.062669999999997</v>
      </c>
      <c r="GA97" s="43">
        <v>37.64855</v>
      </c>
      <c r="GB97" s="43">
        <v>39.415900000000001</v>
      </c>
      <c r="GC97" s="59">
        <v>97</v>
      </c>
      <c r="GD97" s="56">
        <v>101</v>
      </c>
      <c r="GE97" s="59">
        <v>115</v>
      </c>
      <c r="GF97" s="59">
        <v>123</v>
      </c>
      <c r="GG97" s="65">
        <v>31.49071</v>
      </c>
      <c r="GH97" s="65">
        <v>31.446619999999999</v>
      </c>
      <c r="GI97" s="91">
        <v>35.729149999999997</v>
      </c>
      <c r="GJ97" s="65">
        <v>36.116540000000001</v>
      </c>
      <c r="GK97" s="59"/>
      <c r="GL97" s="59"/>
      <c r="GM97" s="59"/>
      <c r="GN97" s="56"/>
      <c r="GO97" s="59"/>
      <c r="GP97" s="59"/>
      <c r="GQ97" s="59"/>
      <c r="GR97" s="59"/>
      <c r="GS97" s="56"/>
      <c r="GT97" s="59"/>
      <c r="GU97" s="59"/>
      <c r="GV97" s="59"/>
      <c r="GW97" s="59"/>
      <c r="GX97" s="56"/>
      <c r="GY97" s="56"/>
      <c r="GZ97" s="56"/>
      <c r="HA97" s="56"/>
      <c r="HB97" s="56"/>
      <c r="HC97" s="56"/>
      <c r="HD97" s="57"/>
      <c r="HE97" s="57"/>
      <c r="HF97" s="57"/>
      <c r="HG97" s="57"/>
      <c r="HH97" s="57"/>
      <c r="HI97" s="58"/>
      <c r="HJ97" s="58"/>
      <c r="HK97" s="55"/>
      <c r="HL97" s="56"/>
      <c r="HM97" s="56"/>
      <c r="HN97" s="56"/>
      <c r="HO97" s="56"/>
      <c r="HP97" s="56"/>
      <c r="HQ97" s="56"/>
      <c r="HR97" s="56"/>
      <c r="HS97" s="56"/>
      <c r="HT97" s="56"/>
      <c r="HU97" s="38"/>
    </row>
    <row r="98" spans="1:229" ht="24" x14ac:dyDescent="0.2">
      <c r="A98" s="76" t="s">
        <v>457</v>
      </c>
      <c r="B98" s="74" t="s">
        <v>492</v>
      </c>
      <c r="C98" s="75">
        <f>C24+C29+C64+C78+C81</f>
        <v>66614</v>
      </c>
      <c r="D98" s="75">
        <f>D24+D29+D64+D78+D81</f>
        <v>66296</v>
      </c>
      <c r="E98" s="75">
        <f>E24+E29+E64+E78+E81</f>
        <v>66306</v>
      </c>
      <c r="F98" s="75">
        <f>F24+F29+F64+F78+F81</f>
        <v>66263</v>
      </c>
      <c r="G98" s="150">
        <v>66365</v>
      </c>
      <c r="H98" s="75">
        <v>64430</v>
      </c>
      <c r="I98" s="75">
        <v>388</v>
      </c>
      <c r="J98" s="75">
        <v>413</v>
      </c>
      <c r="K98" s="75">
        <v>431</v>
      </c>
      <c r="L98" s="75">
        <v>1080</v>
      </c>
      <c r="M98" s="75">
        <f t="shared" ref="M98:O98" si="22">M24+M29+M64+M78+M81</f>
        <v>28254</v>
      </c>
      <c r="N98" s="75">
        <f t="shared" si="22"/>
        <v>28300</v>
      </c>
      <c r="O98" s="75">
        <f t="shared" si="22"/>
        <v>27876</v>
      </c>
      <c r="P98" s="44">
        <v>28070</v>
      </c>
      <c r="Q98" s="44">
        <v>28130</v>
      </c>
      <c r="R98" s="87">
        <v>31.776342254087695</v>
      </c>
      <c r="S98" s="87">
        <v>32.080876158382473</v>
      </c>
      <c r="T98" s="87">
        <v>32.20524017467249</v>
      </c>
      <c r="U98" s="87">
        <v>32.365758001258897</v>
      </c>
      <c r="V98" s="87">
        <v>33.874562241324419</v>
      </c>
      <c r="W98" s="87">
        <v>25.848891412886587</v>
      </c>
      <c r="X98" s="87">
        <v>27.495486821518835</v>
      </c>
      <c r="Y98" s="87">
        <v>28.653566229985444</v>
      </c>
      <c r="Z98" s="87">
        <v>28.054035733307511</v>
      </c>
      <c r="AA98" s="42">
        <v>28.653295128939828</v>
      </c>
      <c r="AB98" s="87">
        <v>57.625233666974282</v>
      </c>
      <c r="AC98" s="87">
        <v>59.576362979901312</v>
      </c>
      <c r="AD98" s="87">
        <v>60.858806404657933</v>
      </c>
      <c r="AE98" s="87">
        <v>60.419793734566404</v>
      </c>
      <c r="AF98" s="87">
        <v>62.52785737026425</v>
      </c>
      <c r="AG98" s="88">
        <v>5.1271666936659646</v>
      </c>
      <c r="AH98" s="88">
        <v>6.9407240419042564</v>
      </c>
      <c r="AI98" s="88">
        <v>6.4952816549693768</v>
      </c>
      <c r="AJ98" s="43">
        <v>5.8662630125345228</v>
      </c>
      <c r="AK98" s="43">
        <v>4.6604018641607459</v>
      </c>
      <c r="AL98" s="47">
        <v>1315</v>
      </c>
      <c r="AM98" s="47">
        <v>1650.3333333333333</v>
      </c>
      <c r="AN98" s="47">
        <v>1315</v>
      </c>
      <c r="AO98" s="47">
        <v>2532.3333333333335</v>
      </c>
      <c r="AP98" s="47">
        <v>2582.666666666667</v>
      </c>
      <c r="AQ98" s="47">
        <v>40984.135397650374</v>
      </c>
      <c r="AR98" s="47">
        <v>39131.756055511178</v>
      </c>
      <c r="AS98" s="47">
        <v>41389.147057857626</v>
      </c>
      <c r="AT98" s="47">
        <v>42707.854370540263</v>
      </c>
      <c r="AU98" s="47">
        <v>47393.927522037222</v>
      </c>
      <c r="AV98" s="50" t="s">
        <v>158</v>
      </c>
      <c r="AW98" s="50" t="s">
        <v>158</v>
      </c>
      <c r="AX98" s="50" t="s">
        <v>158</v>
      </c>
      <c r="AY98" s="50" t="s">
        <v>158</v>
      </c>
      <c r="AZ98" s="50" t="s">
        <v>158</v>
      </c>
      <c r="BA98" s="83">
        <v>9.8031934645376904</v>
      </c>
      <c r="BB98" s="46">
        <v>11.08431860609832</v>
      </c>
      <c r="BC98" s="46">
        <v>10.327526132404181</v>
      </c>
      <c r="BD98" s="46">
        <v>11.117303732602604</v>
      </c>
      <c r="BE98" s="46">
        <v>10.618223438974216</v>
      </c>
      <c r="BF98" s="83">
        <v>11.552729199788024</v>
      </c>
      <c r="BG98" s="46">
        <v>12.922581589345821</v>
      </c>
      <c r="BH98" s="46">
        <v>13.570263176562388</v>
      </c>
      <c r="BI98" s="46">
        <v>14.067808862864165</v>
      </c>
      <c r="BJ98" s="46">
        <v>14.019028398443131</v>
      </c>
      <c r="BK98" s="42">
        <v>9708</v>
      </c>
      <c r="BL98" s="42">
        <v>9576</v>
      </c>
      <c r="BM98" s="42">
        <v>9573</v>
      </c>
      <c r="BN98" s="42">
        <v>9679</v>
      </c>
      <c r="BO98" s="43">
        <v>34.301606922126084</v>
      </c>
      <c r="BP98" s="43">
        <v>35.662071846282373</v>
      </c>
      <c r="BQ98" s="88">
        <v>35.485218844667294</v>
      </c>
      <c r="BR98" s="88">
        <v>36.047112304990186</v>
      </c>
      <c r="BS98" s="89">
        <v>0.38112896580140093</v>
      </c>
      <c r="BT98" s="89">
        <v>0.45948203842940682</v>
      </c>
      <c r="BU98" s="87">
        <v>0.49096417006163168</v>
      </c>
      <c r="BV98" s="87">
        <v>0.5682405207149499</v>
      </c>
      <c r="BW98" s="43">
        <v>17.562834775442933</v>
      </c>
      <c r="BX98" s="43">
        <v>17.7109440267335</v>
      </c>
      <c r="BY98" s="43">
        <v>17.538911521988926</v>
      </c>
      <c r="BZ98" s="43">
        <v>17.532802975513999</v>
      </c>
      <c r="CA98" s="42">
        <v>81.242672919109026</v>
      </c>
      <c r="CB98" s="42" t="s">
        <v>470</v>
      </c>
      <c r="CC98" s="42">
        <v>79.054916985951465</v>
      </c>
      <c r="CD98" s="44">
        <v>85.260482846251591</v>
      </c>
      <c r="CE98" s="43">
        <v>3.3997655334114887</v>
      </c>
      <c r="CF98" s="43">
        <v>3.6900369003690039</v>
      </c>
      <c r="CG98" s="43">
        <v>3.8314176245210727</v>
      </c>
      <c r="CH98" s="44">
        <v>3.6848792884371031</v>
      </c>
      <c r="CI98" s="42">
        <v>3265</v>
      </c>
      <c r="CJ98" s="49">
        <v>3331</v>
      </c>
      <c r="CK98" s="54">
        <v>3775</v>
      </c>
      <c r="CL98" s="54">
        <v>3732</v>
      </c>
      <c r="CM98" s="88">
        <v>10.6</v>
      </c>
      <c r="CN98" s="88">
        <v>10.4</v>
      </c>
      <c r="CO98" s="88">
        <v>11.4</v>
      </c>
      <c r="CP98" s="88">
        <v>11.2</v>
      </c>
      <c r="CQ98" s="53">
        <v>102</v>
      </c>
      <c r="CR98" s="53">
        <v>135</v>
      </c>
      <c r="CS98" s="53">
        <v>150</v>
      </c>
      <c r="CT98" s="53">
        <v>155</v>
      </c>
      <c r="CU98" s="88">
        <v>3.2</v>
      </c>
      <c r="CV98" s="88">
        <v>4.2</v>
      </c>
      <c r="CW98" s="88">
        <v>4.0999999999999996</v>
      </c>
      <c r="CX98" s="88">
        <v>4.3</v>
      </c>
      <c r="CY98" s="51">
        <v>184</v>
      </c>
      <c r="CZ98" s="53">
        <v>212</v>
      </c>
      <c r="DA98" s="53">
        <v>281</v>
      </c>
      <c r="DB98" s="53">
        <v>279</v>
      </c>
      <c r="DC98" s="88">
        <v>5.9</v>
      </c>
      <c r="DD98" s="88">
        <v>6.7</v>
      </c>
      <c r="DE98" s="88">
        <v>7.9</v>
      </c>
      <c r="DF98" s="88">
        <v>7.9</v>
      </c>
      <c r="DG98" s="88">
        <v>83.4</v>
      </c>
      <c r="DH98" s="88">
        <v>88.1</v>
      </c>
      <c r="DI98" s="88">
        <v>89.1</v>
      </c>
      <c r="DJ98" s="88">
        <v>91</v>
      </c>
      <c r="DK98" s="88">
        <v>15.8</v>
      </c>
      <c r="DL98" s="88">
        <v>14.6</v>
      </c>
      <c r="DM98" s="88">
        <v>13.6</v>
      </c>
      <c r="DN98" s="88">
        <v>13.569321533923304</v>
      </c>
      <c r="DO98" s="88">
        <v>19.8</v>
      </c>
      <c r="DP98" s="88">
        <v>21.2</v>
      </c>
      <c r="DQ98" s="88">
        <v>25.7</v>
      </c>
      <c r="DR98" s="88">
        <v>27.2</v>
      </c>
      <c r="DS98" s="88">
        <v>23.719912472647703</v>
      </c>
      <c r="DT98" s="88">
        <v>19.744929317762754</v>
      </c>
      <c r="DU98" s="88">
        <v>17.326134257393829</v>
      </c>
      <c r="DV98" s="88">
        <v>14.981617647058824</v>
      </c>
      <c r="DW98" s="54">
        <v>695</v>
      </c>
      <c r="DX98" s="54">
        <v>6</v>
      </c>
      <c r="DY98" s="51">
        <v>6</v>
      </c>
      <c r="DZ98" s="53">
        <v>3</v>
      </c>
      <c r="EA98" s="53">
        <v>22</v>
      </c>
      <c r="EB98" s="75">
        <v>14</v>
      </c>
      <c r="EC98" s="75">
        <v>12</v>
      </c>
      <c r="ED98" s="75">
        <v>18</v>
      </c>
      <c r="EE98" s="75">
        <v>21</v>
      </c>
      <c r="EF98" s="75">
        <f t="shared" ref="EF98:EI98" si="23">EF24+EF29+EF64+EF78+EF81</f>
        <v>3633</v>
      </c>
      <c r="EG98" s="75">
        <f t="shared" si="23"/>
        <v>3638</v>
      </c>
      <c r="EH98" s="75">
        <f t="shared" si="23"/>
        <v>3415</v>
      </c>
      <c r="EI98" s="75">
        <f t="shared" si="23"/>
        <v>3648</v>
      </c>
      <c r="EJ98" s="75">
        <f>EJ24+EJ29+EJ64+EJ78+EJ81</f>
        <v>745</v>
      </c>
      <c r="EK98" s="75">
        <f t="shared" ref="EK98:EN98" si="24">EK24+EK29+EK64+EK78+EK81</f>
        <v>2</v>
      </c>
      <c r="EL98" s="75">
        <f t="shared" si="24"/>
        <v>3</v>
      </c>
      <c r="EM98" s="75">
        <f t="shared" si="24"/>
        <v>2</v>
      </c>
      <c r="EN98" s="75">
        <f t="shared" si="24"/>
        <v>1</v>
      </c>
      <c r="EO98" s="88">
        <v>1174.090508061571</v>
      </c>
      <c r="EP98" s="88">
        <v>1140.9861155977633</v>
      </c>
      <c r="EQ98" s="88">
        <v>1034.1903637079433</v>
      </c>
      <c r="ER98" s="88">
        <v>1090.4817330184308</v>
      </c>
      <c r="ES98" s="88">
        <v>768.4</v>
      </c>
      <c r="ET98" s="88">
        <v>715.1</v>
      </c>
      <c r="EU98" s="88">
        <v>617</v>
      </c>
      <c r="EV98" s="43">
        <v>650.20000000000005</v>
      </c>
      <c r="EW98" s="43">
        <v>968.25315912847384</v>
      </c>
      <c r="EX98" s="43">
        <v>849.28068902972359</v>
      </c>
      <c r="EY98" s="43">
        <v>738.60611232612825</v>
      </c>
      <c r="EZ98" s="88">
        <v>766.6435506929671</v>
      </c>
      <c r="FA98" s="88">
        <v>611.88237890115977</v>
      </c>
      <c r="FB98" s="88">
        <v>605.20799758993178</v>
      </c>
      <c r="FC98" s="88">
        <v>519.58886135706973</v>
      </c>
      <c r="FD98" s="88">
        <v>549.30334560507765</v>
      </c>
      <c r="FE98" s="51">
        <v>818</v>
      </c>
      <c r="FF98" s="54">
        <v>802</v>
      </c>
      <c r="FG98" s="54">
        <v>802</v>
      </c>
      <c r="FH98" s="54">
        <v>862</v>
      </c>
      <c r="FI98" s="88">
        <v>187.80629999999999</v>
      </c>
      <c r="FJ98" s="88">
        <v>171.21360000000001</v>
      </c>
      <c r="FK98" s="88">
        <v>162.42140000000001</v>
      </c>
      <c r="FL98" s="88">
        <v>165.46789999999999</v>
      </c>
      <c r="FM98" s="54">
        <v>1198</v>
      </c>
      <c r="FN98" s="54">
        <v>1096</v>
      </c>
      <c r="FO98" s="51">
        <v>905</v>
      </c>
      <c r="FP98" s="54">
        <v>845</v>
      </c>
      <c r="FQ98" s="88">
        <v>240.9725</v>
      </c>
      <c r="FR98" s="88">
        <v>205.88040000000001</v>
      </c>
      <c r="FS98" s="88">
        <v>150.20339999999999</v>
      </c>
      <c r="FT98" s="88">
        <v>141.4847</v>
      </c>
      <c r="FU98" s="46">
        <v>296</v>
      </c>
      <c r="FV98" s="46">
        <v>291</v>
      </c>
      <c r="FW98" s="46">
        <v>247</v>
      </c>
      <c r="FX98" s="46">
        <v>237</v>
      </c>
      <c r="FY98" s="88">
        <v>56.865780000000001</v>
      </c>
      <c r="FZ98" s="43">
        <v>52.388500000000001</v>
      </c>
      <c r="GA98" s="43">
        <v>41.03725</v>
      </c>
      <c r="GB98" s="43">
        <v>37.133200000000002</v>
      </c>
      <c r="GC98" s="59">
        <v>131</v>
      </c>
      <c r="GD98" s="56">
        <v>147</v>
      </c>
      <c r="GE98" s="59">
        <v>141</v>
      </c>
      <c r="GF98" s="59">
        <v>160</v>
      </c>
      <c r="GG98" s="65">
        <v>35.359659999999998</v>
      </c>
      <c r="GH98" s="65">
        <v>37.059069999999998</v>
      </c>
      <c r="GI98" s="91">
        <v>33.290909999999997</v>
      </c>
      <c r="GJ98" s="65">
        <v>37.414990000000003</v>
      </c>
      <c r="GK98" s="59"/>
      <c r="GL98" s="59"/>
      <c r="GM98" s="59"/>
      <c r="GN98" s="56"/>
      <c r="GO98" s="59"/>
      <c r="GP98" s="59"/>
      <c r="GQ98" s="59"/>
      <c r="GR98" s="59"/>
      <c r="GS98" s="56"/>
      <c r="GT98" s="59"/>
      <c r="GU98" s="59"/>
      <c r="GV98" s="59"/>
      <c r="GW98" s="59"/>
      <c r="GX98" s="56"/>
      <c r="GY98" s="56"/>
      <c r="GZ98" s="56"/>
      <c r="HA98" s="56"/>
      <c r="HB98" s="56"/>
      <c r="HC98" s="56"/>
      <c r="HD98" s="57"/>
      <c r="HE98" s="57"/>
      <c r="HF98" s="57"/>
      <c r="HG98" s="57"/>
      <c r="HH98" s="57"/>
      <c r="HI98" s="58"/>
      <c r="HJ98" s="58"/>
      <c r="HK98" s="55"/>
      <c r="HL98" s="56"/>
      <c r="HM98" s="56"/>
      <c r="HN98" s="56"/>
      <c r="HO98" s="56"/>
      <c r="HP98" s="56"/>
      <c r="HQ98" s="56"/>
      <c r="HR98" s="56"/>
      <c r="HS98" s="56"/>
      <c r="HT98" s="56"/>
      <c r="HU98" s="38"/>
    </row>
    <row r="99" spans="1:229" x14ac:dyDescent="0.2">
      <c r="A99" s="76" t="s">
        <v>458</v>
      </c>
      <c r="B99" s="74" t="s">
        <v>493</v>
      </c>
      <c r="C99" s="75">
        <f>C23+C77</f>
        <v>56297</v>
      </c>
      <c r="D99" s="75">
        <f>D23+D77</f>
        <v>56547</v>
      </c>
      <c r="E99" s="75">
        <f>E23+E77</f>
        <v>56663</v>
      </c>
      <c r="F99" s="75">
        <f>F23+F77</f>
        <v>56777</v>
      </c>
      <c r="G99" s="150">
        <v>56553</v>
      </c>
      <c r="H99" s="75">
        <v>54191</v>
      </c>
      <c r="I99" s="75">
        <v>1083</v>
      </c>
      <c r="J99" s="75">
        <v>189</v>
      </c>
      <c r="K99" s="75">
        <v>404</v>
      </c>
      <c r="L99" s="75">
        <v>3406</v>
      </c>
      <c r="M99" s="75">
        <f t="shared" ref="M99:O99" si="25">M23+M77</f>
        <v>21789</v>
      </c>
      <c r="N99" s="75">
        <f t="shared" si="25"/>
        <v>21822</v>
      </c>
      <c r="O99" s="75">
        <f t="shared" si="25"/>
        <v>21790</v>
      </c>
      <c r="P99" s="44">
        <v>21871</v>
      </c>
      <c r="Q99" s="44">
        <v>21871</v>
      </c>
      <c r="R99" s="87">
        <v>20.054252000542519</v>
      </c>
      <c r="S99" s="87">
        <v>20.235216531105738</v>
      </c>
      <c r="T99" s="87">
        <v>21.400293458099167</v>
      </c>
      <c r="U99" s="87">
        <v>21.846952583469111</v>
      </c>
      <c r="V99" s="87">
        <v>22.381587725150101</v>
      </c>
      <c r="W99" s="87">
        <v>32.65699172656992</v>
      </c>
      <c r="X99" s="87">
        <v>35.147834688942623</v>
      </c>
      <c r="Y99" s="87">
        <v>35.469671382298387</v>
      </c>
      <c r="Z99" s="87">
        <v>34.947943994918674</v>
      </c>
      <c r="AA99" s="42">
        <v>34.814876584389594</v>
      </c>
      <c r="AB99" s="87">
        <v>52.711243727112439</v>
      </c>
      <c r="AC99" s="87">
        <v>55.383051220048365</v>
      </c>
      <c r="AD99" s="87">
        <v>56.86996484039755</v>
      </c>
      <c r="AE99" s="87">
        <v>56.794896578387785</v>
      </c>
      <c r="AF99" s="87">
        <v>57.196464309539692</v>
      </c>
      <c r="AG99" s="88">
        <v>5.07148890905109</v>
      </c>
      <c r="AH99" s="88">
        <v>8.4945699662963428</v>
      </c>
      <c r="AI99" s="88">
        <v>7.4176755075008467</v>
      </c>
      <c r="AJ99" s="43">
        <v>6.3777621134573543</v>
      </c>
      <c r="AK99" s="43">
        <v>5.4377795478218243</v>
      </c>
      <c r="AL99" s="47">
        <v>1054.6666666666667</v>
      </c>
      <c r="AM99" s="47">
        <v>1460.5</v>
      </c>
      <c r="AN99" s="47">
        <v>1054.6666666666667</v>
      </c>
      <c r="AO99" s="47">
        <v>2172.9166666666665</v>
      </c>
      <c r="AP99" s="47">
        <v>2328.1666666666665</v>
      </c>
      <c r="AQ99" s="47">
        <v>39937.305906860078</v>
      </c>
      <c r="AR99" s="47">
        <v>39283.64921638216</v>
      </c>
      <c r="AS99" s="47">
        <v>39549.306219913851</v>
      </c>
      <c r="AT99" s="47">
        <v>40975.549392062429</v>
      </c>
      <c r="AU99" s="47">
        <v>42386.999805492196</v>
      </c>
      <c r="AV99" s="50" t="s">
        <v>158</v>
      </c>
      <c r="AW99" s="50" t="s">
        <v>158</v>
      </c>
      <c r="AX99" s="50" t="s">
        <v>158</v>
      </c>
      <c r="AY99" s="50" t="s">
        <v>158</v>
      </c>
      <c r="AZ99" s="50" t="s">
        <v>158</v>
      </c>
      <c r="BA99" s="83">
        <v>7.3397136072533637</v>
      </c>
      <c r="BB99" s="46">
        <v>7.5100372813306571</v>
      </c>
      <c r="BC99" s="46">
        <v>9.1084337349397586</v>
      </c>
      <c r="BD99" s="46">
        <v>8.8375242813608264</v>
      </c>
      <c r="BE99" s="46">
        <v>8.1948741795289113</v>
      </c>
      <c r="BF99" s="83">
        <v>9.175142817333148</v>
      </c>
      <c r="BG99" s="46">
        <v>10.202060221870047</v>
      </c>
      <c r="BH99" s="46">
        <v>11.885864217776319</v>
      </c>
      <c r="BI99" s="46">
        <v>12.287910922587487</v>
      </c>
      <c r="BJ99" s="46">
        <v>11.871901380142035</v>
      </c>
      <c r="BK99" s="42">
        <v>10465</v>
      </c>
      <c r="BL99" s="42">
        <v>10575</v>
      </c>
      <c r="BM99" s="42">
        <v>10565</v>
      </c>
      <c r="BN99" s="42">
        <v>10553</v>
      </c>
      <c r="BO99" s="43">
        <v>30.492116579073102</v>
      </c>
      <c r="BP99" s="43">
        <v>29.900709219858157</v>
      </c>
      <c r="BQ99" s="88">
        <v>32.901088499763368</v>
      </c>
      <c r="BR99" s="88">
        <v>34.473609400170567</v>
      </c>
      <c r="BS99" s="89">
        <v>5.2078356426182513</v>
      </c>
      <c r="BT99" s="89">
        <v>5.7399527186761228</v>
      </c>
      <c r="BU99" s="87">
        <v>5.3857075248461905</v>
      </c>
      <c r="BV99" s="87">
        <v>5.941438453520326</v>
      </c>
      <c r="BW99" s="43">
        <v>11.543239369326326</v>
      </c>
      <c r="BX99" s="43">
        <v>11.74468085106383</v>
      </c>
      <c r="BY99" s="43">
        <v>12.08707998106957</v>
      </c>
      <c r="BZ99" s="43">
        <v>12.479863545911115</v>
      </c>
      <c r="CA99" s="42">
        <v>85.269461077844312</v>
      </c>
      <c r="CB99" s="42">
        <v>87.410926365795731</v>
      </c>
      <c r="CC99" s="42">
        <v>87.826086956521735</v>
      </c>
      <c r="CD99" s="44">
        <v>88.662420382165607</v>
      </c>
      <c r="CE99" s="43">
        <v>3.7125748502994012</v>
      </c>
      <c r="CF99" s="43">
        <v>2.6128266033254155</v>
      </c>
      <c r="CG99" s="43">
        <v>3.7267080745341614</v>
      </c>
      <c r="CH99" s="44">
        <v>4.2038216560509554</v>
      </c>
      <c r="CI99" s="42">
        <v>3220</v>
      </c>
      <c r="CJ99" s="49">
        <v>3541</v>
      </c>
      <c r="CK99" s="54">
        <v>4084</v>
      </c>
      <c r="CL99" s="54">
        <v>3826</v>
      </c>
      <c r="CM99" s="88">
        <v>13.4</v>
      </c>
      <c r="CN99" s="88">
        <v>13.9</v>
      </c>
      <c r="CO99" s="88">
        <v>14.8</v>
      </c>
      <c r="CP99" s="88">
        <v>13.5</v>
      </c>
      <c r="CQ99" s="53">
        <v>143</v>
      </c>
      <c r="CR99" s="53">
        <v>157</v>
      </c>
      <c r="CS99" s="53">
        <v>157</v>
      </c>
      <c r="CT99" s="53">
        <v>168</v>
      </c>
      <c r="CU99" s="88">
        <v>4.5999999999999996</v>
      </c>
      <c r="CV99" s="88">
        <v>4.5999999999999996</v>
      </c>
      <c r="CW99" s="88">
        <v>4</v>
      </c>
      <c r="CX99" s="88">
        <v>4.5</v>
      </c>
      <c r="CY99" s="51">
        <v>212</v>
      </c>
      <c r="CZ99" s="53">
        <v>253</v>
      </c>
      <c r="DA99" s="53">
        <v>292</v>
      </c>
      <c r="DB99" s="53">
        <v>290</v>
      </c>
      <c r="DC99" s="88">
        <v>7.6</v>
      </c>
      <c r="DD99" s="88">
        <v>8</v>
      </c>
      <c r="DE99" s="88">
        <v>7.9</v>
      </c>
      <c r="DF99" s="88">
        <v>8.1</v>
      </c>
      <c r="DG99" s="88">
        <v>86.6</v>
      </c>
      <c r="DH99" s="88">
        <v>86.1</v>
      </c>
      <c r="DI99" s="88">
        <v>88</v>
      </c>
      <c r="DJ99" s="88">
        <v>88.3</v>
      </c>
      <c r="DK99" s="88">
        <v>15.7</v>
      </c>
      <c r="DL99" s="88">
        <v>14.9</v>
      </c>
      <c r="DM99" s="88">
        <v>13</v>
      </c>
      <c r="DN99" s="88">
        <v>12.879581151832461</v>
      </c>
      <c r="DO99" s="88">
        <v>20.6</v>
      </c>
      <c r="DP99" s="88">
        <v>24.2</v>
      </c>
      <c r="DQ99" s="88">
        <v>28.5</v>
      </c>
      <c r="DR99" s="88">
        <v>34.1</v>
      </c>
      <c r="DS99" s="88">
        <v>31.293787949556283</v>
      </c>
      <c r="DT99" s="88">
        <v>31.698564593301434</v>
      </c>
      <c r="DU99" s="88">
        <v>30.825651699871148</v>
      </c>
      <c r="DV99" s="88">
        <v>26.865983692243361</v>
      </c>
      <c r="DW99" s="54">
        <v>601</v>
      </c>
      <c r="DX99" s="54">
        <v>32</v>
      </c>
      <c r="DY99" s="51">
        <v>3</v>
      </c>
      <c r="DZ99" s="53">
        <v>5</v>
      </c>
      <c r="EA99" s="53">
        <v>59</v>
      </c>
      <c r="EB99" s="75">
        <v>19</v>
      </c>
      <c r="EC99" s="75">
        <v>24</v>
      </c>
      <c r="ED99" s="75">
        <v>19</v>
      </c>
      <c r="EE99" s="75">
        <v>14</v>
      </c>
      <c r="EF99" s="75">
        <f t="shared" ref="EF99:EI99" si="26">EF23+EF77</f>
        <v>1959</v>
      </c>
      <c r="EG99" s="75">
        <f t="shared" si="26"/>
        <v>2010</v>
      </c>
      <c r="EH99" s="75">
        <f t="shared" si="26"/>
        <v>1898</v>
      </c>
      <c r="EI99" s="75">
        <f t="shared" si="26"/>
        <v>2099</v>
      </c>
      <c r="EJ99" s="75">
        <f>EJ23+EJ77</f>
        <v>437</v>
      </c>
      <c r="EK99" s="75">
        <f t="shared" ref="EK99:EN99" si="27">EK23+EK77</f>
        <v>1</v>
      </c>
      <c r="EL99" s="75">
        <f t="shared" si="27"/>
        <v>0</v>
      </c>
      <c r="EM99" s="75">
        <f t="shared" si="27"/>
        <v>1</v>
      </c>
      <c r="EN99" s="75">
        <f t="shared" si="27"/>
        <v>4</v>
      </c>
      <c r="EO99" s="88">
        <v>813.70716510903424</v>
      </c>
      <c r="EP99" s="88">
        <v>787.74719977425752</v>
      </c>
      <c r="EQ99" s="88">
        <v>688.98924044199862</v>
      </c>
      <c r="ER99" s="88">
        <v>732.26564847713496</v>
      </c>
      <c r="ES99" s="88">
        <v>736.3</v>
      </c>
      <c r="ET99" s="88">
        <v>718.6</v>
      </c>
      <c r="EU99" s="88">
        <v>623.5</v>
      </c>
      <c r="EV99" s="43">
        <v>630.20000000000005</v>
      </c>
      <c r="EW99" s="43">
        <v>923.75733499081787</v>
      </c>
      <c r="EX99" s="43">
        <v>852.95110148569609</v>
      </c>
      <c r="EY99" s="43">
        <v>766.78003879464541</v>
      </c>
      <c r="EZ99" s="88">
        <v>755.56513105647832</v>
      </c>
      <c r="FA99" s="88">
        <v>602.19775383730052</v>
      </c>
      <c r="FB99" s="88">
        <v>617.29481222500624</v>
      </c>
      <c r="FC99" s="88">
        <v>507.44147768208461</v>
      </c>
      <c r="FD99" s="88">
        <v>530.33036951940971</v>
      </c>
      <c r="FE99" s="51">
        <v>448</v>
      </c>
      <c r="FF99" s="54">
        <v>445</v>
      </c>
      <c r="FG99" s="54">
        <v>467</v>
      </c>
      <c r="FH99" s="54">
        <v>506</v>
      </c>
      <c r="FI99" s="88">
        <v>176.30600000000001</v>
      </c>
      <c r="FJ99" s="88">
        <v>167.39670000000001</v>
      </c>
      <c r="FK99" s="88">
        <v>161.49969999999999</v>
      </c>
      <c r="FL99" s="88">
        <v>160.2116</v>
      </c>
      <c r="FM99" s="54">
        <v>585</v>
      </c>
      <c r="FN99" s="54">
        <v>554</v>
      </c>
      <c r="FO99" s="51">
        <v>495</v>
      </c>
      <c r="FP99" s="54">
        <v>501</v>
      </c>
      <c r="FQ99" s="88">
        <v>217.06030000000001</v>
      </c>
      <c r="FR99" s="88">
        <v>194.52940000000001</v>
      </c>
      <c r="FS99" s="88">
        <v>158.256</v>
      </c>
      <c r="FT99" s="88">
        <v>146.369</v>
      </c>
      <c r="FU99" s="46">
        <v>149</v>
      </c>
      <c r="FV99" s="46">
        <v>139</v>
      </c>
      <c r="FW99" s="46">
        <v>117</v>
      </c>
      <c r="FX99" s="46">
        <v>117</v>
      </c>
      <c r="FY99" s="88">
        <v>53.355530000000002</v>
      </c>
      <c r="FZ99" s="43">
        <v>47.961799999999997</v>
      </c>
      <c r="GA99" s="43">
        <v>36.18788</v>
      </c>
      <c r="GB99" s="43">
        <v>32.945889999999999</v>
      </c>
      <c r="GC99" s="59">
        <v>96</v>
      </c>
      <c r="GD99" s="56">
        <v>118</v>
      </c>
      <c r="GE99" s="59">
        <v>122</v>
      </c>
      <c r="GF99" s="59">
        <v>114</v>
      </c>
      <c r="GG99" s="65">
        <v>38.752679999999998</v>
      </c>
      <c r="GH99" s="65">
        <v>43.914230000000003</v>
      </c>
      <c r="GI99" s="91">
        <v>41.109929999999999</v>
      </c>
      <c r="GJ99" s="65">
        <v>35.917090000000002</v>
      </c>
      <c r="GK99" s="59"/>
      <c r="GL99" s="59"/>
      <c r="GM99" s="59"/>
      <c r="GN99" s="56"/>
      <c r="GO99" s="59"/>
      <c r="GP99" s="59"/>
      <c r="GQ99" s="59"/>
      <c r="GR99" s="59"/>
      <c r="GS99" s="56"/>
      <c r="GT99" s="59"/>
      <c r="GU99" s="59"/>
      <c r="GV99" s="59"/>
      <c r="GW99" s="59"/>
      <c r="GX99" s="56"/>
      <c r="GY99" s="56"/>
      <c r="GZ99" s="56"/>
      <c r="HA99" s="56"/>
      <c r="HB99" s="56"/>
      <c r="HC99" s="56"/>
      <c r="HD99" s="57"/>
      <c r="HE99" s="57"/>
      <c r="HF99" s="57"/>
      <c r="HG99" s="57"/>
      <c r="HH99" s="57"/>
      <c r="HI99" s="58"/>
      <c r="HJ99" s="58"/>
      <c r="HK99" s="55"/>
      <c r="HL99" s="56"/>
      <c r="HM99" s="56"/>
      <c r="HN99" s="56"/>
      <c r="HO99" s="56"/>
      <c r="HP99" s="56"/>
      <c r="HQ99" s="56"/>
      <c r="HR99" s="56"/>
      <c r="HS99" s="56"/>
      <c r="HT99" s="56"/>
      <c r="HU99" s="38"/>
    </row>
    <row r="100" spans="1:229" x14ac:dyDescent="0.2">
      <c r="A100" s="76" t="s">
        <v>459</v>
      </c>
      <c r="B100" s="74" t="s">
        <v>494</v>
      </c>
      <c r="C100" s="75">
        <f>C26+C31</f>
        <v>40095</v>
      </c>
      <c r="D100" s="75">
        <f>D26+D31</f>
        <v>40082</v>
      </c>
      <c r="E100" s="75">
        <f>E26+E31</f>
        <v>39893</v>
      </c>
      <c r="F100" s="75">
        <f>F26+F31</f>
        <v>39792</v>
      </c>
      <c r="G100" s="150">
        <v>39671</v>
      </c>
      <c r="H100" s="75">
        <v>38858</v>
      </c>
      <c r="I100" s="75">
        <v>181</v>
      </c>
      <c r="J100" s="75">
        <v>64</v>
      </c>
      <c r="K100" s="75">
        <v>178</v>
      </c>
      <c r="L100" s="75">
        <v>375</v>
      </c>
      <c r="M100" s="75">
        <f t="shared" ref="M100:O100" si="28">M26+M31</f>
        <v>16436</v>
      </c>
      <c r="N100" s="75">
        <f t="shared" si="28"/>
        <v>16412</v>
      </c>
      <c r="O100" s="75">
        <f t="shared" si="28"/>
        <v>16394</v>
      </c>
      <c r="P100" s="44">
        <v>16440</v>
      </c>
      <c r="Q100" s="44">
        <v>16441</v>
      </c>
      <c r="R100" s="87">
        <v>27.412110887409014</v>
      </c>
      <c r="S100" s="87">
        <v>28.530259365994237</v>
      </c>
      <c r="T100" s="87">
        <v>29.361890219400465</v>
      </c>
      <c r="U100" s="87">
        <v>30.055546610851714</v>
      </c>
      <c r="V100" s="87">
        <v>30.88622997363618</v>
      </c>
      <c r="W100" s="87">
        <v>27.826389964379743</v>
      </c>
      <c r="X100" s="87">
        <v>29.70273577829537</v>
      </c>
      <c r="Y100" s="87">
        <v>30.941091376677651</v>
      </c>
      <c r="Z100" s="87">
        <v>30.111898245049108</v>
      </c>
      <c r="AA100" s="42">
        <v>30.018251875887245</v>
      </c>
      <c r="AB100" s="87">
        <v>55.238500851788757</v>
      </c>
      <c r="AC100" s="87">
        <v>58.232995144289603</v>
      </c>
      <c r="AD100" s="87">
        <v>60.302981596078119</v>
      </c>
      <c r="AE100" s="87">
        <v>60.167444855900818</v>
      </c>
      <c r="AF100" s="87">
        <v>60.904481849523421</v>
      </c>
      <c r="AG100" s="88">
        <v>5.8644083230888313</v>
      </c>
      <c r="AH100" s="88">
        <v>8.3411643621067704</v>
      </c>
      <c r="AI100" s="88">
        <v>7.5600017550787593</v>
      </c>
      <c r="AJ100" s="43">
        <v>6.8060986862340176</v>
      </c>
      <c r="AK100" s="43">
        <v>5.8539229414156013</v>
      </c>
      <c r="AL100" s="47">
        <v>693.58333333333337</v>
      </c>
      <c r="AM100" s="47">
        <v>924.66666666666674</v>
      </c>
      <c r="AN100" s="47">
        <v>693.58333333333337</v>
      </c>
      <c r="AO100" s="47">
        <v>1255.75</v>
      </c>
      <c r="AP100" s="47">
        <v>1276.9166666666667</v>
      </c>
      <c r="AQ100" s="47">
        <v>37697.051239437606</v>
      </c>
      <c r="AR100" s="47">
        <v>37573.720988354558</v>
      </c>
      <c r="AS100" s="47">
        <v>39276.504971499147</v>
      </c>
      <c r="AT100" s="47">
        <v>40339.712774691805</v>
      </c>
      <c r="AU100" s="47">
        <v>41581.83559779184</v>
      </c>
      <c r="AV100" s="50" t="s">
        <v>158</v>
      </c>
      <c r="AW100" s="50" t="s">
        <v>158</v>
      </c>
      <c r="AX100" s="50" t="s">
        <v>158</v>
      </c>
      <c r="AY100" s="50" t="s">
        <v>158</v>
      </c>
      <c r="AZ100" s="50" t="s">
        <v>158</v>
      </c>
      <c r="BA100" s="83">
        <v>9.8776446596992091</v>
      </c>
      <c r="BB100" s="46">
        <v>10.736885078587466</v>
      </c>
      <c r="BC100" s="46">
        <v>10.93021478254223</v>
      </c>
      <c r="BD100" s="46">
        <v>10.94970640796528</v>
      </c>
      <c r="BE100" s="46">
        <v>11.325295036223537</v>
      </c>
      <c r="BF100" s="83">
        <v>12.409329315924563</v>
      </c>
      <c r="BG100" s="46">
        <v>14.540926808142054</v>
      </c>
      <c r="BH100" s="46">
        <v>15.800149460873278</v>
      </c>
      <c r="BI100" s="46">
        <v>15.439482058597608</v>
      </c>
      <c r="BJ100" s="46">
        <v>15.462653288740245</v>
      </c>
      <c r="BK100" s="42">
        <v>6848</v>
      </c>
      <c r="BL100" s="42">
        <v>6780</v>
      </c>
      <c r="BM100" s="42">
        <v>7005</v>
      </c>
      <c r="BN100" s="42">
        <v>7357</v>
      </c>
      <c r="BO100" s="43">
        <v>30.432242990654206</v>
      </c>
      <c r="BP100" s="43">
        <v>29.749262536873157</v>
      </c>
      <c r="BQ100" s="88">
        <v>29.236259814418272</v>
      </c>
      <c r="BR100" s="88">
        <v>30.392823161614789</v>
      </c>
      <c r="BS100" s="89">
        <v>2.9205607476635514E-2</v>
      </c>
      <c r="BT100" s="89">
        <v>1.4749262536873156E-2</v>
      </c>
      <c r="BU100" s="87">
        <v>4.2826552462526764E-2</v>
      </c>
      <c r="BV100" s="87">
        <v>2.7184993883376377E-2</v>
      </c>
      <c r="BW100" s="43">
        <v>10.893691588785046</v>
      </c>
      <c r="BX100" s="43">
        <v>11.976401179941004</v>
      </c>
      <c r="BY100" s="43">
        <v>11.934332619557459</v>
      </c>
      <c r="BZ100" s="43">
        <v>12.68179964659508</v>
      </c>
      <c r="CA100" s="42">
        <v>82.163742690058484</v>
      </c>
      <c r="CB100" s="42">
        <v>77.611940298507463</v>
      </c>
      <c r="CC100" s="42">
        <v>75.851851851851848</v>
      </c>
      <c r="CD100" s="44">
        <v>71.944444444444443</v>
      </c>
      <c r="CE100" s="43">
        <v>5.8479532163742691</v>
      </c>
      <c r="CF100" s="43">
        <v>8.8059701492537314</v>
      </c>
      <c r="CG100" s="43">
        <v>10.814814814814815</v>
      </c>
      <c r="CH100" s="44">
        <v>12.916666666666666</v>
      </c>
      <c r="CI100" s="42">
        <v>2356</v>
      </c>
      <c r="CJ100" s="49">
        <v>2267</v>
      </c>
      <c r="CK100" s="54">
        <v>2559</v>
      </c>
      <c r="CL100" s="54">
        <v>2219</v>
      </c>
      <c r="CM100" s="88">
        <v>11.8</v>
      </c>
      <c r="CN100" s="88">
        <v>11.1</v>
      </c>
      <c r="CO100" s="88">
        <v>12.5</v>
      </c>
      <c r="CP100" s="88">
        <v>11.1</v>
      </c>
      <c r="CQ100" s="53">
        <v>73</v>
      </c>
      <c r="CR100" s="53">
        <v>121</v>
      </c>
      <c r="CS100" s="53">
        <v>102</v>
      </c>
      <c r="CT100" s="53">
        <v>97</v>
      </c>
      <c r="CU100" s="88">
        <v>3.2</v>
      </c>
      <c r="CV100" s="88">
        <v>5.6</v>
      </c>
      <c r="CW100" s="88">
        <v>4.0999999999999996</v>
      </c>
      <c r="CX100" s="88">
        <v>4.5</v>
      </c>
      <c r="CY100" s="51">
        <v>134</v>
      </c>
      <c r="CZ100" s="53">
        <v>156</v>
      </c>
      <c r="DA100" s="53">
        <v>166</v>
      </c>
      <c r="DB100" s="53">
        <v>134</v>
      </c>
      <c r="DC100" s="88">
        <v>6.5</v>
      </c>
      <c r="DD100" s="88">
        <v>8.3000000000000007</v>
      </c>
      <c r="DE100" s="88">
        <v>7.1</v>
      </c>
      <c r="DF100" s="88">
        <v>6.7</v>
      </c>
      <c r="DG100" s="88">
        <v>85.7</v>
      </c>
      <c r="DH100" s="88">
        <v>85.2</v>
      </c>
      <c r="DI100" s="88">
        <v>83.8</v>
      </c>
      <c r="DJ100" s="88">
        <v>82.8</v>
      </c>
      <c r="DK100" s="88">
        <v>12.2</v>
      </c>
      <c r="DL100" s="88">
        <v>12.4</v>
      </c>
      <c r="DM100" s="88">
        <v>11.3</v>
      </c>
      <c r="DN100" s="88">
        <v>12.99771167048055</v>
      </c>
      <c r="DO100" s="88">
        <v>18.100000000000001</v>
      </c>
      <c r="DP100" s="88">
        <v>19.399999999999999</v>
      </c>
      <c r="DQ100" s="88">
        <v>23.7</v>
      </c>
      <c r="DR100" s="88">
        <v>24.6</v>
      </c>
      <c r="DS100" s="88">
        <v>25.437435671224819</v>
      </c>
      <c r="DT100" s="88">
        <v>15.334632878492528</v>
      </c>
      <c r="DU100" s="88">
        <v>18.662110658430805</v>
      </c>
      <c r="DV100" s="88">
        <v>14.721189591078067</v>
      </c>
      <c r="DW100" s="54">
        <v>419</v>
      </c>
      <c r="DX100" s="54">
        <v>2</v>
      </c>
      <c r="DY100" s="51">
        <v>2</v>
      </c>
      <c r="DZ100" s="53">
        <v>6</v>
      </c>
      <c r="EA100" s="53">
        <v>2</v>
      </c>
      <c r="EB100" s="75">
        <v>12</v>
      </c>
      <c r="EC100" s="75">
        <v>19</v>
      </c>
      <c r="ED100" s="75">
        <v>13</v>
      </c>
      <c r="EE100" s="75">
        <v>9</v>
      </c>
      <c r="EF100" s="75">
        <f t="shared" ref="EF100:EI100" si="29">EF26+EF31</f>
        <v>2237</v>
      </c>
      <c r="EG100" s="75">
        <f t="shared" si="29"/>
        <v>2230</v>
      </c>
      <c r="EH100" s="75">
        <f t="shared" si="29"/>
        <v>2101</v>
      </c>
      <c r="EI100" s="75">
        <f t="shared" si="29"/>
        <v>1965</v>
      </c>
      <c r="EJ100" s="75">
        <f>EJ26+EJ31</f>
        <v>375</v>
      </c>
      <c r="EK100" s="75">
        <f t="shared" ref="EK100:EN100" si="30">EK26+EK31</f>
        <v>1</v>
      </c>
      <c r="EL100" s="75">
        <f t="shared" si="30"/>
        <v>0</v>
      </c>
      <c r="EM100" s="75">
        <f t="shared" si="30"/>
        <v>0</v>
      </c>
      <c r="EN100" s="75">
        <f t="shared" si="30"/>
        <v>2</v>
      </c>
      <c r="EO100" s="88">
        <v>1121.8430924153979</v>
      </c>
      <c r="EP100" s="88">
        <v>1095.6077429497886</v>
      </c>
      <c r="EQ100" s="88">
        <v>1023.1362217493146</v>
      </c>
      <c r="ER100" s="88">
        <v>990.85461210293875</v>
      </c>
      <c r="ES100" s="88">
        <v>760.8</v>
      </c>
      <c r="ET100" s="88">
        <v>733.1</v>
      </c>
      <c r="EU100" s="88">
        <v>658.6</v>
      </c>
      <c r="EV100" s="43">
        <v>609.9</v>
      </c>
      <c r="EW100" s="43">
        <v>926.29401108882348</v>
      </c>
      <c r="EX100" s="43">
        <v>915.80911630340779</v>
      </c>
      <c r="EY100" s="43">
        <v>821.05305247816739</v>
      </c>
      <c r="EZ100" s="88">
        <v>740.84575541575805</v>
      </c>
      <c r="FA100" s="88">
        <v>631.71589846744018</v>
      </c>
      <c r="FB100" s="88">
        <v>593.04597881262259</v>
      </c>
      <c r="FC100" s="88">
        <v>531.08412644216662</v>
      </c>
      <c r="FD100" s="88">
        <v>503.6499009938114</v>
      </c>
      <c r="FE100" s="51">
        <v>491</v>
      </c>
      <c r="FF100" s="54">
        <v>460</v>
      </c>
      <c r="FG100" s="54">
        <v>471</v>
      </c>
      <c r="FH100" s="54">
        <v>447</v>
      </c>
      <c r="FI100" s="88">
        <v>180.4222</v>
      </c>
      <c r="FJ100" s="88">
        <v>165.18190000000001</v>
      </c>
      <c r="FK100" s="88">
        <v>164.6541</v>
      </c>
      <c r="FL100" s="88">
        <v>152.26759999999999</v>
      </c>
      <c r="FM100" s="54">
        <v>651</v>
      </c>
      <c r="FN100" s="54">
        <v>592</v>
      </c>
      <c r="FO100" s="51">
        <v>455</v>
      </c>
      <c r="FP100" s="54">
        <v>421</v>
      </c>
      <c r="FQ100" s="88">
        <v>211.25839999999999</v>
      </c>
      <c r="FR100" s="88">
        <v>183.01179999999999</v>
      </c>
      <c r="FS100" s="88">
        <v>134.94890000000001</v>
      </c>
      <c r="FT100" s="88">
        <v>121.4833</v>
      </c>
      <c r="FU100" s="46">
        <v>182</v>
      </c>
      <c r="FV100" s="46">
        <v>158</v>
      </c>
      <c r="FW100" s="46">
        <v>142</v>
      </c>
      <c r="FX100" s="46">
        <v>122</v>
      </c>
      <c r="FY100" s="88">
        <v>57.010599999999997</v>
      </c>
      <c r="FZ100" s="43">
        <v>47.051990000000004</v>
      </c>
      <c r="GA100" s="43">
        <v>40.738959999999999</v>
      </c>
      <c r="GB100" s="43">
        <v>33.223289999999999</v>
      </c>
      <c r="GC100" s="59">
        <v>80</v>
      </c>
      <c r="GD100" s="56">
        <v>131</v>
      </c>
      <c r="GE100" s="59">
        <v>107</v>
      </c>
      <c r="GF100" s="59">
        <v>122</v>
      </c>
      <c r="GG100" s="65">
        <v>35.934710000000003</v>
      </c>
      <c r="GH100" s="65">
        <v>53.11835</v>
      </c>
      <c r="GI100" s="91">
        <v>37.697220000000002</v>
      </c>
      <c r="GJ100" s="65">
        <v>44.302190000000003</v>
      </c>
      <c r="GK100" s="59"/>
      <c r="GL100" s="59"/>
      <c r="GM100" s="59"/>
      <c r="GN100" s="56"/>
      <c r="GO100" s="59"/>
      <c r="GP100" s="59"/>
      <c r="GQ100" s="59"/>
      <c r="GR100" s="59"/>
      <c r="GS100" s="56"/>
      <c r="GT100" s="59"/>
      <c r="GU100" s="59"/>
      <c r="GV100" s="59"/>
      <c r="GW100" s="59"/>
      <c r="GX100" s="56"/>
      <c r="GY100" s="56"/>
      <c r="GZ100" s="56"/>
      <c r="HA100" s="56"/>
      <c r="HB100" s="56"/>
      <c r="HC100" s="56"/>
      <c r="HD100" s="57"/>
      <c r="HE100" s="57"/>
      <c r="HF100" s="57"/>
      <c r="HG100" s="57"/>
      <c r="HH100" s="57"/>
      <c r="HI100" s="58"/>
      <c r="HJ100" s="58"/>
      <c r="HK100" s="55"/>
      <c r="HL100" s="56"/>
      <c r="HM100" s="56"/>
      <c r="HN100" s="56"/>
      <c r="HO100" s="56"/>
      <c r="HP100" s="56"/>
      <c r="HQ100" s="56"/>
      <c r="HR100" s="56"/>
      <c r="HS100" s="56"/>
      <c r="HT100" s="56"/>
      <c r="HU100" s="38"/>
    </row>
    <row r="101" spans="1:229" x14ac:dyDescent="0.2">
      <c r="A101" s="76" t="s">
        <v>460</v>
      </c>
      <c r="B101" s="74" t="s">
        <v>495</v>
      </c>
      <c r="C101" s="75">
        <f>C25+C49</f>
        <v>35059</v>
      </c>
      <c r="D101" s="75">
        <f>D25+D49</f>
        <v>34751</v>
      </c>
      <c r="E101" s="75">
        <f>E25+E49</f>
        <v>35393</v>
      </c>
      <c r="F101" s="75">
        <f>F25+F49</f>
        <v>35197</v>
      </c>
      <c r="G101" s="150">
        <v>34738</v>
      </c>
      <c r="H101" s="75">
        <v>33968</v>
      </c>
      <c r="I101" s="75">
        <v>152</v>
      </c>
      <c r="J101" s="75">
        <v>145</v>
      </c>
      <c r="K101" s="75">
        <v>186</v>
      </c>
      <c r="L101" s="75">
        <v>1626</v>
      </c>
      <c r="M101" s="75">
        <f t="shared" ref="M101:O101" si="31">M25+M49</f>
        <v>15386</v>
      </c>
      <c r="N101" s="75">
        <f t="shared" si="31"/>
        <v>15300</v>
      </c>
      <c r="O101" s="75">
        <f t="shared" si="31"/>
        <v>15271</v>
      </c>
      <c r="P101" s="44">
        <v>15263</v>
      </c>
      <c r="Q101" s="44">
        <v>15161</v>
      </c>
      <c r="R101" s="87">
        <v>34.765156408600163</v>
      </c>
      <c r="S101" s="87">
        <v>35.440330782757471</v>
      </c>
      <c r="T101" s="87">
        <v>34.739086106219297</v>
      </c>
      <c r="U101" s="87">
        <v>34.899360201746603</v>
      </c>
      <c r="V101" s="87">
        <v>35.654529898279307</v>
      </c>
      <c r="W101" s="87">
        <v>26.990864630432778</v>
      </c>
      <c r="X101" s="87">
        <v>29.718169288531914</v>
      </c>
      <c r="Y101" s="87">
        <v>29.284456390768376</v>
      </c>
      <c r="Z101" s="87">
        <v>29.472750198477559</v>
      </c>
      <c r="AA101" s="42">
        <v>29.465728681433596</v>
      </c>
      <c r="AB101" s="87">
        <v>61.756021039032944</v>
      </c>
      <c r="AC101" s="87">
        <v>65.158500071289382</v>
      </c>
      <c r="AD101" s="87">
        <v>64.023542496987673</v>
      </c>
      <c r="AE101" s="87">
        <v>64.372110400224159</v>
      </c>
      <c r="AF101" s="87">
        <v>65.120258579712896</v>
      </c>
      <c r="AG101" s="88">
        <v>5.3838587772428435</v>
      </c>
      <c r="AH101" s="88">
        <v>8.4724862559728713</v>
      </c>
      <c r="AI101" s="88">
        <v>7.4368783473603672</v>
      </c>
      <c r="AJ101" s="43">
        <v>6.6761725314457401</v>
      </c>
      <c r="AK101" s="43">
        <v>5.633581385598994</v>
      </c>
      <c r="AL101" s="47">
        <v>839.5</v>
      </c>
      <c r="AM101" s="47">
        <v>1073.5</v>
      </c>
      <c r="AN101" s="47">
        <v>839.5</v>
      </c>
      <c r="AO101" s="47">
        <v>1568</v>
      </c>
      <c r="AP101" s="47">
        <v>1654.3333333333335</v>
      </c>
      <c r="AQ101" s="47">
        <v>46375.811207073944</v>
      </c>
      <c r="AR101" s="47">
        <v>45339.12826993956</v>
      </c>
      <c r="AS101" s="47">
        <v>44925.330968212744</v>
      </c>
      <c r="AT101" s="47">
        <v>48182.69483549225</v>
      </c>
      <c r="AU101" s="47">
        <v>52494.357763832115</v>
      </c>
      <c r="AV101" s="50" t="s">
        <v>158</v>
      </c>
      <c r="AW101" s="50" t="s">
        <v>158</v>
      </c>
      <c r="AX101" s="50" t="s">
        <v>158</v>
      </c>
      <c r="AY101" s="50" t="s">
        <v>158</v>
      </c>
      <c r="AZ101" s="50" t="s">
        <v>158</v>
      </c>
      <c r="BA101" s="83">
        <v>11.041886041886041</v>
      </c>
      <c r="BB101" s="46">
        <v>12.041111668980182</v>
      </c>
      <c r="BC101" s="46">
        <v>11.252990516818954</v>
      </c>
      <c r="BD101" s="46">
        <v>12.942743780590229</v>
      </c>
      <c r="BE101" s="46">
        <v>13.071032479535253</v>
      </c>
      <c r="BF101" s="83">
        <v>14.79683816391624</v>
      </c>
      <c r="BG101" s="46">
        <v>17.171052631578949</v>
      </c>
      <c r="BH101" s="46">
        <v>18.235525797558093</v>
      </c>
      <c r="BI101" s="46">
        <v>19.597655209166</v>
      </c>
      <c r="BJ101" s="46">
        <v>20.129519697787373</v>
      </c>
      <c r="BK101" s="42">
        <v>5086</v>
      </c>
      <c r="BL101" s="42">
        <v>4996</v>
      </c>
      <c r="BM101" s="42">
        <v>4982</v>
      </c>
      <c r="BN101" s="42">
        <v>4957</v>
      </c>
      <c r="BO101" s="43">
        <v>42.292567833267796</v>
      </c>
      <c r="BP101" s="43">
        <v>42.874299439551642</v>
      </c>
      <c r="BQ101" s="88">
        <v>44.058610999598557</v>
      </c>
      <c r="BR101" s="88">
        <v>44.079080088763362</v>
      </c>
      <c r="BS101" s="89">
        <v>3.1065670467951239</v>
      </c>
      <c r="BT101" s="89">
        <v>2.7021617293835067</v>
      </c>
      <c r="BU101" s="87">
        <v>2.5291047771979125</v>
      </c>
      <c r="BV101" s="87">
        <v>2.5015130119023601</v>
      </c>
      <c r="BW101" s="43">
        <v>16.397955171057806</v>
      </c>
      <c r="BX101" s="43">
        <v>16.012810248198559</v>
      </c>
      <c r="BY101" s="43">
        <v>15.53592934564432</v>
      </c>
      <c r="BZ101" s="43">
        <v>15.271333467823281</v>
      </c>
      <c r="CA101" s="42">
        <v>80.638722554890222</v>
      </c>
      <c r="CB101" s="42">
        <v>82.574257425742573</v>
      </c>
      <c r="CC101" s="42">
        <v>78.241758241758248</v>
      </c>
      <c r="CD101" s="44">
        <v>81.902552204176331</v>
      </c>
      <c r="CE101" s="43">
        <v>5.5888223552894214</v>
      </c>
      <c r="CF101" s="43">
        <v>2.9702970297029703</v>
      </c>
      <c r="CG101" s="43">
        <v>5.9340659340659343</v>
      </c>
      <c r="CH101" s="44">
        <v>3.7122969837587005</v>
      </c>
      <c r="CI101" s="42">
        <v>2029</v>
      </c>
      <c r="CJ101" s="49">
        <v>1922</v>
      </c>
      <c r="CK101" s="54">
        <v>2044</v>
      </c>
      <c r="CL101" s="54">
        <v>1836</v>
      </c>
      <c r="CM101" s="88">
        <v>10.4</v>
      </c>
      <c r="CN101" s="88">
        <v>10.199999999999999</v>
      </c>
      <c r="CO101" s="88">
        <v>11.3</v>
      </c>
      <c r="CP101" s="88">
        <v>10.5</v>
      </c>
      <c r="CQ101" s="53">
        <v>89</v>
      </c>
      <c r="CR101" s="53">
        <v>79</v>
      </c>
      <c r="CS101" s="53">
        <v>98</v>
      </c>
      <c r="CT101" s="53">
        <v>86</v>
      </c>
      <c r="CU101" s="88">
        <v>4.5</v>
      </c>
      <c r="CV101" s="88">
        <v>4.3</v>
      </c>
      <c r="CW101" s="88">
        <v>5</v>
      </c>
      <c r="CX101" s="88">
        <v>4.8</v>
      </c>
      <c r="CY101" s="51">
        <v>153</v>
      </c>
      <c r="CZ101" s="53">
        <v>135</v>
      </c>
      <c r="DA101" s="53">
        <v>155</v>
      </c>
      <c r="DB101" s="53">
        <v>134</v>
      </c>
      <c r="DC101" s="88">
        <v>8.3000000000000007</v>
      </c>
      <c r="DD101" s="88">
        <v>7.9</v>
      </c>
      <c r="DE101" s="88">
        <v>9.5</v>
      </c>
      <c r="DF101" s="88">
        <v>8.5</v>
      </c>
      <c r="DG101" s="88">
        <v>84.1</v>
      </c>
      <c r="DH101" s="88">
        <v>85.3</v>
      </c>
      <c r="DI101" s="88">
        <v>89.3</v>
      </c>
      <c r="DJ101" s="88">
        <v>89.6</v>
      </c>
      <c r="DK101" s="88">
        <v>15.1</v>
      </c>
      <c r="DL101" s="88">
        <v>16.600000000000001</v>
      </c>
      <c r="DM101" s="88">
        <v>17.100000000000001</v>
      </c>
      <c r="DN101" s="88">
        <v>18.4598580010923</v>
      </c>
      <c r="DO101" s="88">
        <v>23.2</v>
      </c>
      <c r="DP101" s="88">
        <v>29.8</v>
      </c>
      <c r="DQ101" s="88">
        <v>36.4</v>
      </c>
      <c r="DR101" s="88">
        <v>40.200000000000003</v>
      </c>
      <c r="DS101" s="88">
        <v>34.265850024830328</v>
      </c>
      <c r="DT101" s="88">
        <v>31.935532010147739</v>
      </c>
      <c r="DU101" s="88">
        <v>32.295081967213115</v>
      </c>
      <c r="DV101" s="88">
        <v>29.179216867469879</v>
      </c>
      <c r="DW101" s="54">
        <v>338</v>
      </c>
      <c r="DX101" s="54">
        <v>4</v>
      </c>
      <c r="DY101" s="51">
        <v>2</v>
      </c>
      <c r="DZ101" s="53">
        <v>2</v>
      </c>
      <c r="EA101" s="53">
        <v>25</v>
      </c>
      <c r="EB101" s="75">
        <v>13</v>
      </c>
      <c r="EC101" s="75">
        <v>11</v>
      </c>
      <c r="ED101" s="75">
        <v>8</v>
      </c>
      <c r="EE101" s="75">
        <v>7</v>
      </c>
      <c r="EF101" s="75">
        <f t="shared" ref="EF101:EI101" si="32">EF25+EF49</f>
        <v>2328</v>
      </c>
      <c r="EG101" s="75">
        <f t="shared" si="32"/>
        <v>2378</v>
      </c>
      <c r="EH101" s="75">
        <f t="shared" si="32"/>
        <v>2186</v>
      </c>
      <c r="EI101" s="75">
        <f t="shared" si="32"/>
        <v>2140</v>
      </c>
      <c r="EJ101" s="75">
        <f>EJ25+EJ49</f>
        <v>425</v>
      </c>
      <c r="EK101" s="75">
        <f t="shared" ref="EK101:EN101" si="33">EK25+EK49</f>
        <v>1</v>
      </c>
      <c r="EL101" s="75">
        <f t="shared" si="33"/>
        <v>0</v>
      </c>
      <c r="EM101" s="75">
        <f t="shared" si="33"/>
        <v>1</v>
      </c>
      <c r="EN101" s="75">
        <f t="shared" si="33"/>
        <v>5</v>
      </c>
      <c r="EO101" s="88">
        <v>1193.9257488960802</v>
      </c>
      <c r="EP101" s="88">
        <v>1259.4004872365215</v>
      </c>
      <c r="EQ101" s="88">
        <v>1204.1821366796303</v>
      </c>
      <c r="ER101" s="88">
        <v>1216.5242165242166</v>
      </c>
      <c r="ES101" s="88">
        <v>747.1</v>
      </c>
      <c r="ET101" s="88">
        <v>728.2</v>
      </c>
      <c r="EU101" s="88">
        <v>661.7</v>
      </c>
      <c r="EV101" s="43">
        <v>652.6</v>
      </c>
      <c r="EW101" s="43">
        <v>983.89344015501752</v>
      </c>
      <c r="EX101" s="43">
        <v>901.04797187631971</v>
      </c>
      <c r="EY101" s="43">
        <v>850.35835543340772</v>
      </c>
      <c r="EZ101" s="88">
        <v>810.46353973334953</v>
      </c>
      <c r="FA101" s="88">
        <v>585.52056007412489</v>
      </c>
      <c r="FB101" s="88">
        <v>606.37027170035367</v>
      </c>
      <c r="FC101" s="88">
        <v>517.5696974598161</v>
      </c>
      <c r="FD101" s="88">
        <v>527.12607038626902</v>
      </c>
      <c r="FE101" s="51">
        <v>536</v>
      </c>
      <c r="FF101" s="54">
        <v>530</v>
      </c>
      <c r="FG101" s="54">
        <v>502</v>
      </c>
      <c r="FH101" s="54">
        <v>466</v>
      </c>
      <c r="FI101" s="88">
        <v>183.8323</v>
      </c>
      <c r="FJ101" s="88">
        <v>177.10140000000001</v>
      </c>
      <c r="FK101" s="88">
        <v>164.81389999999999</v>
      </c>
      <c r="FL101" s="88">
        <v>155.4923</v>
      </c>
      <c r="FM101" s="54">
        <v>745</v>
      </c>
      <c r="FN101" s="54">
        <v>753</v>
      </c>
      <c r="FO101" s="51">
        <v>647</v>
      </c>
      <c r="FP101" s="54">
        <v>560</v>
      </c>
      <c r="FQ101" s="88">
        <v>228.15780000000001</v>
      </c>
      <c r="FR101" s="88">
        <v>217.6354</v>
      </c>
      <c r="FS101" s="88">
        <v>181.2424</v>
      </c>
      <c r="FT101" s="88">
        <v>153.82660000000001</v>
      </c>
      <c r="FU101" s="46">
        <v>175</v>
      </c>
      <c r="FV101" s="46">
        <v>157</v>
      </c>
      <c r="FW101" s="46">
        <v>124</v>
      </c>
      <c r="FX101" s="46">
        <v>114</v>
      </c>
      <c r="FY101" s="88">
        <v>52.203580000000002</v>
      </c>
      <c r="FZ101" s="43">
        <v>42.048679999999997</v>
      </c>
      <c r="GA101" s="43">
        <v>32.768369999999997</v>
      </c>
      <c r="GB101" s="43">
        <v>29.577870000000001</v>
      </c>
      <c r="GC101" s="59">
        <v>79</v>
      </c>
      <c r="GD101" s="56">
        <v>93</v>
      </c>
      <c r="GE101" s="59">
        <v>86</v>
      </c>
      <c r="GF101" s="59">
        <v>90</v>
      </c>
      <c r="GG101" s="65">
        <v>33.60557</v>
      </c>
      <c r="GH101" s="65">
        <v>38.342260000000003</v>
      </c>
      <c r="GI101" s="91">
        <v>35.217919999999999</v>
      </c>
      <c r="GJ101" s="65">
        <v>34.848179999999999</v>
      </c>
      <c r="GK101" s="59"/>
      <c r="GL101" s="59"/>
      <c r="GM101" s="59"/>
      <c r="GN101" s="56"/>
      <c r="GO101" s="59"/>
      <c r="GP101" s="59"/>
      <c r="GQ101" s="59"/>
      <c r="GR101" s="59"/>
      <c r="GS101" s="56"/>
      <c r="GT101" s="59"/>
      <c r="GU101" s="59"/>
      <c r="GV101" s="59"/>
      <c r="GW101" s="59"/>
      <c r="GX101" s="56"/>
      <c r="GY101" s="56"/>
      <c r="GZ101" s="56"/>
      <c r="HA101" s="56"/>
      <c r="HB101" s="56"/>
      <c r="HC101" s="56"/>
      <c r="HD101" s="57"/>
      <c r="HE101" s="57"/>
      <c r="HF101" s="57"/>
      <c r="HG101" s="57"/>
      <c r="HH101" s="57"/>
      <c r="HI101" s="58"/>
      <c r="HJ101" s="58"/>
      <c r="HK101" s="55"/>
      <c r="HL101" s="56"/>
      <c r="HM101" s="56"/>
      <c r="HN101" s="56"/>
      <c r="HO101" s="56"/>
      <c r="HP101" s="56"/>
      <c r="HQ101" s="56"/>
      <c r="HR101" s="56"/>
      <c r="HS101" s="56"/>
      <c r="HT101" s="56"/>
      <c r="HU101" s="38"/>
    </row>
    <row r="102" spans="1:229" x14ac:dyDescent="0.2">
      <c r="A102" s="76" t="s">
        <v>461</v>
      </c>
      <c r="B102" s="74" t="s">
        <v>496</v>
      </c>
      <c r="C102" s="75">
        <f>C33+C51</f>
        <v>65482</v>
      </c>
      <c r="D102" s="75">
        <f>D33+D51</f>
        <v>65825</v>
      </c>
      <c r="E102" s="75">
        <f>E33+E51</f>
        <v>63913</v>
      </c>
      <c r="F102" s="75">
        <f>F33+F51</f>
        <v>64262</v>
      </c>
      <c r="G102" s="150">
        <v>63988</v>
      </c>
      <c r="H102" s="75">
        <v>60343</v>
      </c>
      <c r="I102" s="75">
        <v>380</v>
      </c>
      <c r="J102" s="75">
        <v>1711</v>
      </c>
      <c r="K102" s="75">
        <v>474</v>
      </c>
      <c r="L102" s="75">
        <v>1052</v>
      </c>
      <c r="M102" s="75">
        <f t="shared" ref="M102:O102" si="34">M33+M51</f>
        <v>25163</v>
      </c>
      <c r="N102" s="75">
        <f t="shared" si="34"/>
        <v>25246</v>
      </c>
      <c r="O102" s="75">
        <f t="shared" si="34"/>
        <v>24138</v>
      </c>
      <c r="P102" s="44">
        <v>24283</v>
      </c>
      <c r="Q102" s="44">
        <v>24253</v>
      </c>
      <c r="R102" s="87">
        <v>19.152542372881356</v>
      </c>
      <c r="S102" s="87">
        <v>20.183402109124255</v>
      </c>
      <c r="T102" s="87">
        <v>21.448225923244028</v>
      </c>
      <c r="U102" s="87">
        <v>22.121999326502142</v>
      </c>
      <c r="V102" s="87">
        <v>22.954550957650305</v>
      </c>
      <c r="W102" s="87">
        <v>28.829378531073445</v>
      </c>
      <c r="X102" s="87">
        <v>30.722145804676753</v>
      </c>
      <c r="Y102" s="87">
        <v>32.819213130581701</v>
      </c>
      <c r="Z102" s="87">
        <v>32.450570067830853</v>
      </c>
      <c r="AA102" s="42">
        <v>31.983825274219715</v>
      </c>
      <c r="AB102" s="87">
        <v>47.981920903954801</v>
      </c>
      <c r="AC102" s="87">
        <v>50.905547913801009</v>
      </c>
      <c r="AD102" s="87">
        <v>54.267439053825733</v>
      </c>
      <c r="AE102" s="87">
        <v>54.572569394332994</v>
      </c>
      <c r="AF102" s="87">
        <v>54.938376231870024</v>
      </c>
      <c r="AG102" s="88">
        <v>7.6125073056691992</v>
      </c>
      <c r="AH102" s="88">
        <v>11.374793040346241</v>
      </c>
      <c r="AI102" s="88">
        <v>10.234397890418986</v>
      </c>
      <c r="AJ102" s="43">
        <v>9.0455966495605491</v>
      </c>
      <c r="AK102" s="43">
        <v>7.5325220310532943</v>
      </c>
      <c r="AL102" s="47">
        <v>1338.5</v>
      </c>
      <c r="AM102" s="47">
        <v>1739.5</v>
      </c>
      <c r="AN102" s="47">
        <v>1338.5</v>
      </c>
      <c r="AO102" s="47">
        <v>2631.9166666666665</v>
      </c>
      <c r="AP102" s="47">
        <v>2763.916666666667</v>
      </c>
      <c r="AQ102" s="47">
        <v>33589.293259560458</v>
      </c>
      <c r="AR102" s="47">
        <v>33416.181445349866</v>
      </c>
      <c r="AS102" s="47">
        <v>33862.44598866046</v>
      </c>
      <c r="AT102" s="47">
        <v>34402.114246251425</v>
      </c>
      <c r="AU102" s="47">
        <v>35298.368444083266</v>
      </c>
      <c r="AV102" s="50" t="s">
        <v>158</v>
      </c>
      <c r="AW102" s="50" t="s">
        <v>158</v>
      </c>
      <c r="AX102" s="50" t="s">
        <v>158</v>
      </c>
      <c r="AY102" s="50" t="s">
        <v>158</v>
      </c>
      <c r="AZ102" s="50" t="s">
        <v>158</v>
      </c>
      <c r="BA102" s="83">
        <v>9.3799509179584355</v>
      </c>
      <c r="BB102" s="46">
        <v>10.758074740634228</v>
      </c>
      <c r="BC102" s="46">
        <v>10.603046266970127</v>
      </c>
      <c r="BD102" s="46">
        <v>10.56541019955654</v>
      </c>
      <c r="BE102" s="46">
        <v>10.744892280785436</v>
      </c>
      <c r="BF102" s="83">
        <v>11.492134535641414</v>
      </c>
      <c r="BG102" s="46">
        <v>14.537141425529249</v>
      </c>
      <c r="BH102" s="46">
        <v>14.488119867092973</v>
      </c>
      <c r="BI102" s="46">
        <v>15.000631871603691</v>
      </c>
      <c r="BJ102" s="46">
        <v>14.772216153697872</v>
      </c>
      <c r="BK102" s="42">
        <v>12803</v>
      </c>
      <c r="BL102" s="42">
        <v>12828</v>
      </c>
      <c r="BM102" s="42">
        <v>12706</v>
      </c>
      <c r="BN102" s="42">
        <v>12591</v>
      </c>
      <c r="BO102" s="43">
        <v>37.647426384441147</v>
      </c>
      <c r="BP102" s="43">
        <v>38.790146554412225</v>
      </c>
      <c r="BQ102" s="88">
        <v>39.453801353691169</v>
      </c>
      <c r="BR102" s="88">
        <v>40.068302755936777</v>
      </c>
      <c r="BS102" s="89">
        <v>0.85136296180582671</v>
      </c>
      <c r="BT102" s="89">
        <v>0.60804490177736203</v>
      </c>
      <c r="BU102" s="87">
        <v>0.77915945222729421</v>
      </c>
      <c r="BV102" s="87">
        <v>0.72273846398220953</v>
      </c>
      <c r="BW102" s="43">
        <v>13.574943372647036</v>
      </c>
      <c r="BX102" s="43">
        <v>13.813532896788276</v>
      </c>
      <c r="BY102" s="43">
        <v>14.166535495041712</v>
      </c>
      <c r="BZ102" s="43">
        <v>14.613612898101819</v>
      </c>
      <c r="CA102" s="42">
        <v>75.197195442594222</v>
      </c>
      <c r="CB102" s="42">
        <v>77.884615384615387</v>
      </c>
      <c r="CC102" s="42">
        <v>80.8325266214908</v>
      </c>
      <c r="CD102" s="44">
        <v>78.089304257528553</v>
      </c>
      <c r="CE102" s="43">
        <v>4.4697633654688866</v>
      </c>
      <c r="CF102" s="43">
        <v>5.0961538461538458</v>
      </c>
      <c r="CG102" s="43">
        <v>4.8402710551790902</v>
      </c>
      <c r="CH102" s="44">
        <v>4.9844236760124607</v>
      </c>
      <c r="CI102" s="42">
        <v>3041</v>
      </c>
      <c r="CJ102" s="49">
        <v>3371</v>
      </c>
      <c r="CK102" s="54">
        <v>4246</v>
      </c>
      <c r="CL102" s="54">
        <v>4143</v>
      </c>
      <c r="CM102" s="88">
        <v>12.6</v>
      </c>
      <c r="CN102" s="88">
        <v>12.5</v>
      </c>
      <c r="CO102" s="88">
        <v>13.5</v>
      </c>
      <c r="CP102" s="88">
        <v>12.8</v>
      </c>
      <c r="CQ102" s="53">
        <v>141</v>
      </c>
      <c r="CR102" s="53">
        <v>132</v>
      </c>
      <c r="CS102" s="53">
        <v>202</v>
      </c>
      <c r="CT102" s="53">
        <v>184</v>
      </c>
      <c r="CU102" s="88">
        <v>4.8</v>
      </c>
      <c r="CV102" s="88">
        <v>4</v>
      </c>
      <c r="CW102" s="88">
        <v>4.9000000000000004</v>
      </c>
      <c r="CX102" s="88">
        <v>4.5999999999999996</v>
      </c>
      <c r="CY102" s="51">
        <v>220</v>
      </c>
      <c r="CZ102" s="53">
        <v>241</v>
      </c>
      <c r="DA102" s="53">
        <v>362</v>
      </c>
      <c r="DB102" s="53">
        <v>332</v>
      </c>
      <c r="DC102" s="88">
        <v>8.1</v>
      </c>
      <c r="DD102" s="88">
        <v>7.8</v>
      </c>
      <c r="DE102" s="88">
        <v>9.6</v>
      </c>
      <c r="DF102" s="88">
        <v>9</v>
      </c>
      <c r="DG102" s="88">
        <v>80.599999999999994</v>
      </c>
      <c r="DH102" s="88">
        <v>82.5</v>
      </c>
      <c r="DI102" s="88">
        <v>85.6</v>
      </c>
      <c r="DJ102" s="88">
        <v>84.9</v>
      </c>
      <c r="DK102" s="88">
        <v>23.6</v>
      </c>
      <c r="DL102" s="88">
        <v>20.9</v>
      </c>
      <c r="DM102" s="88">
        <v>18</v>
      </c>
      <c r="DN102" s="88">
        <v>20.63453620731412</v>
      </c>
      <c r="DO102" s="88">
        <v>31.8</v>
      </c>
      <c r="DP102" s="88">
        <v>30</v>
      </c>
      <c r="DQ102" s="88">
        <v>33.6</v>
      </c>
      <c r="DR102" s="88">
        <v>38.200000000000003</v>
      </c>
      <c r="DS102" s="88">
        <v>37.891090180794627</v>
      </c>
      <c r="DT102" s="88">
        <v>31.428830956490145</v>
      </c>
      <c r="DU102" s="88">
        <v>32.776580459770116</v>
      </c>
      <c r="DV102" s="88">
        <v>28.428736073761044</v>
      </c>
      <c r="DW102" s="54">
        <v>740</v>
      </c>
      <c r="DX102" s="54">
        <v>1</v>
      </c>
      <c r="DY102" s="51">
        <v>40</v>
      </c>
      <c r="DZ102" s="53">
        <v>8</v>
      </c>
      <c r="EA102" s="53">
        <v>14</v>
      </c>
      <c r="EB102" s="75">
        <v>13</v>
      </c>
      <c r="EC102" s="75">
        <v>17</v>
      </c>
      <c r="ED102" s="75">
        <v>24</v>
      </c>
      <c r="EE102" s="75">
        <v>21</v>
      </c>
      <c r="EF102" s="75">
        <f t="shared" ref="EF102:EI102" si="35">EF33+EF51</f>
        <v>2171</v>
      </c>
      <c r="EG102" s="75">
        <f t="shared" si="35"/>
        <v>2388</v>
      </c>
      <c r="EH102" s="75">
        <f t="shared" si="35"/>
        <v>2507</v>
      </c>
      <c r="EI102" s="75">
        <f t="shared" si="35"/>
        <v>2735</v>
      </c>
      <c r="EJ102" s="75">
        <f>EJ33+EJ51</f>
        <v>570</v>
      </c>
      <c r="EK102" s="75">
        <f t="shared" ref="EK102:EN102" si="36">EK33+EK51</f>
        <v>2</v>
      </c>
      <c r="EL102" s="75">
        <f t="shared" si="36"/>
        <v>13</v>
      </c>
      <c r="EM102" s="75">
        <f t="shared" si="36"/>
        <v>2</v>
      </c>
      <c r="EN102" s="75">
        <f t="shared" si="36"/>
        <v>3</v>
      </c>
      <c r="EO102" s="88">
        <v>896.19272890892353</v>
      </c>
      <c r="EP102" s="88">
        <v>884.53289773421784</v>
      </c>
      <c r="EQ102" s="88">
        <v>796.68740744507079</v>
      </c>
      <c r="ER102" s="88">
        <v>826.26155186101539</v>
      </c>
      <c r="ES102" s="88">
        <v>815.4</v>
      </c>
      <c r="ET102" s="88">
        <v>804.5</v>
      </c>
      <c r="EU102" s="88">
        <v>744.1</v>
      </c>
      <c r="EV102" s="43">
        <v>742.3</v>
      </c>
      <c r="EW102" s="43">
        <v>1002.972041353343</v>
      </c>
      <c r="EX102" s="43">
        <v>934.11056950243085</v>
      </c>
      <c r="EY102" s="43">
        <v>891.35810061929249</v>
      </c>
      <c r="EZ102" s="88">
        <v>873.00698353067196</v>
      </c>
      <c r="FA102" s="88">
        <v>662.171362925322</v>
      </c>
      <c r="FB102" s="88">
        <v>694.27243333858951</v>
      </c>
      <c r="FC102" s="88">
        <v>619.75789134580918</v>
      </c>
      <c r="FD102" s="88">
        <v>633.12132409011463</v>
      </c>
      <c r="FE102" s="51">
        <v>463</v>
      </c>
      <c r="FF102" s="54">
        <v>538</v>
      </c>
      <c r="FG102" s="54">
        <v>553</v>
      </c>
      <c r="FH102" s="54">
        <v>682</v>
      </c>
      <c r="FI102" s="88">
        <v>181.49549999999999</v>
      </c>
      <c r="FJ102" s="88">
        <v>191.0224</v>
      </c>
      <c r="FK102" s="88">
        <v>171.96530000000001</v>
      </c>
      <c r="FL102" s="88">
        <v>189.2577</v>
      </c>
      <c r="FM102" s="54">
        <v>625</v>
      </c>
      <c r="FN102" s="54">
        <v>586</v>
      </c>
      <c r="FO102" s="51">
        <v>562</v>
      </c>
      <c r="FP102" s="54">
        <v>471</v>
      </c>
      <c r="FQ102" s="88">
        <v>233.00309999999999</v>
      </c>
      <c r="FR102" s="88">
        <v>193.96029999999999</v>
      </c>
      <c r="FS102" s="88">
        <v>161.33709999999999</v>
      </c>
      <c r="FT102" s="88">
        <v>124.4148</v>
      </c>
      <c r="FU102" s="46">
        <v>214</v>
      </c>
      <c r="FV102" s="46">
        <v>191</v>
      </c>
      <c r="FW102" s="46">
        <v>160</v>
      </c>
      <c r="FX102" s="46">
        <v>136</v>
      </c>
      <c r="FY102" s="88">
        <v>77.042360000000002</v>
      </c>
      <c r="FZ102" s="43">
        <v>60.782960000000003</v>
      </c>
      <c r="GA102" s="43">
        <v>46.41366</v>
      </c>
      <c r="GB102" s="43">
        <v>36.368670000000002</v>
      </c>
      <c r="GC102" s="59">
        <v>112</v>
      </c>
      <c r="GD102" s="56">
        <v>130</v>
      </c>
      <c r="GE102" s="59">
        <v>149</v>
      </c>
      <c r="GF102" s="59">
        <v>168</v>
      </c>
      <c r="GG102" s="65">
        <v>44.886609999999997</v>
      </c>
      <c r="GH102" s="65">
        <v>45.75479</v>
      </c>
      <c r="GI102" s="91">
        <v>45.316879999999998</v>
      </c>
      <c r="GJ102" s="65">
        <v>48.277639999999998</v>
      </c>
      <c r="GK102" s="59"/>
      <c r="GL102" s="59"/>
      <c r="GM102" s="59"/>
      <c r="GN102" s="56"/>
      <c r="GO102" s="59"/>
      <c r="GP102" s="59"/>
      <c r="GQ102" s="59"/>
      <c r="GR102" s="59"/>
      <c r="GS102" s="56"/>
      <c r="GT102" s="59"/>
      <c r="GU102" s="59"/>
      <c r="GV102" s="59"/>
      <c r="GW102" s="59"/>
      <c r="GX102" s="56"/>
      <c r="GY102" s="56"/>
      <c r="GZ102" s="56"/>
      <c r="HA102" s="56"/>
      <c r="HB102" s="56"/>
      <c r="HC102" s="56"/>
      <c r="HD102" s="57"/>
      <c r="HE102" s="57"/>
      <c r="HF102" s="57"/>
      <c r="HG102" s="57"/>
      <c r="HH102" s="57"/>
      <c r="HI102" s="58"/>
      <c r="HJ102" s="58"/>
      <c r="HK102" s="55"/>
      <c r="HL102" s="56"/>
      <c r="HM102" s="56"/>
      <c r="HN102" s="56"/>
      <c r="HO102" s="56"/>
      <c r="HP102" s="56"/>
      <c r="HQ102" s="56"/>
      <c r="HR102" s="56"/>
      <c r="HS102" s="56"/>
      <c r="HT102" s="56"/>
      <c r="HU102" s="38"/>
    </row>
    <row r="103" spans="1:229" ht="24" x14ac:dyDescent="0.2">
      <c r="A103" s="76" t="s">
        <v>462</v>
      </c>
      <c r="B103" s="74" t="s">
        <v>505</v>
      </c>
      <c r="C103" s="75">
        <f>C38+C48+C60+C66+C71</f>
        <v>47645</v>
      </c>
      <c r="D103" s="75">
        <f>D38+D48+D60+D66+D71</f>
        <v>47499</v>
      </c>
      <c r="E103" s="75">
        <f>E38+E48+E60+E66+E71</f>
        <v>47639</v>
      </c>
      <c r="F103" s="75">
        <f>F38+F48+F60+F66+F71</f>
        <v>47713</v>
      </c>
      <c r="G103" s="150">
        <v>47579</v>
      </c>
      <c r="H103" s="75">
        <v>45467</v>
      </c>
      <c r="I103" s="75">
        <v>322</v>
      </c>
      <c r="J103" s="75">
        <v>613</v>
      </c>
      <c r="K103" s="75">
        <v>558</v>
      </c>
      <c r="L103" s="75">
        <v>1125</v>
      </c>
      <c r="M103" s="75">
        <f t="shared" ref="M103:O103" si="37">M38+M48+M60+M66+M71</f>
        <v>20066</v>
      </c>
      <c r="N103" s="75">
        <f t="shared" si="37"/>
        <v>20024</v>
      </c>
      <c r="O103" s="75">
        <f t="shared" si="37"/>
        <v>19840</v>
      </c>
      <c r="P103" s="44">
        <v>19911</v>
      </c>
      <c r="Q103" s="44">
        <v>19888</v>
      </c>
      <c r="R103" s="87">
        <v>25.217447537750186</v>
      </c>
      <c r="S103" s="87">
        <v>25.76780012508641</v>
      </c>
      <c r="T103" s="87">
        <v>26.603767316700441</v>
      </c>
      <c r="U103" s="87">
        <v>26.829591363666466</v>
      </c>
      <c r="V103" s="87">
        <v>27.160001329743029</v>
      </c>
      <c r="W103" s="87">
        <v>28.838878649723544</v>
      </c>
      <c r="X103" s="87">
        <v>30.586918595082128</v>
      </c>
      <c r="Y103" s="87">
        <v>31.660077738281121</v>
      </c>
      <c r="Z103" s="87">
        <v>31.170938472746538</v>
      </c>
      <c r="AA103" s="42">
        <v>31.00960739337123</v>
      </c>
      <c r="AB103" s="87">
        <v>54.056326187473729</v>
      </c>
      <c r="AC103" s="87">
        <v>56.354718720168535</v>
      </c>
      <c r="AD103" s="87">
        <v>58.263845054981559</v>
      </c>
      <c r="AE103" s="87">
        <v>58.000529836413008</v>
      </c>
      <c r="AF103" s="87">
        <v>58.169608723114258</v>
      </c>
      <c r="AG103" s="88">
        <v>6.3893487372758972</v>
      </c>
      <c r="AH103" s="88">
        <v>8.90633646928611</v>
      </c>
      <c r="AI103" s="88">
        <v>7.7278958190541465</v>
      </c>
      <c r="AJ103" s="43">
        <v>6.7612373953170399</v>
      </c>
      <c r="AK103" s="43">
        <v>5.8575126004631519</v>
      </c>
      <c r="AL103" s="47">
        <v>950.5</v>
      </c>
      <c r="AM103" s="47">
        <v>1217.25</v>
      </c>
      <c r="AN103" s="47">
        <v>950.5</v>
      </c>
      <c r="AO103" s="47">
        <v>1618.25</v>
      </c>
      <c r="AP103" s="47">
        <v>1637.4166666666667</v>
      </c>
      <c r="AQ103" s="47">
        <v>42345.66011621651</v>
      </c>
      <c r="AR103" s="47">
        <v>38478.7624092841</v>
      </c>
      <c r="AS103" s="47">
        <v>40673.941078957767</v>
      </c>
      <c r="AT103" s="47">
        <v>42848.864570022961</v>
      </c>
      <c r="AU103" s="47">
        <v>46665.083335084804</v>
      </c>
      <c r="AV103" s="50" t="s">
        <v>158</v>
      </c>
      <c r="AW103" s="50" t="s">
        <v>158</v>
      </c>
      <c r="AX103" s="50" t="s">
        <v>158</v>
      </c>
      <c r="AY103" s="50" t="s">
        <v>158</v>
      </c>
      <c r="AZ103" s="50" t="s">
        <v>158</v>
      </c>
      <c r="BA103" s="83">
        <v>9.9011387274559848</v>
      </c>
      <c r="BB103" s="46">
        <v>10.358634347957119</v>
      </c>
      <c r="BC103" s="46">
        <v>9.9580712788259955</v>
      </c>
      <c r="BD103" s="46">
        <v>11.675548923470476</v>
      </c>
      <c r="BE103" s="46">
        <v>9.4462610331046566</v>
      </c>
      <c r="BF103" s="83">
        <v>11.790556334735857</v>
      </c>
      <c r="BG103" s="46">
        <v>12.936622254231185</v>
      </c>
      <c r="BH103" s="46">
        <v>13.793103448275861</v>
      </c>
      <c r="BI103" s="46">
        <v>15.314356655138779</v>
      </c>
      <c r="BJ103" s="46">
        <v>13.140510623103017</v>
      </c>
      <c r="BK103" s="42">
        <v>8088</v>
      </c>
      <c r="BL103" s="42">
        <v>8122</v>
      </c>
      <c r="BM103" s="42">
        <v>7997</v>
      </c>
      <c r="BN103" s="42">
        <v>7869</v>
      </c>
      <c r="BO103" s="43">
        <v>40.393175074183979</v>
      </c>
      <c r="BP103" s="43">
        <v>39.731593203644422</v>
      </c>
      <c r="BQ103" s="88">
        <v>39.13967737901713</v>
      </c>
      <c r="BR103" s="88">
        <v>38.200533739992373</v>
      </c>
      <c r="BS103" s="89">
        <v>1.0385756676557865</v>
      </c>
      <c r="BT103" s="89">
        <v>0.9972913075597144</v>
      </c>
      <c r="BU103" s="87">
        <v>0.83781418031761912</v>
      </c>
      <c r="BV103" s="87">
        <v>0.85144236878891855</v>
      </c>
      <c r="BW103" s="43">
        <v>15.677546983184966</v>
      </c>
      <c r="BX103" s="43">
        <v>15.882787490765821</v>
      </c>
      <c r="BY103" s="43">
        <v>16.081030386394897</v>
      </c>
      <c r="BZ103" s="43">
        <v>15.796162155292922</v>
      </c>
      <c r="CA103" s="42">
        <v>89.985052316890886</v>
      </c>
      <c r="CB103" s="42">
        <v>88.005997001499253</v>
      </c>
      <c r="CC103" s="42">
        <v>88.712011577424022</v>
      </c>
      <c r="CD103" s="44">
        <v>88.956127080181545</v>
      </c>
      <c r="CE103" s="43">
        <v>3.5874439461883409</v>
      </c>
      <c r="CF103" s="43">
        <v>4.9475262368815596</v>
      </c>
      <c r="CG103" s="43">
        <v>3.6179450072358899</v>
      </c>
      <c r="CH103" s="44">
        <v>4.3872919818456886</v>
      </c>
      <c r="CI103" s="42">
        <v>3254</v>
      </c>
      <c r="CJ103" s="49">
        <v>2897</v>
      </c>
      <c r="CK103" s="54">
        <v>3023</v>
      </c>
      <c r="CL103" s="54">
        <v>2899</v>
      </c>
      <c r="CM103" s="88">
        <v>13.1</v>
      </c>
      <c r="CN103" s="88">
        <v>11.8</v>
      </c>
      <c r="CO103" s="88">
        <v>12.4</v>
      </c>
      <c r="CP103" s="88">
        <v>12.2</v>
      </c>
      <c r="CQ103" s="53">
        <v>116</v>
      </c>
      <c r="CR103" s="53">
        <v>125</v>
      </c>
      <c r="CS103" s="53">
        <v>151</v>
      </c>
      <c r="CT103" s="53">
        <v>124</v>
      </c>
      <c r="CU103" s="88">
        <v>3.7</v>
      </c>
      <c r="CV103" s="88">
        <v>4.4000000000000004</v>
      </c>
      <c r="CW103" s="88">
        <v>5.0999999999999996</v>
      </c>
      <c r="CX103" s="88">
        <v>4.4000000000000004</v>
      </c>
      <c r="CY103" s="51">
        <v>205</v>
      </c>
      <c r="CZ103" s="53">
        <v>207</v>
      </c>
      <c r="DA103" s="53">
        <v>229</v>
      </c>
      <c r="DB103" s="53">
        <v>202</v>
      </c>
      <c r="DC103" s="88">
        <v>6.7</v>
      </c>
      <c r="DD103" s="88">
        <v>7.5</v>
      </c>
      <c r="DE103" s="88">
        <v>8.3000000000000007</v>
      </c>
      <c r="DF103" s="88">
        <v>8.1</v>
      </c>
      <c r="DG103" s="88">
        <v>79.3</v>
      </c>
      <c r="DH103" s="88">
        <v>82.8</v>
      </c>
      <c r="DI103" s="88">
        <v>83.2</v>
      </c>
      <c r="DJ103" s="88">
        <v>86.6</v>
      </c>
      <c r="DK103" s="88">
        <v>14.6</v>
      </c>
      <c r="DL103" s="88">
        <v>16.899999999999999</v>
      </c>
      <c r="DM103" s="88">
        <v>16.3</v>
      </c>
      <c r="DN103" s="88">
        <v>19.597641345820325</v>
      </c>
      <c r="DO103" s="88">
        <v>23.5</v>
      </c>
      <c r="DP103" s="88">
        <v>26.2</v>
      </c>
      <c r="DQ103" s="88">
        <v>29.6</v>
      </c>
      <c r="DR103" s="88">
        <v>35.1</v>
      </c>
      <c r="DS103" s="88">
        <v>39.419561243144422</v>
      </c>
      <c r="DT103" s="88">
        <v>28.0442035029191</v>
      </c>
      <c r="DU103" s="88">
        <v>25.333789798014379</v>
      </c>
      <c r="DV103" s="88">
        <v>23.832221163012392</v>
      </c>
      <c r="DW103" s="54">
        <v>550</v>
      </c>
      <c r="DX103" s="54">
        <v>6</v>
      </c>
      <c r="DY103" s="51">
        <v>8</v>
      </c>
      <c r="DZ103" s="53">
        <v>9</v>
      </c>
      <c r="EA103" s="53">
        <v>16</v>
      </c>
      <c r="EB103" s="75">
        <v>21</v>
      </c>
      <c r="EC103" s="75">
        <v>23</v>
      </c>
      <c r="ED103" s="75">
        <v>15</v>
      </c>
      <c r="EE103" s="75">
        <v>13</v>
      </c>
      <c r="EF103" s="75">
        <f t="shared" ref="EF103:EI103" si="38">EF38+EF48+EF60+EF66+EF71</f>
        <v>2699</v>
      </c>
      <c r="EG103" s="75">
        <f t="shared" si="38"/>
        <v>2517</v>
      </c>
      <c r="EH103" s="75">
        <f t="shared" si="38"/>
        <v>2392</v>
      </c>
      <c r="EI103" s="75">
        <f t="shared" si="38"/>
        <v>2309</v>
      </c>
      <c r="EJ103" s="75">
        <f>EJ38+EJ48+EJ60+EJ66+EJ71</f>
        <v>454</v>
      </c>
      <c r="EK103" s="75">
        <f t="shared" ref="EK103:EN103" si="39">EK38+EK48+EK60+EK66+EK71</f>
        <v>0</v>
      </c>
      <c r="EL103" s="75">
        <f t="shared" si="39"/>
        <v>2</v>
      </c>
      <c r="EM103" s="75">
        <f t="shared" si="39"/>
        <v>2</v>
      </c>
      <c r="EN103" s="75">
        <f t="shared" si="39"/>
        <v>1</v>
      </c>
      <c r="EO103" s="88">
        <v>1083.4049180722698</v>
      </c>
      <c r="EP103" s="88">
        <v>1021.4226871898093</v>
      </c>
      <c r="EQ103" s="88">
        <v>980.10694310708652</v>
      </c>
      <c r="ER103" s="88">
        <v>971.67394590962544</v>
      </c>
      <c r="ES103" s="88">
        <v>826.7</v>
      </c>
      <c r="ET103" s="88">
        <v>766.3</v>
      </c>
      <c r="EU103" s="88">
        <v>692.6</v>
      </c>
      <c r="EV103" s="43">
        <v>679.9</v>
      </c>
      <c r="EW103" s="43">
        <v>1017.7354044150376</v>
      </c>
      <c r="EX103" s="43">
        <v>931.83418076420276</v>
      </c>
      <c r="EY103" s="43">
        <v>897.77797460220415</v>
      </c>
      <c r="EZ103" s="88">
        <v>844.54464088678333</v>
      </c>
      <c r="FA103" s="88">
        <v>660.94456097372188</v>
      </c>
      <c r="FB103" s="88">
        <v>622.8492085028895</v>
      </c>
      <c r="FC103" s="88">
        <v>524.55228071279282</v>
      </c>
      <c r="FD103" s="88">
        <v>544.70533628073053</v>
      </c>
      <c r="FE103" s="51">
        <v>576</v>
      </c>
      <c r="FF103" s="54">
        <v>544</v>
      </c>
      <c r="FG103" s="54">
        <v>510</v>
      </c>
      <c r="FH103" s="54">
        <v>527</v>
      </c>
      <c r="FI103" s="88">
        <v>181.2594</v>
      </c>
      <c r="FJ103" s="88">
        <v>176.47319999999999</v>
      </c>
      <c r="FK103" s="88">
        <v>157.876</v>
      </c>
      <c r="FL103" s="88">
        <v>161.97239999999999</v>
      </c>
      <c r="FM103" s="54">
        <v>820</v>
      </c>
      <c r="FN103" s="54">
        <v>756</v>
      </c>
      <c r="FO103" s="51">
        <v>643</v>
      </c>
      <c r="FP103" s="54">
        <v>513</v>
      </c>
      <c r="FQ103" s="88">
        <v>245.21950000000001</v>
      </c>
      <c r="FR103" s="88">
        <v>225.48660000000001</v>
      </c>
      <c r="FS103" s="88">
        <v>178.95670000000001</v>
      </c>
      <c r="FT103" s="88">
        <v>145.99950000000001</v>
      </c>
      <c r="FU103" s="46">
        <v>242</v>
      </c>
      <c r="FV103" s="46">
        <v>226</v>
      </c>
      <c r="FW103" s="46">
        <v>173</v>
      </c>
      <c r="FX103" s="46">
        <v>129</v>
      </c>
      <c r="FY103" s="88">
        <v>69.743610000000004</v>
      </c>
      <c r="FZ103" s="43">
        <v>63.32311</v>
      </c>
      <c r="GA103" s="43">
        <v>45.668109999999999</v>
      </c>
      <c r="GB103" s="43">
        <v>34.838200000000001</v>
      </c>
      <c r="GC103" s="59">
        <v>140</v>
      </c>
      <c r="GD103" s="56">
        <v>130</v>
      </c>
      <c r="GE103" s="59">
        <v>110</v>
      </c>
      <c r="GF103" s="59">
        <v>107</v>
      </c>
      <c r="GG103" s="65">
        <v>52.43159</v>
      </c>
      <c r="GH103" s="65">
        <v>46.486789999999999</v>
      </c>
      <c r="GI103" s="91">
        <v>38.253410000000002</v>
      </c>
      <c r="GJ103" s="65">
        <v>38.947029999999998</v>
      </c>
      <c r="GK103" s="59"/>
      <c r="GL103" s="59"/>
      <c r="GM103" s="59"/>
      <c r="GN103" s="56"/>
      <c r="GO103" s="59"/>
      <c r="GP103" s="59"/>
      <c r="GQ103" s="59"/>
      <c r="GR103" s="59"/>
      <c r="GS103" s="56"/>
      <c r="GT103" s="59"/>
      <c r="GU103" s="59"/>
      <c r="GV103" s="59"/>
      <c r="GW103" s="59"/>
      <c r="GX103" s="56"/>
      <c r="GY103" s="56"/>
      <c r="GZ103" s="56"/>
      <c r="HA103" s="56"/>
      <c r="HB103" s="56"/>
      <c r="HC103" s="56"/>
      <c r="HD103" s="57"/>
      <c r="HE103" s="57"/>
      <c r="HF103" s="57"/>
      <c r="HG103" s="57"/>
      <c r="HH103" s="57"/>
      <c r="HI103" s="58"/>
      <c r="HJ103" s="58"/>
      <c r="HK103" s="55"/>
      <c r="HL103" s="56"/>
      <c r="HM103" s="56"/>
      <c r="HN103" s="56"/>
      <c r="HO103" s="56"/>
      <c r="HP103" s="56"/>
      <c r="HQ103" s="56"/>
      <c r="HR103" s="56"/>
      <c r="HS103" s="56"/>
      <c r="HT103" s="56"/>
      <c r="HU103" s="38"/>
    </row>
    <row r="104" spans="1:229" x14ac:dyDescent="0.2">
      <c r="A104" s="76" t="s">
        <v>463</v>
      </c>
      <c r="B104" s="74" t="s">
        <v>497</v>
      </c>
      <c r="C104" s="75">
        <f>C36+C61</f>
        <v>44388</v>
      </c>
      <c r="D104" s="75">
        <f>D36+D61</f>
        <v>44267</v>
      </c>
      <c r="E104" s="75">
        <f>E36+E61</f>
        <v>45989</v>
      </c>
      <c r="F104" s="75">
        <f>F36+F61</f>
        <v>45773</v>
      </c>
      <c r="G104" s="150">
        <v>45223</v>
      </c>
      <c r="H104" s="75">
        <v>42485</v>
      </c>
      <c r="I104" s="75">
        <v>701</v>
      </c>
      <c r="J104" s="75">
        <v>1043</v>
      </c>
      <c r="K104" s="75">
        <v>228</v>
      </c>
      <c r="L104" s="75">
        <v>974</v>
      </c>
      <c r="M104" s="75">
        <f t="shared" ref="M104:O104" si="40">M36+M61</f>
        <v>17506</v>
      </c>
      <c r="N104" s="75">
        <f t="shared" si="40"/>
        <v>17441</v>
      </c>
      <c r="O104" s="75">
        <f t="shared" si="40"/>
        <v>17786</v>
      </c>
      <c r="P104" s="44">
        <v>17788</v>
      </c>
      <c r="Q104" s="44">
        <v>17677</v>
      </c>
      <c r="R104" s="87">
        <v>23.163841807909606</v>
      </c>
      <c r="S104" s="87">
        <v>24.62251201098147</v>
      </c>
      <c r="T104" s="87">
        <v>25.127056306005084</v>
      </c>
      <c r="U104" s="87">
        <v>25.639648109596401</v>
      </c>
      <c r="V104" s="87">
        <v>27.319516881690912</v>
      </c>
      <c r="W104" s="87">
        <v>26.109765940274414</v>
      </c>
      <c r="X104" s="87">
        <v>27.288949897048731</v>
      </c>
      <c r="Y104" s="87">
        <v>28.641166243145648</v>
      </c>
      <c r="Z104" s="87">
        <v>28.053858035054731</v>
      </c>
      <c r="AA104" s="42">
        <v>27.851358770244303</v>
      </c>
      <c r="AB104" s="87">
        <v>49.27360774818402</v>
      </c>
      <c r="AC104" s="87">
        <v>51.911461908030198</v>
      </c>
      <c r="AD104" s="87">
        <v>53.768222549150728</v>
      </c>
      <c r="AE104" s="87">
        <v>53.693506144651131</v>
      </c>
      <c r="AF104" s="87">
        <v>55.170875651935219</v>
      </c>
      <c r="AG104" s="88">
        <v>9.0909090909090917</v>
      </c>
      <c r="AH104" s="88">
        <v>12.299042431696389</v>
      </c>
      <c r="AI104" s="88">
        <v>10.951965065502183</v>
      </c>
      <c r="AJ104" s="43">
        <v>9.9312385760292461</v>
      </c>
      <c r="AK104" s="43">
        <v>8.7286192911303129</v>
      </c>
      <c r="AL104" s="47">
        <v>1451.3333333333335</v>
      </c>
      <c r="AM104" s="47">
        <v>1850.25</v>
      </c>
      <c r="AN104" s="47">
        <v>1451.3333333333335</v>
      </c>
      <c r="AO104" s="47">
        <v>2654.083333333333</v>
      </c>
      <c r="AP104" s="47">
        <v>2733.75</v>
      </c>
      <c r="AQ104" s="47">
        <v>29295.894292034984</v>
      </c>
      <c r="AR104" s="47">
        <v>29829.111808323058</v>
      </c>
      <c r="AS104" s="47">
        <v>30323.097832630709</v>
      </c>
      <c r="AT104" s="47">
        <v>30783.71617473178</v>
      </c>
      <c r="AU104" s="47">
        <v>31500.055281604495</v>
      </c>
      <c r="AV104" s="50" t="s">
        <v>158</v>
      </c>
      <c r="AW104" s="50" t="s">
        <v>158</v>
      </c>
      <c r="AX104" s="50" t="s">
        <v>158</v>
      </c>
      <c r="AY104" s="50" t="s">
        <v>158</v>
      </c>
      <c r="AZ104" s="50" t="s">
        <v>158</v>
      </c>
      <c r="BA104" s="83">
        <v>12.805999716994481</v>
      </c>
      <c r="BB104" s="46">
        <v>15.976387473032883</v>
      </c>
      <c r="BC104" s="46">
        <v>14.578676034490625</v>
      </c>
      <c r="BD104" s="46">
        <v>15.319626339408371</v>
      </c>
      <c r="BE104" s="46">
        <v>13.840453861294431</v>
      </c>
      <c r="BF104" s="83">
        <v>17.484531683379561</v>
      </c>
      <c r="BG104" s="46">
        <v>22.588063133688721</v>
      </c>
      <c r="BH104" s="46">
        <v>21.218074656188605</v>
      </c>
      <c r="BI104" s="46">
        <v>23.259349346305868</v>
      </c>
      <c r="BJ104" s="46">
        <v>21.136434592569465</v>
      </c>
      <c r="BK104" s="42">
        <v>6337</v>
      </c>
      <c r="BL104" s="42">
        <v>6313</v>
      </c>
      <c r="BM104" s="42">
        <v>6220</v>
      </c>
      <c r="BN104" s="42">
        <v>6222</v>
      </c>
      <c r="BO104" s="43">
        <v>44.579454000315607</v>
      </c>
      <c r="BP104" s="43">
        <v>48.946618089656262</v>
      </c>
      <c r="BQ104" s="88">
        <v>47.90996784565916</v>
      </c>
      <c r="BR104" s="88">
        <v>49.485695917711347</v>
      </c>
      <c r="BS104" s="89">
        <v>0.41028878017989584</v>
      </c>
      <c r="BT104" s="89">
        <v>0.42768889592903531</v>
      </c>
      <c r="BU104" s="87">
        <v>0.43408360128617363</v>
      </c>
      <c r="BV104" s="87">
        <v>0.61073609771777559</v>
      </c>
      <c r="BW104" s="43">
        <v>12.356004418494555</v>
      </c>
      <c r="BX104" s="43">
        <v>13.020750831617297</v>
      </c>
      <c r="BY104" s="43">
        <v>13.778135048231512</v>
      </c>
      <c r="BZ104" s="43">
        <v>13.886210221793636</v>
      </c>
      <c r="CA104" s="42">
        <v>80.265654648956357</v>
      </c>
      <c r="CB104" s="42">
        <v>83.55140186915888</v>
      </c>
      <c r="CC104" s="42">
        <v>82.897384305835004</v>
      </c>
      <c r="CD104" s="44">
        <v>80.324543610547664</v>
      </c>
      <c r="CE104" s="43">
        <v>6.2618595825426944</v>
      </c>
      <c r="CF104" s="43">
        <v>5.981308411214953</v>
      </c>
      <c r="CG104" s="43">
        <v>7.2434607645875255</v>
      </c>
      <c r="CH104" s="44">
        <v>5.6795131845841782</v>
      </c>
      <c r="CI104" s="42">
        <v>2068</v>
      </c>
      <c r="CJ104" s="49">
        <v>2357</v>
      </c>
      <c r="CK104" s="54">
        <v>2594</v>
      </c>
      <c r="CL104" s="54">
        <v>2330</v>
      </c>
      <c r="CM104" s="88">
        <v>11.3</v>
      </c>
      <c r="CN104" s="88">
        <v>11.6</v>
      </c>
      <c r="CO104" s="88">
        <v>11.7</v>
      </c>
      <c r="CP104" s="88">
        <v>10.3</v>
      </c>
      <c r="CQ104" s="53">
        <v>101</v>
      </c>
      <c r="CR104" s="53">
        <v>109</v>
      </c>
      <c r="CS104" s="53">
        <v>102</v>
      </c>
      <c r="CT104" s="53">
        <v>109</v>
      </c>
      <c r="CU104" s="88">
        <v>5</v>
      </c>
      <c r="CV104" s="88">
        <v>4.8</v>
      </c>
      <c r="CW104" s="88">
        <v>4</v>
      </c>
      <c r="CX104" s="88">
        <v>4.8</v>
      </c>
      <c r="CY104" s="51">
        <v>136</v>
      </c>
      <c r="CZ104" s="53">
        <v>140</v>
      </c>
      <c r="DA104" s="53">
        <v>157</v>
      </c>
      <c r="DB104" s="53">
        <v>165</v>
      </c>
      <c r="DC104" s="88">
        <v>7.5</v>
      </c>
      <c r="DD104" s="88">
        <v>7.1</v>
      </c>
      <c r="DE104" s="88">
        <v>9</v>
      </c>
      <c r="DF104" s="88">
        <v>9.1999999999999993</v>
      </c>
      <c r="DG104" s="88">
        <v>77.599999999999994</v>
      </c>
      <c r="DH104" s="88">
        <v>79.900000000000006</v>
      </c>
      <c r="DI104" s="88">
        <v>82</v>
      </c>
      <c r="DJ104" s="88">
        <v>82.8</v>
      </c>
      <c r="DK104" s="88">
        <v>25.4</v>
      </c>
      <c r="DL104" s="88">
        <v>26</v>
      </c>
      <c r="DM104" s="88">
        <v>25.5</v>
      </c>
      <c r="DN104" s="88">
        <v>26.821905993962915</v>
      </c>
      <c r="DO104" s="88">
        <v>33.200000000000003</v>
      </c>
      <c r="DP104" s="88">
        <v>36.700000000000003</v>
      </c>
      <c r="DQ104" s="88">
        <v>39.799999999999997</v>
      </c>
      <c r="DR104" s="88">
        <v>43.8</v>
      </c>
      <c r="DS104" s="88">
        <v>42.03338391502276</v>
      </c>
      <c r="DT104" s="88">
        <v>38.670542145835967</v>
      </c>
      <c r="DU104" s="88">
        <v>37.5</v>
      </c>
      <c r="DV104" s="88">
        <v>31.571109456440805</v>
      </c>
      <c r="DW104" s="54">
        <v>383</v>
      </c>
      <c r="DX104" s="54">
        <v>3</v>
      </c>
      <c r="DY104" s="51">
        <v>12</v>
      </c>
      <c r="DZ104" s="53">
        <v>3</v>
      </c>
      <c r="EA104" s="53">
        <v>6</v>
      </c>
      <c r="EB104" s="75">
        <v>19</v>
      </c>
      <c r="EC104" s="75">
        <v>14</v>
      </c>
      <c r="ED104" s="75">
        <v>12</v>
      </c>
      <c r="EE104" s="75">
        <v>18</v>
      </c>
      <c r="EF104" s="75">
        <f t="shared" ref="EF104:EI104" si="41">EF36+EF61</f>
        <v>1803</v>
      </c>
      <c r="EG104" s="75">
        <f t="shared" si="41"/>
        <v>1871</v>
      </c>
      <c r="EH104" s="75">
        <f t="shared" si="41"/>
        <v>1829</v>
      </c>
      <c r="EI104" s="75">
        <f t="shared" si="41"/>
        <v>1973</v>
      </c>
      <c r="EJ104" s="75">
        <f>EJ36+EJ61</f>
        <v>399</v>
      </c>
      <c r="EK104" s="75">
        <f t="shared" ref="EK104:EN104" si="42">EK36+EK61</f>
        <v>0</v>
      </c>
      <c r="EL104" s="75">
        <f t="shared" si="42"/>
        <v>2</v>
      </c>
      <c r="EM104" s="75">
        <f t="shared" si="42"/>
        <v>0</v>
      </c>
      <c r="EN104" s="75">
        <f t="shared" si="42"/>
        <v>3</v>
      </c>
      <c r="EO104" s="88">
        <v>986.48574711385891</v>
      </c>
      <c r="EP104" s="88">
        <v>918.11097807525471</v>
      </c>
      <c r="EQ104" s="88">
        <v>825.97975017386671</v>
      </c>
      <c r="ER104" s="88">
        <v>870.7605159159059</v>
      </c>
      <c r="ES104" s="88">
        <v>850.4</v>
      </c>
      <c r="ET104" s="88">
        <v>812.9</v>
      </c>
      <c r="EU104" s="88">
        <v>702.8</v>
      </c>
      <c r="EV104" s="43">
        <v>705.5</v>
      </c>
      <c r="EW104" s="43">
        <v>1067.7737097712977</v>
      </c>
      <c r="EX104" s="43">
        <v>999.71653430736512</v>
      </c>
      <c r="EY104" s="43">
        <v>843.88261693127788</v>
      </c>
      <c r="EZ104" s="88">
        <v>847.02017007434858</v>
      </c>
      <c r="FA104" s="88">
        <v>666.01004530841351</v>
      </c>
      <c r="FB104" s="88">
        <v>655.28081282181859</v>
      </c>
      <c r="FC104" s="88">
        <v>583.76772225865227</v>
      </c>
      <c r="FD104" s="88">
        <v>580.50594285131842</v>
      </c>
      <c r="FE104" s="51">
        <v>418</v>
      </c>
      <c r="FF104" s="54">
        <v>474</v>
      </c>
      <c r="FG104" s="54">
        <v>521</v>
      </c>
      <c r="FH104" s="54">
        <v>498</v>
      </c>
      <c r="FI104" s="88">
        <v>196.90880000000001</v>
      </c>
      <c r="FJ104" s="88">
        <v>203.82320000000001</v>
      </c>
      <c r="FK104" s="88">
        <v>200.88480000000001</v>
      </c>
      <c r="FL104" s="88">
        <v>169.85939999999999</v>
      </c>
      <c r="FM104" s="54">
        <v>513</v>
      </c>
      <c r="FN104" s="54">
        <v>502</v>
      </c>
      <c r="FO104" s="51">
        <v>421</v>
      </c>
      <c r="FP104" s="54">
        <v>394</v>
      </c>
      <c r="FQ104" s="88">
        <v>236.65530000000001</v>
      </c>
      <c r="FR104" s="88">
        <v>214.8914</v>
      </c>
      <c r="FS104" s="88">
        <v>158.92339999999999</v>
      </c>
      <c r="FT104" s="88">
        <v>138.3741</v>
      </c>
      <c r="FU104" s="46">
        <v>149</v>
      </c>
      <c r="FV104" s="46">
        <v>107</v>
      </c>
      <c r="FW104" s="46">
        <v>108</v>
      </c>
      <c r="FX104" s="46">
        <v>120</v>
      </c>
      <c r="FY104" s="88">
        <v>68.411670000000001</v>
      </c>
      <c r="FZ104" s="43">
        <v>46.03969</v>
      </c>
      <c r="GA104" s="43">
        <v>40.854579999999999</v>
      </c>
      <c r="GB104" s="43">
        <v>42.239150000000002</v>
      </c>
      <c r="GC104" s="59">
        <v>98</v>
      </c>
      <c r="GD104" s="56">
        <v>131</v>
      </c>
      <c r="GE104" s="59">
        <v>109</v>
      </c>
      <c r="GF104" s="59">
        <v>126</v>
      </c>
      <c r="GG104" s="65">
        <v>52.328780000000002</v>
      </c>
      <c r="GH104" s="65">
        <v>61.34151</v>
      </c>
      <c r="GI104" s="91">
        <v>45.6175</v>
      </c>
      <c r="GJ104" s="65">
        <v>51.73021</v>
      </c>
      <c r="GK104" s="59"/>
      <c r="GL104" s="59"/>
      <c r="GM104" s="59"/>
      <c r="GN104" s="56"/>
      <c r="GO104" s="59"/>
      <c r="GP104" s="59"/>
      <c r="GQ104" s="59"/>
      <c r="GR104" s="59"/>
      <c r="GS104" s="56"/>
      <c r="GT104" s="59"/>
      <c r="GU104" s="59"/>
      <c r="GV104" s="59"/>
      <c r="GW104" s="59"/>
      <c r="GX104" s="56"/>
      <c r="GY104" s="56"/>
      <c r="GZ104" s="56"/>
      <c r="HA104" s="56"/>
      <c r="HB104" s="56"/>
      <c r="HC104" s="56"/>
      <c r="HD104" s="57"/>
      <c r="HE104" s="57"/>
      <c r="HF104" s="57"/>
      <c r="HG104" s="57"/>
      <c r="HH104" s="57"/>
      <c r="HI104" s="58"/>
      <c r="HJ104" s="58"/>
      <c r="HK104" s="55"/>
      <c r="HL104" s="56"/>
      <c r="HM104" s="56"/>
      <c r="HN104" s="56"/>
      <c r="HO104" s="56"/>
      <c r="HP104" s="56"/>
      <c r="HQ104" s="56"/>
      <c r="HR104" s="56"/>
      <c r="HS104" s="56"/>
      <c r="HT104" s="56"/>
      <c r="HU104" s="38"/>
    </row>
    <row r="105" spans="1:229" x14ac:dyDescent="0.2">
      <c r="A105" s="76" t="s">
        <v>464</v>
      </c>
      <c r="B105" s="74" t="s">
        <v>498</v>
      </c>
      <c r="C105" s="75">
        <f t="shared" ref="C105:F105" si="43">C37+C68</f>
        <v>56540</v>
      </c>
      <c r="D105" s="75">
        <f t="shared" si="43"/>
        <v>56841</v>
      </c>
      <c r="E105" s="75">
        <f t="shared" si="43"/>
        <v>57969</v>
      </c>
      <c r="F105" s="75">
        <f t="shared" si="43"/>
        <v>57673</v>
      </c>
      <c r="G105" s="150">
        <v>57748</v>
      </c>
      <c r="H105" s="75">
        <v>55117</v>
      </c>
      <c r="I105" s="75">
        <v>1345</v>
      </c>
      <c r="J105" s="75">
        <v>325</v>
      </c>
      <c r="K105" s="75">
        <v>350</v>
      </c>
      <c r="L105" s="75">
        <v>5843</v>
      </c>
      <c r="M105" s="75">
        <f t="shared" ref="M105:O105" si="44">M37+M68</f>
        <v>23636</v>
      </c>
      <c r="N105" s="75">
        <f t="shared" si="44"/>
        <v>23579</v>
      </c>
      <c r="O105" s="75">
        <f t="shared" si="44"/>
        <v>23296</v>
      </c>
      <c r="P105" s="44">
        <v>23285</v>
      </c>
      <c r="Q105" s="44">
        <v>23305</v>
      </c>
      <c r="R105" s="87">
        <v>25.505605627610464</v>
      </c>
      <c r="S105" s="87">
        <v>26.415616779731412</v>
      </c>
      <c r="T105" s="87">
        <v>26.830195854725233</v>
      </c>
      <c r="U105" s="87">
        <v>27.350310457069394</v>
      </c>
      <c r="V105" s="87">
        <v>27.887648462572347</v>
      </c>
      <c r="W105" s="87">
        <v>29.858210595735326</v>
      </c>
      <c r="X105" s="87">
        <v>30.973279800636856</v>
      </c>
      <c r="Y105" s="87">
        <v>30.638633091570913</v>
      </c>
      <c r="Z105" s="87">
        <v>30.40291036406904</v>
      </c>
      <c r="AA105" s="42">
        <v>30.512658748662808</v>
      </c>
      <c r="AB105" s="87">
        <v>55.363816223345793</v>
      </c>
      <c r="AC105" s="87">
        <v>57.388896580368268</v>
      </c>
      <c r="AD105" s="87">
        <v>57.468828946296142</v>
      </c>
      <c r="AE105" s="87">
        <v>57.753220821138434</v>
      </c>
      <c r="AF105" s="87">
        <v>58.400307211235152</v>
      </c>
      <c r="AG105" s="88">
        <v>5.1287593404557521</v>
      </c>
      <c r="AH105" s="88">
        <v>7.2744996496786181</v>
      </c>
      <c r="AI105" s="88">
        <v>6.7040438983657404</v>
      </c>
      <c r="AJ105" s="43">
        <v>6.1351715869923575</v>
      </c>
      <c r="AK105" s="43">
        <v>5.4054054054054053</v>
      </c>
      <c r="AL105" s="47">
        <v>1631</v>
      </c>
      <c r="AM105" s="47">
        <v>2111.9166666666665</v>
      </c>
      <c r="AN105" s="47">
        <v>1631</v>
      </c>
      <c r="AO105" s="47">
        <v>2873.75</v>
      </c>
      <c r="AP105" s="47">
        <v>2986.25</v>
      </c>
      <c r="AQ105" s="47">
        <v>43251.68698027893</v>
      </c>
      <c r="AR105" s="47">
        <v>41126.192079380431</v>
      </c>
      <c r="AS105" s="47">
        <v>43230.296334271654</v>
      </c>
      <c r="AT105" s="47">
        <v>44112.619370257344</v>
      </c>
      <c r="AU105" s="47">
        <v>47356.826210431529</v>
      </c>
      <c r="AV105" s="50" t="s">
        <v>158</v>
      </c>
      <c r="AW105" s="50" t="s">
        <v>158</v>
      </c>
      <c r="AX105" s="50" t="s">
        <v>158</v>
      </c>
      <c r="AY105" s="50" t="s">
        <v>158</v>
      </c>
      <c r="AZ105" s="50" t="s">
        <v>158</v>
      </c>
      <c r="BA105" s="83">
        <v>10.751428416935527</v>
      </c>
      <c r="BB105" s="46">
        <v>11.106129622323445</v>
      </c>
      <c r="BC105" s="46">
        <v>13.708599957808874</v>
      </c>
      <c r="BD105" s="46">
        <v>12.249946985226551</v>
      </c>
      <c r="BE105" s="46">
        <v>11.972613858940198</v>
      </c>
      <c r="BF105" s="83">
        <v>14.121386408354775</v>
      </c>
      <c r="BG105" s="46">
        <v>16.623299382945508</v>
      </c>
      <c r="BH105" s="46">
        <v>20.91730883224659</v>
      </c>
      <c r="BI105" s="46">
        <v>18.229994700582935</v>
      </c>
      <c r="BJ105" s="46">
        <v>18.967086303655392</v>
      </c>
      <c r="BK105" s="42">
        <v>7617</v>
      </c>
      <c r="BL105" s="42">
        <v>7383</v>
      </c>
      <c r="BM105" s="42">
        <v>7319</v>
      </c>
      <c r="BN105" s="42">
        <v>7426</v>
      </c>
      <c r="BO105" s="43">
        <v>44.597610607850861</v>
      </c>
      <c r="BP105" s="43">
        <v>44.588920493024517</v>
      </c>
      <c r="BQ105" s="88">
        <v>46.235824566197564</v>
      </c>
      <c r="BR105" s="88">
        <v>48.653380016159439</v>
      </c>
      <c r="BS105" s="89">
        <v>11.526847840357096</v>
      </c>
      <c r="BT105" s="89">
        <v>10.75443586617906</v>
      </c>
      <c r="BU105" s="87">
        <v>10.862139636562372</v>
      </c>
      <c r="BV105" s="87">
        <v>13.035281443576622</v>
      </c>
      <c r="BW105" s="43">
        <v>13.233556518314296</v>
      </c>
      <c r="BX105" s="43">
        <v>13.625897331707979</v>
      </c>
      <c r="BY105" s="43">
        <v>14.113949993168466</v>
      </c>
      <c r="BZ105" s="43">
        <v>13.668192835981685</v>
      </c>
      <c r="CA105" s="42">
        <v>76.858345021037863</v>
      </c>
      <c r="CB105" s="42">
        <v>73.646723646723643</v>
      </c>
      <c r="CC105" s="42">
        <v>77.184466019417471</v>
      </c>
      <c r="CD105" s="44">
        <v>77.295492487479137</v>
      </c>
      <c r="CE105" s="43">
        <v>3.9270687237026647</v>
      </c>
      <c r="CF105" s="43">
        <v>7.6923076923076925</v>
      </c>
      <c r="CG105" s="43">
        <v>9.2233009708737868</v>
      </c>
      <c r="CH105" s="44">
        <v>9.5158597662771278</v>
      </c>
      <c r="CI105" s="42">
        <v>3680</v>
      </c>
      <c r="CJ105" s="49">
        <v>3611</v>
      </c>
      <c r="CK105" s="54">
        <v>3973</v>
      </c>
      <c r="CL105" s="54">
        <v>3768</v>
      </c>
      <c r="CM105" s="88">
        <v>12.7</v>
      </c>
      <c r="CN105" s="88">
        <v>12.4</v>
      </c>
      <c r="CO105" s="88">
        <v>13.8</v>
      </c>
      <c r="CP105" s="88">
        <v>13.1</v>
      </c>
      <c r="CQ105" s="53">
        <v>146</v>
      </c>
      <c r="CR105" s="53">
        <v>125</v>
      </c>
      <c r="CS105" s="53">
        <v>173</v>
      </c>
      <c r="CT105" s="53">
        <v>156</v>
      </c>
      <c r="CU105" s="88">
        <v>4.0999999999999996</v>
      </c>
      <c r="CV105" s="88">
        <v>3.5</v>
      </c>
      <c r="CW105" s="88">
        <v>4.5</v>
      </c>
      <c r="CX105" s="88">
        <v>4.3</v>
      </c>
      <c r="CY105" s="51">
        <v>236</v>
      </c>
      <c r="CZ105" s="53">
        <v>215</v>
      </c>
      <c r="DA105" s="53">
        <v>260</v>
      </c>
      <c r="DB105" s="53">
        <v>252</v>
      </c>
      <c r="DC105" s="88">
        <v>6.8</v>
      </c>
      <c r="DD105" s="88">
        <v>6.5</v>
      </c>
      <c r="DE105" s="88">
        <v>7.1</v>
      </c>
      <c r="DF105" s="88">
        <v>7.2</v>
      </c>
      <c r="DG105" s="88">
        <v>81.7</v>
      </c>
      <c r="DH105" s="88">
        <v>82.7</v>
      </c>
      <c r="DI105" s="88">
        <v>85.2</v>
      </c>
      <c r="DJ105" s="88">
        <v>84.7</v>
      </c>
      <c r="DK105" s="88">
        <v>12</v>
      </c>
      <c r="DL105" s="88">
        <v>11.6</v>
      </c>
      <c r="DM105" s="88">
        <v>10.5</v>
      </c>
      <c r="DN105" s="88">
        <v>12.642762284196547</v>
      </c>
      <c r="DO105" s="88">
        <v>26.5</v>
      </c>
      <c r="DP105" s="88">
        <v>29.5</v>
      </c>
      <c r="DQ105" s="88">
        <v>35.6</v>
      </c>
      <c r="DR105" s="88">
        <v>39.200000000000003</v>
      </c>
      <c r="DS105" s="88">
        <v>40.46797084771768</v>
      </c>
      <c r="DT105" s="88">
        <v>37.510955302366348</v>
      </c>
      <c r="DU105" s="88">
        <v>41.949586085015348</v>
      </c>
      <c r="DV105" s="88">
        <v>39.468085106382979</v>
      </c>
      <c r="DW105" s="54">
        <v>657</v>
      </c>
      <c r="DX105" s="54">
        <v>64</v>
      </c>
      <c r="DY105" s="51">
        <v>3</v>
      </c>
      <c r="DZ105" s="53">
        <v>5</v>
      </c>
      <c r="EA105" s="53">
        <v>132</v>
      </c>
      <c r="EB105" s="75">
        <v>40</v>
      </c>
      <c r="EC105" s="75">
        <v>11</v>
      </c>
      <c r="ED105" s="75">
        <v>13</v>
      </c>
      <c r="EE105" s="75">
        <v>18</v>
      </c>
      <c r="EF105" s="75">
        <f t="shared" ref="EF105:EI105" si="45">EF37+EF68</f>
        <v>2920</v>
      </c>
      <c r="EG105" s="75">
        <f t="shared" si="45"/>
        <v>2911</v>
      </c>
      <c r="EH105" s="75">
        <f t="shared" si="45"/>
        <v>2792</v>
      </c>
      <c r="EI105" s="75">
        <f t="shared" si="45"/>
        <v>2902</v>
      </c>
      <c r="EJ105" s="75">
        <f t="shared" ref="EJ105:EN105" si="46">EJ37+EJ68</f>
        <v>607</v>
      </c>
      <c r="EK105" s="75">
        <f t="shared" si="46"/>
        <v>1</v>
      </c>
      <c r="EL105" s="75">
        <f t="shared" si="46"/>
        <v>2</v>
      </c>
      <c r="EM105" s="75">
        <f t="shared" si="46"/>
        <v>0</v>
      </c>
      <c r="EN105" s="75">
        <f t="shared" si="46"/>
        <v>7</v>
      </c>
      <c r="EO105" s="88">
        <v>1007.0493454179255</v>
      </c>
      <c r="EP105" s="88">
        <v>1003.5266498205649</v>
      </c>
      <c r="EQ105" s="88">
        <v>968.13678746415428</v>
      </c>
      <c r="ER105" s="88">
        <v>1000.3362107735904</v>
      </c>
      <c r="ES105" s="88">
        <v>774.5</v>
      </c>
      <c r="ET105" s="88">
        <v>746.5</v>
      </c>
      <c r="EU105" s="88">
        <v>677.7</v>
      </c>
      <c r="EV105" s="43">
        <v>683.5</v>
      </c>
      <c r="EW105" s="43">
        <v>967.85506558954216</v>
      </c>
      <c r="EX105" s="43">
        <v>905.81374360941163</v>
      </c>
      <c r="EY105" s="43">
        <v>800.83996912469195</v>
      </c>
      <c r="EZ105" s="88">
        <v>811.71724446359929</v>
      </c>
      <c r="FA105" s="88">
        <v>631.95811632381947</v>
      </c>
      <c r="FB105" s="88">
        <v>616.28472371256544</v>
      </c>
      <c r="FC105" s="88">
        <v>574.56709870178179</v>
      </c>
      <c r="FD105" s="88">
        <v>576.96533306662309</v>
      </c>
      <c r="FE105" s="51">
        <v>634</v>
      </c>
      <c r="FF105" s="54">
        <v>658</v>
      </c>
      <c r="FG105" s="54">
        <v>616</v>
      </c>
      <c r="FH105" s="54">
        <v>658</v>
      </c>
      <c r="FI105" s="88">
        <v>177.61009999999999</v>
      </c>
      <c r="FJ105" s="88">
        <v>179.45189999999999</v>
      </c>
      <c r="FK105" s="88">
        <v>159.80609999999999</v>
      </c>
      <c r="FL105" s="88">
        <v>165.47300000000001</v>
      </c>
      <c r="FM105" s="54">
        <v>868</v>
      </c>
      <c r="FN105" s="54">
        <v>764</v>
      </c>
      <c r="FO105" s="51">
        <v>618</v>
      </c>
      <c r="FP105" s="54">
        <v>602</v>
      </c>
      <c r="FQ105" s="88">
        <v>221.7782</v>
      </c>
      <c r="FR105" s="88">
        <v>188.0059</v>
      </c>
      <c r="FS105" s="88">
        <v>144.5146</v>
      </c>
      <c r="FT105" s="88">
        <v>134.00649999999999</v>
      </c>
      <c r="FU105" s="46">
        <v>281</v>
      </c>
      <c r="FV105" s="46">
        <v>247</v>
      </c>
      <c r="FW105" s="46">
        <v>224</v>
      </c>
      <c r="FX105" s="46">
        <v>176</v>
      </c>
      <c r="FY105" s="88">
        <v>68.93356</v>
      </c>
      <c r="FZ105" s="43">
        <v>59.211359999999999</v>
      </c>
      <c r="GA105" s="43">
        <v>50.140779999999999</v>
      </c>
      <c r="GB105" s="43">
        <v>36.862130000000001</v>
      </c>
      <c r="GC105" s="59">
        <v>139</v>
      </c>
      <c r="GD105" s="56">
        <v>130</v>
      </c>
      <c r="GE105" s="59">
        <v>164</v>
      </c>
      <c r="GF105" s="59">
        <v>144</v>
      </c>
      <c r="GG105" s="65">
        <v>44.344189999999998</v>
      </c>
      <c r="GH105" s="65">
        <v>40.060699999999997</v>
      </c>
      <c r="GI105" s="91">
        <v>48.312820000000002</v>
      </c>
      <c r="GJ105" s="65">
        <v>40.328609999999998</v>
      </c>
      <c r="GK105" s="59"/>
      <c r="GL105" s="59"/>
      <c r="GM105" s="59"/>
      <c r="GN105" s="56"/>
      <c r="GO105" s="59"/>
      <c r="GP105" s="59"/>
      <c r="GQ105" s="59"/>
      <c r="GR105" s="59"/>
      <c r="GS105" s="56"/>
      <c r="GT105" s="59"/>
      <c r="GU105" s="59"/>
      <c r="GV105" s="59"/>
      <c r="GW105" s="59"/>
      <c r="GX105" s="56"/>
      <c r="GY105" s="56"/>
      <c r="GZ105" s="56"/>
      <c r="HA105" s="56"/>
      <c r="HB105" s="56"/>
      <c r="HC105" s="56"/>
      <c r="HD105" s="57"/>
      <c r="HE105" s="57"/>
      <c r="HF105" s="57"/>
      <c r="HG105" s="57"/>
      <c r="HH105" s="57"/>
      <c r="HI105" s="58"/>
      <c r="HJ105" s="58"/>
      <c r="HK105" s="55"/>
      <c r="HL105" s="56"/>
      <c r="HM105" s="56"/>
      <c r="HN105" s="56"/>
      <c r="HO105" s="56"/>
      <c r="HP105" s="56"/>
      <c r="HQ105" s="56"/>
      <c r="HR105" s="56"/>
      <c r="HS105" s="56"/>
      <c r="HT105" s="56"/>
      <c r="HU105" s="38"/>
    </row>
    <row r="106" spans="1:229" ht="24" x14ac:dyDescent="0.2">
      <c r="A106" s="76" t="s">
        <v>465</v>
      </c>
      <c r="B106" s="74" t="s">
        <v>506</v>
      </c>
      <c r="C106" s="75">
        <f t="shared" ref="C106:F106" si="47">C44+C45+C54+C62+C67+C70</f>
        <v>73434</v>
      </c>
      <c r="D106" s="75">
        <f t="shared" si="47"/>
        <v>73513</v>
      </c>
      <c r="E106" s="75">
        <f t="shared" si="47"/>
        <v>75820</v>
      </c>
      <c r="F106" s="75">
        <f t="shared" si="47"/>
        <v>75428</v>
      </c>
      <c r="G106" s="150">
        <v>74683</v>
      </c>
      <c r="H106" s="75">
        <v>70155</v>
      </c>
      <c r="I106" s="75">
        <v>942</v>
      </c>
      <c r="J106" s="75">
        <v>1151</v>
      </c>
      <c r="K106" s="75">
        <v>1440</v>
      </c>
      <c r="L106" s="75">
        <v>2889</v>
      </c>
      <c r="M106" s="75">
        <f t="shared" ref="M106:O106" si="48">M44+M45+M54+M62+M67+M70</f>
        <v>30709</v>
      </c>
      <c r="N106" s="75">
        <f t="shared" si="48"/>
        <v>30793</v>
      </c>
      <c r="O106" s="75">
        <f t="shared" si="48"/>
        <v>31070</v>
      </c>
      <c r="P106" s="44">
        <v>31050</v>
      </c>
      <c r="Q106" s="44">
        <v>30928</v>
      </c>
      <c r="R106" s="87">
        <v>30.135376311321988</v>
      </c>
      <c r="S106" s="87">
        <v>30.410158842529093</v>
      </c>
      <c r="T106" s="87">
        <v>29.542975683825574</v>
      </c>
      <c r="U106" s="87">
        <v>29.641651798189987</v>
      </c>
      <c r="V106" s="87">
        <v>30.728847668212442</v>
      </c>
      <c r="W106" s="87">
        <v>29.691376833674312</v>
      </c>
      <c r="X106" s="87">
        <v>32.222025574089642</v>
      </c>
      <c r="Y106" s="87">
        <v>32.607626339314358</v>
      </c>
      <c r="Z106" s="87">
        <v>32.502848298544677</v>
      </c>
      <c r="AA106" s="42">
        <v>32.634088721672939</v>
      </c>
      <c r="AB106" s="87">
        <v>59.826753144996303</v>
      </c>
      <c r="AC106" s="87">
        <v>62.632184416618735</v>
      </c>
      <c r="AD106" s="87">
        <v>62.150602023139932</v>
      </c>
      <c r="AE106" s="87">
        <v>62.144500096734667</v>
      </c>
      <c r="AF106" s="87">
        <v>63.362936389885377</v>
      </c>
      <c r="AG106" s="88">
        <v>4.6409890632429862</v>
      </c>
      <c r="AH106" s="88">
        <v>6.2196623081032119</v>
      </c>
      <c r="AI106" s="88">
        <v>5.7268022516796808</v>
      </c>
      <c r="AJ106" s="43">
        <v>5.4001906750805828</v>
      </c>
      <c r="AK106" s="43">
        <v>4.5371395017954335</v>
      </c>
      <c r="AL106" s="47">
        <v>1403.5833333333333</v>
      </c>
      <c r="AM106" s="47">
        <v>1801.9166666666665</v>
      </c>
      <c r="AN106" s="47">
        <v>1403.5833333333333</v>
      </c>
      <c r="AO106" s="47">
        <v>2561.75</v>
      </c>
      <c r="AP106" s="47">
        <v>2644.5833333333335</v>
      </c>
      <c r="AQ106" s="47">
        <v>41622.497330606056</v>
      </c>
      <c r="AR106" s="47">
        <v>40323.910793177245</v>
      </c>
      <c r="AS106" s="47">
        <v>42791.857560172954</v>
      </c>
      <c r="AT106" s="47">
        <v>45431.61714585247</v>
      </c>
      <c r="AU106" s="47">
        <v>48649.719481006388</v>
      </c>
      <c r="AV106" s="50" t="s">
        <v>158</v>
      </c>
      <c r="AW106" s="50" t="s">
        <v>158</v>
      </c>
      <c r="AX106" s="50" t="s">
        <v>158</v>
      </c>
      <c r="AY106" s="50" t="s">
        <v>158</v>
      </c>
      <c r="AZ106" s="50" t="s">
        <v>158</v>
      </c>
      <c r="BA106" s="83">
        <v>9.9638012873783399</v>
      </c>
      <c r="BB106" s="46">
        <v>10.501640221324285</v>
      </c>
      <c r="BC106" s="46">
        <v>10.421580588315033</v>
      </c>
      <c r="BD106" s="46">
        <v>11.163183564480532</v>
      </c>
      <c r="BE106" s="46">
        <v>11.145268647498799</v>
      </c>
      <c r="BF106" s="83">
        <v>11.989888046226074</v>
      </c>
      <c r="BG106" s="46">
        <v>13.140273564928748</v>
      </c>
      <c r="BH106" s="46">
        <v>14.159585034764374</v>
      </c>
      <c r="BI106" s="46">
        <v>15.330583119634296</v>
      </c>
      <c r="BJ106" s="46">
        <v>14.774652660115215</v>
      </c>
      <c r="BK106" s="42">
        <v>11651</v>
      </c>
      <c r="BL106" s="42">
        <v>11650</v>
      </c>
      <c r="BM106" s="42">
        <v>11591</v>
      </c>
      <c r="BN106" s="42">
        <v>11517</v>
      </c>
      <c r="BO106" s="43">
        <v>37.241438503132777</v>
      </c>
      <c r="BP106" s="43">
        <v>38.660944206008587</v>
      </c>
      <c r="BQ106" s="88">
        <v>38.831852299197656</v>
      </c>
      <c r="BR106" s="88">
        <v>40.079881913692802</v>
      </c>
      <c r="BS106" s="89">
        <v>4.5146339370011157</v>
      </c>
      <c r="BT106" s="89">
        <v>5.1158798283261806</v>
      </c>
      <c r="BU106" s="87">
        <v>4.6156500733327581</v>
      </c>
      <c r="BV106" s="87">
        <v>4.862377355214031</v>
      </c>
      <c r="BW106" s="43">
        <v>15.792635825251052</v>
      </c>
      <c r="BX106" s="43">
        <v>16.583690987124463</v>
      </c>
      <c r="BY106" s="43">
        <v>16.055560348546287</v>
      </c>
      <c r="BZ106" s="43">
        <v>15.906920204914474</v>
      </c>
      <c r="CA106" s="42">
        <v>86.380597014925371</v>
      </c>
      <c r="CB106" s="42">
        <v>86.276391554702499</v>
      </c>
      <c r="CC106" s="42">
        <v>85.358565737051791</v>
      </c>
      <c r="CD106" s="44">
        <v>85.554425228891148</v>
      </c>
      <c r="CE106" s="43">
        <v>2.3320895522388061</v>
      </c>
      <c r="CF106" s="43">
        <v>2.8790786948176583</v>
      </c>
      <c r="CG106" s="43">
        <v>5.2788844621513942</v>
      </c>
      <c r="CH106" s="44">
        <v>4.3743641912512716</v>
      </c>
      <c r="CI106" s="42">
        <v>4768</v>
      </c>
      <c r="CJ106" s="49">
        <v>4576</v>
      </c>
      <c r="CK106" s="54">
        <v>4854</v>
      </c>
      <c r="CL106" s="54">
        <v>4750</v>
      </c>
      <c r="CM106" s="88">
        <v>12.2</v>
      </c>
      <c r="CN106" s="88">
        <v>11.9</v>
      </c>
      <c r="CO106" s="88">
        <v>13</v>
      </c>
      <c r="CP106" s="88">
        <v>12.7</v>
      </c>
      <c r="CQ106" s="53">
        <v>158</v>
      </c>
      <c r="CR106" s="53">
        <v>191</v>
      </c>
      <c r="CS106" s="53">
        <v>209</v>
      </c>
      <c r="CT106" s="53">
        <v>203</v>
      </c>
      <c r="CU106" s="88">
        <v>3.4</v>
      </c>
      <c r="CV106" s="88">
        <v>4.3</v>
      </c>
      <c r="CW106" s="88">
        <v>4.4000000000000004</v>
      </c>
      <c r="CX106" s="88">
        <v>4.4000000000000004</v>
      </c>
      <c r="CY106" s="51">
        <v>320</v>
      </c>
      <c r="CZ106" s="53">
        <v>368</v>
      </c>
      <c r="DA106" s="53">
        <v>364</v>
      </c>
      <c r="DB106" s="53">
        <v>413</v>
      </c>
      <c r="DC106" s="88">
        <v>7.5</v>
      </c>
      <c r="DD106" s="88">
        <v>9.1999999999999993</v>
      </c>
      <c r="DE106" s="88">
        <v>8.6999999999999993</v>
      </c>
      <c r="DF106" s="88">
        <v>9.6</v>
      </c>
      <c r="DG106" s="88">
        <v>84.5</v>
      </c>
      <c r="DH106" s="88">
        <v>82.6</v>
      </c>
      <c r="DI106" s="88">
        <v>84.1</v>
      </c>
      <c r="DJ106" s="88">
        <v>84.6</v>
      </c>
      <c r="DK106" s="88">
        <v>11.6</v>
      </c>
      <c r="DL106" s="88">
        <v>13.2</v>
      </c>
      <c r="DM106" s="88">
        <v>13.5</v>
      </c>
      <c r="DN106" s="88">
        <v>14.740615773935048</v>
      </c>
      <c r="DO106" s="88">
        <v>19.7</v>
      </c>
      <c r="DP106" s="88">
        <v>23.2</v>
      </c>
      <c r="DQ106" s="88">
        <v>26.3</v>
      </c>
      <c r="DR106" s="88">
        <v>32.799999999999997</v>
      </c>
      <c r="DS106" s="88">
        <v>28.290711448679534</v>
      </c>
      <c r="DT106" s="88">
        <v>26.201720903150676</v>
      </c>
      <c r="DU106" s="88">
        <v>24.643224952184788</v>
      </c>
      <c r="DV106" s="88">
        <v>23.843248347497639</v>
      </c>
      <c r="DW106" s="54">
        <v>769</v>
      </c>
      <c r="DX106" s="54">
        <v>19</v>
      </c>
      <c r="DY106" s="51">
        <v>18</v>
      </c>
      <c r="DZ106" s="53">
        <v>48</v>
      </c>
      <c r="EA106" s="53">
        <v>71</v>
      </c>
      <c r="EB106" s="75">
        <v>23</v>
      </c>
      <c r="EC106" s="75">
        <v>28</v>
      </c>
      <c r="ED106" s="75">
        <v>20</v>
      </c>
      <c r="EE106" s="75">
        <v>20</v>
      </c>
      <c r="EF106" s="75">
        <f t="shared" ref="EF106:EI106" si="49">EF44+EF45+EF54+EF62+EF67+EF70</f>
        <v>4480</v>
      </c>
      <c r="EG106" s="75">
        <f t="shared" si="49"/>
        <v>4526</v>
      </c>
      <c r="EH106" s="75">
        <f t="shared" si="49"/>
        <v>4377</v>
      </c>
      <c r="EI106" s="75">
        <f t="shared" si="49"/>
        <v>4145</v>
      </c>
      <c r="EJ106" s="75">
        <f t="shared" ref="EJ106:EN106" si="50">EJ44+EJ45+EJ54+EJ62+EJ67+EJ70</f>
        <v>823</v>
      </c>
      <c r="EK106" s="75">
        <f t="shared" si="50"/>
        <v>0</v>
      </c>
      <c r="EL106" s="75">
        <f t="shared" si="50"/>
        <v>7</v>
      </c>
      <c r="EM106" s="75">
        <f t="shared" si="50"/>
        <v>4</v>
      </c>
      <c r="EN106" s="75">
        <f t="shared" si="50"/>
        <v>2</v>
      </c>
      <c r="EO106" s="88">
        <v>1144.8138399816012</v>
      </c>
      <c r="EP106" s="88">
        <v>1180.2071490409187</v>
      </c>
      <c r="EQ106" s="88">
        <v>1174.7434190750205</v>
      </c>
      <c r="ER106" s="88">
        <v>1110.0119049615184</v>
      </c>
      <c r="ES106" s="88">
        <v>756.7</v>
      </c>
      <c r="ET106" s="88">
        <v>749.6</v>
      </c>
      <c r="EU106" s="88">
        <v>709.8</v>
      </c>
      <c r="EV106" s="43">
        <v>672.4</v>
      </c>
      <c r="EW106" s="43">
        <v>967.97604297145256</v>
      </c>
      <c r="EX106" s="43">
        <v>966.01821373999599</v>
      </c>
      <c r="EY106" s="43">
        <v>899.01154901223197</v>
      </c>
      <c r="EZ106" s="88">
        <v>849.56242234128945</v>
      </c>
      <c r="FA106" s="88">
        <v>599.36906158753425</v>
      </c>
      <c r="FB106" s="88">
        <v>583.17481683371477</v>
      </c>
      <c r="FC106" s="88">
        <v>567.88096565305659</v>
      </c>
      <c r="FD106" s="88">
        <v>535.02607228456748</v>
      </c>
      <c r="FE106" s="51">
        <v>1076</v>
      </c>
      <c r="FF106" s="54">
        <v>999</v>
      </c>
      <c r="FG106" s="54">
        <v>1012</v>
      </c>
      <c r="FH106" s="54">
        <v>934</v>
      </c>
      <c r="FI106" s="88">
        <v>194.2165</v>
      </c>
      <c r="FJ106" s="88">
        <v>178.68119999999999</v>
      </c>
      <c r="FK106" s="88">
        <v>181.5275</v>
      </c>
      <c r="FL106" s="88">
        <v>163.65600000000001</v>
      </c>
      <c r="FM106" s="54">
        <v>1426</v>
      </c>
      <c r="FN106" s="54">
        <v>1298</v>
      </c>
      <c r="FO106" s="51">
        <v>1057</v>
      </c>
      <c r="FP106" s="54">
        <v>942</v>
      </c>
      <c r="FQ106" s="88">
        <v>228.63579999999999</v>
      </c>
      <c r="FR106" s="88">
        <v>205.22229999999999</v>
      </c>
      <c r="FS106" s="88">
        <v>156.7362</v>
      </c>
      <c r="FT106" s="88">
        <v>141.86089999999999</v>
      </c>
      <c r="FU106" s="46">
        <v>452</v>
      </c>
      <c r="FV106" s="46">
        <v>444</v>
      </c>
      <c r="FW106" s="46">
        <v>338</v>
      </c>
      <c r="FX106" s="46">
        <v>275</v>
      </c>
      <c r="FY106" s="88">
        <v>68.093559999999997</v>
      </c>
      <c r="FZ106" s="43">
        <v>64.728989999999996</v>
      </c>
      <c r="GA106" s="43">
        <v>48.17398</v>
      </c>
      <c r="GB106" s="43">
        <v>40.793550000000003</v>
      </c>
      <c r="GC106" s="59">
        <v>197</v>
      </c>
      <c r="GD106" s="56">
        <v>183</v>
      </c>
      <c r="GE106" s="59">
        <v>216</v>
      </c>
      <c r="GF106" s="59">
        <v>206</v>
      </c>
      <c r="GG106" s="65">
        <v>45.376629999999999</v>
      </c>
      <c r="GH106" s="65">
        <v>40.31391</v>
      </c>
      <c r="GI106" s="91">
        <v>45.837040000000002</v>
      </c>
      <c r="GJ106" s="65">
        <v>42.651829999999997</v>
      </c>
      <c r="GK106" s="59"/>
      <c r="GL106" s="59"/>
      <c r="GM106" s="59"/>
      <c r="GN106" s="56"/>
      <c r="GO106" s="59"/>
      <c r="GP106" s="59"/>
      <c r="GQ106" s="59"/>
      <c r="GR106" s="59"/>
      <c r="GS106" s="56"/>
      <c r="GT106" s="59"/>
      <c r="GU106" s="59"/>
      <c r="GV106" s="59"/>
      <c r="GW106" s="59"/>
      <c r="GX106" s="56"/>
      <c r="GY106" s="56"/>
      <c r="GZ106" s="56"/>
      <c r="HA106" s="56"/>
      <c r="HB106" s="56"/>
      <c r="HC106" s="56"/>
      <c r="HD106" s="57"/>
      <c r="HE106" s="57"/>
      <c r="HF106" s="57"/>
      <c r="HG106" s="57"/>
      <c r="HH106" s="57"/>
      <c r="HI106" s="58"/>
      <c r="HJ106" s="58"/>
      <c r="HK106" s="55"/>
      <c r="HL106" s="56"/>
      <c r="HM106" s="56"/>
      <c r="HN106" s="56"/>
      <c r="HO106" s="56"/>
      <c r="HP106" s="56"/>
      <c r="HQ106" s="56"/>
      <c r="HR106" s="56"/>
      <c r="HS106" s="56"/>
      <c r="HT106" s="56"/>
      <c r="HU106" s="38"/>
    </row>
    <row r="107" spans="1:229" x14ac:dyDescent="0.2">
      <c r="A107" s="76" t="s">
        <v>466</v>
      </c>
      <c r="B107" s="74" t="s">
        <v>499</v>
      </c>
      <c r="C107" s="75">
        <f>C43+C84</f>
        <v>47485</v>
      </c>
      <c r="D107" s="75">
        <f>D43+D84</f>
        <v>46830</v>
      </c>
      <c r="E107" s="75">
        <f>E43+E84</f>
        <v>46839</v>
      </c>
      <c r="F107" s="75">
        <f>F43+F84</f>
        <v>46929</v>
      </c>
      <c r="G107" s="150">
        <v>46914</v>
      </c>
      <c r="H107" s="75">
        <v>45212</v>
      </c>
      <c r="I107" s="75">
        <v>597</v>
      </c>
      <c r="J107" s="75">
        <v>277</v>
      </c>
      <c r="K107" s="75">
        <v>329</v>
      </c>
      <c r="L107" s="75">
        <v>2623</v>
      </c>
      <c r="M107" s="75">
        <f t="shared" ref="M107:O107" si="51">M43+M84</f>
        <v>18336</v>
      </c>
      <c r="N107" s="75">
        <f t="shared" si="51"/>
        <v>18379</v>
      </c>
      <c r="O107" s="75">
        <f t="shared" si="51"/>
        <v>18039</v>
      </c>
      <c r="P107" s="44">
        <v>18098</v>
      </c>
      <c r="Q107" s="44">
        <v>18129</v>
      </c>
      <c r="R107" s="87">
        <v>21.12818567001834</v>
      </c>
      <c r="S107" s="87">
        <v>22.139205662603224</v>
      </c>
      <c r="T107" s="87">
        <v>22.365216246461721</v>
      </c>
      <c r="U107" s="87">
        <v>22.526156974646593</v>
      </c>
      <c r="V107" s="87">
        <v>23.831544178364986</v>
      </c>
      <c r="W107" s="87">
        <v>29.017264276228421</v>
      </c>
      <c r="X107" s="87">
        <v>31.32127408572552</v>
      </c>
      <c r="Y107" s="87">
        <v>31.80172470541768</v>
      </c>
      <c r="Z107" s="87">
        <v>31.394929318770703</v>
      </c>
      <c r="AA107" s="42">
        <v>31.127993393889348</v>
      </c>
      <c r="AB107" s="87">
        <v>50.145449946246757</v>
      </c>
      <c r="AC107" s="87">
        <v>53.460479748328744</v>
      </c>
      <c r="AD107" s="87">
        <v>54.166940951879404</v>
      </c>
      <c r="AE107" s="87">
        <v>53.921086293417297</v>
      </c>
      <c r="AF107" s="87">
        <v>54.959537572254334</v>
      </c>
      <c r="AG107" s="88">
        <v>6.4651889855304825</v>
      </c>
      <c r="AH107" s="88">
        <v>9.9548234917842731</v>
      </c>
      <c r="AI107" s="88">
        <v>8.7768924302788847</v>
      </c>
      <c r="AJ107" s="43">
        <v>7.5951372114204254</v>
      </c>
      <c r="AK107" s="43">
        <v>6.5533590485374473</v>
      </c>
      <c r="AL107" s="47">
        <v>886.33333333333326</v>
      </c>
      <c r="AM107" s="47">
        <v>1117.25</v>
      </c>
      <c r="AN107" s="47">
        <v>886.33333333333326</v>
      </c>
      <c r="AO107" s="47">
        <v>1584.0833333333335</v>
      </c>
      <c r="AP107" s="47">
        <v>1658.1666666666667</v>
      </c>
      <c r="AQ107" s="47">
        <v>37631.249040361297</v>
      </c>
      <c r="AR107" s="47">
        <v>37103.488983396754</v>
      </c>
      <c r="AS107" s="47">
        <v>37797.187322694452</v>
      </c>
      <c r="AT107" s="47">
        <v>39789.616887404991</v>
      </c>
      <c r="AU107" s="47">
        <v>41314.319819243719</v>
      </c>
      <c r="AV107" s="50" t="s">
        <v>158</v>
      </c>
      <c r="AW107" s="50" t="s">
        <v>158</v>
      </c>
      <c r="AX107" s="50" t="s">
        <v>158</v>
      </c>
      <c r="AY107" s="50" t="s">
        <v>158</v>
      </c>
      <c r="AZ107" s="50" t="s">
        <v>158</v>
      </c>
      <c r="BA107" s="83">
        <v>8.14034934115484</v>
      </c>
      <c r="BB107" s="46">
        <v>8.4453983967760298</v>
      </c>
      <c r="BC107" s="46">
        <v>9.7634836427939877</v>
      </c>
      <c r="BD107" s="46">
        <v>9.3392167677881961</v>
      </c>
      <c r="BE107" s="46">
        <v>8.783813600458938</v>
      </c>
      <c r="BF107" s="83">
        <v>10.082509747030556</v>
      </c>
      <c r="BG107" s="46">
        <v>11.470949622608391</v>
      </c>
      <c r="BH107" s="46">
        <v>12.959550758971659</v>
      </c>
      <c r="BI107" s="46">
        <v>12.112103262311024</v>
      </c>
      <c r="BJ107" s="46">
        <v>11.527839643652561</v>
      </c>
      <c r="BK107" s="42">
        <v>7956</v>
      </c>
      <c r="BL107" s="42">
        <v>7920</v>
      </c>
      <c r="BM107" s="42">
        <v>7936</v>
      </c>
      <c r="BN107" s="42">
        <v>7863</v>
      </c>
      <c r="BO107" s="43">
        <v>33.182503770739068</v>
      </c>
      <c r="BP107" s="43">
        <v>33.825757575757578</v>
      </c>
      <c r="BQ107" s="88">
        <v>36.479334677419352</v>
      </c>
      <c r="BR107" s="88">
        <v>37.186824367289837</v>
      </c>
      <c r="BS107" s="89">
        <v>4.5500251382604322</v>
      </c>
      <c r="BT107" s="89">
        <v>3.9141414141414139</v>
      </c>
      <c r="BU107" s="87">
        <v>3.893649193548387</v>
      </c>
      <c r="BV107" s="87">
        <v>3.6500063588960958</v>
      </c>
      <c r="BW107" s="43">
        <v>15.723981900452488</v>
      </c>
      <c r="BX107" s="43">
        <v>15.113636363636363</v>
      </c>
      <c r="BY107" s="43">
        <v>15.385584677419354</v>
      </c>
      <c r="BZ107" s="43">
        <v>15.681037771842808</v>
      </c>
      <c r="CA107" s="42">
        <v>79.563182527301095</v>
      </c>
      <c r="CB107" s="42">
        <v>85.779816513761475</v>
      </c>
      <c r="CC107" s="42">
        <v>86.83385579937304</v>
      </c>
      <c r="CD107" s="44">
        <v>83.724569640062597</v>
      </c>
      <c r="CE107" s="43">
        <v>5.4602184087363499</v>
      </c>
      <c r="CF107" s="43">
        <v>2.90519877675841</v>
      </c>
      <c r="CG107" s="43">
        <v>3.761755485893417</v>
      </c>
      <c r="CH107" s="44">
        <v>4.225352112676056</v>
      </c>
      <c r="CI107" s="42">
        <v>2745</v>
      </c>
      <c r="CJ107" s="49">
        <v>2790</v>
      </c>
      <c r="CK107" s="54">
        <v>3124</v>
      </c>
      <c r="CL107" s="54">
        <v>2770</v>
      </c>
      <c r="CM107" s="88">
        <v>13</v>
      </c>
      <c r="CN107" s="88">
        <v>12.5</v>
      </c>
      <c r="CO107" s="88">
        <v>13.3</v>
      </c>
      <c r="CP107" s="88">
        <v>11.8</v>
      </c>
      <c r="CQ107" s="53">
        <v>112</v>
      </c>
      <c r="CR107" s="53">
        <v>104</v>
      </c>
      <c r="CS107" s="53">
        <v>136</v>
      </c>
      <c r="CT107" s="53">
        <v>114</v>
      </c>
      <c r="CU107" s="88">
        <v>4.2</v>
      </c>
      <c r="CV107" s="88">
        <v>3.8</v>
      </c>
      <c r="CW107" s="88">
        <v>4.5</v>
      </c>
      <c r="CX107" s="88">
        <v>4.2</v>
      </c>
      <c r="CY107" s="51">
        <v>180</v>
      </c>
      <c r="CZ107" s="53">
        <v>173</v>
      </c>
      <c r="DA107" s="53">
        <v>234</v>
      </c>
      <c r="DB107" s="53">
        <v>190</v>
      </c>
      <c r="DC107" s="88">
        <v>7.5</v>
      </c>
      <c r="DD107" s="88">
        <v>6.8</v>
      </c>
      <c r="DE107" s="88">
        <v>8.3000000000000007</v>
      </c>
      <c r="DF107" s="88">
        <v>7.3</v>
      </c>
      <c r="DG107" s="88">
        <v>84.5</v>
      </c>
      <c r="DH107" s="88">
        <v>84.2</v>
      </c>
      <c r="DI107" s="88">
        <v>87.7</v>
      </c>
      <c r="DJ107" s="88">
        <v>88.1</v>
      </c>
      <c r="DK107" s="88">
        <v>12.5</v>
      </c>
      <c r="DL107" s="88">
        <v>14.8</v>
      </c>
      <c r="DM107" s="88">
        <v>12.3</v>
      </c>
      <c r="DN107" s="88">
        <v>12.84370477568741</v>
      </c>
      <c r="DO107" s="88">
        <v>22</v>
      </c>
      <c r="DP107" s="88">
        <v>27</v>
      </c>
      <c r="DQ107" s="88">
        <v>30.8</v>
      </c>
      <c r="DR107" s="88">
        <v>31.9</v>
      </c>
      <c r="DS107" s="88">
        <v>31.436917512866881</v>
      </c>
      <c r="DT107" s="88">
        <v>29.580152671755727</v>
      </c>
      <c r="DU107" s="88">
        <v>27.137546468401489</v>
      </c>
      <c r="DV107" s="88">
        <v>22.456709956709958</v>
      </c>
      <c r="DW107" s="54">
        <v>471</v>
      </c>
      <c r="DX107" s="54">
        <v>8</v>
      </c>
      <c r="DY107" s="51">
        <v>0</v>
      </c>
      <c r="DZ107" s="53">
        <v>2</v>
      </c>
      <c r="EA107" s="53">
        <v>36</v>
      </c>
      <c r="EB107" s="75">
        <v>15</v>
      </c>
      <c r="EC107" s="75">
        <v>8</v>
      </c>
      <c r="ED107" s="75">
        <v>11</v>
      </c>
      <c r="EE107" s="75">
        <v>11</v>
      </c>
      <c r="EF107" s="75">
        <f t="shared" ref="EF107:EI107" si="52">EF43+EF84</f>
        <v>1891</v>
      </c>
      <c r="EG107" s="75">
        <f t="shared" si="52"/>
        <v>1995</v>
      </c>
      <c r="EH107" s="75">
        <f t="shared" si="52"/>
        <v>1825</v>
      </c>
      <c r="EI107" s="75">
        <f t="shared" si="52"/>
        <v>1816</v>
      </c>
      <c r="EJ107" s="75">
        <f>EJ43+EJ84</f>
        <v>373</v>
      </c>
      <c r="EK107" s="75">
        <f t="shared" ref="EK107:EN107" si="53">EK43+EK84</f>
        <v>1</v>
      </c>
      <c r="EL107" s="75">
        <f t="shared" si="53"/>
        <v>1</v>
      </c>
      <c r="EM107" s="75">
        <f t="shared" si="53"/>
        <v>0</v>
      </c>
      <c r="EN107" s="75">
        <f t="shared" si="53"/>
        <v>3</v>
      </c>
      <c r="EO107" s="88">
        <v>892.15788033478327</v>
      </c>
      <c r="EP107" s="88">
        <v>894.09761125801106</v>
      </c>
      <c r="EQ107" s="88">
        <v>778.65005546548343</v>
      </c>
      <c r="ER107" s="88">
        <v>764.0243934858546</v>
      </c>
      <c r="ES107" s="88">
        <v>738.2</v>
      </c>
      <c r="ET107" s="88">
        <v>743.5</v>
      </c>
      <c r="EU107" s="88">
        <v>638.4</v>
      </c>
      <c r="EV107" s="43">
        <v>616.29999999999995</v>
      </c>
      <c r="EW107" s="43">
        <v>923.47951095840233</v>
      </c>
      <c r="EX107" s="43">
        <v>915.63985228053355</v>
      </c>
      <c r="EY107" s="43">
        <v>787.40802049596391</v>
      </c>
      <c r="EZ107" s="88">
        <v>764.3081788348004</v>
      </c>
      <c r="FA107" s="88">
        <v>598.109332910597</v>
      </c>
      <c r="FB107" s="88">
        <v>608.22904128598816</v>
      </c>
      <c r="FC107" s="88">
        <v>520.38425569198046</v>
      </c>
      <c r="FD107" s="88">
        <v>502.4819786566556</v>
      </c>
      <c r="FE107" s="51">
        <v>464</v>
      </c>
      <c r="FF107" s="54">
        <v>483</v>
      </c>
      <c r="FG107" s="54">
        <v>435</v>
      </c>
      <c r="FH107" s="54">
        <v>477</v>
      </c>
      <c r="FI107" s="88">
        <v>187.1164</v>
      </c>
      <c r="FJ107" s="88">
        <v>189.755</v>
      </c>
      <c r="FK107" s="88">
        <v>162.47130000000001</v>
      </c>
      <c r="FL107" s="88">
        <v>166.92240000000001</v>
      </c>
      <c r="FM107" s="54">
        <v>592</v>
      </c>
      <c r="FN107" s="54">
        <v>531</v>
      </c>
      <c r="FO107" s="51">
        <v>467</v>
      </c>
      <c r="FP107" s="54">
        <v>425</v>
      </c>
      <c r="FQ107" s="88">
        <v>225.8596</v>
      </c>
      <c r="FR107" s="88">
        <v>192.16749999999999</v>
      </c>
      <c r="FS107" s="88">
        <v>157.10570000000001</v>
      </c>
      <c r="FT107" s="88">
        <v>141.0016</v>
      </c>
      <c r="FU107" s="46">
        <v>152</v>
      </c>
      <c r="FV107" s="46">
        <v>151</v>
      </c>
      <c r="FW107" s="46">
        <v>111</v>
      </c>
      <c r="FX107" s="46">
        <v>101</v>
      </c>
      <c r="FY107" s="88">
        <v>56.514530000000001</v>
      </c>
      <c r="FZ107" s="43">
        <v>52.221319999999999</v>
      </c>
      <c r="GA107" s="43">
        <v>35.340130000000002</v>
      </c>
      <c r="GB107" s="43">
        <v>32.13223</v>
      </c>
      <c r="GC107" s="59">
        <v>95</v>
      </c>
      <c r="GD107" s="56">
        <v>99</v>
      </c>
      <c r="GE107" s="59">
        <v>87</v>
      </c>
      <c r="GF107" s="59">
        <v>71</v>
      </c>
      <c r="GG107" s="65">
        <v>42.0045</v>
      </c>
      <c r="GH107" s="65">
        <v>41.123559999999998</v>
      </c>
      <c r="GI107" s="91">
        <v>34.037140000000001</v>
      </c>
      <c r="GJ107" s="65">
        <v>27.580829999999999</v>
      </c>
      <c r="GK107" s="59"/>
      <c r="GL107" s="59"/>
      <c r="GM107" s="59"/>
      <c r="GN107" s="56"/>
      <c r="GO107" s="59"/>
      <c r="GP107" s="59"/>
      <c r="GQ107" s="59"/>
      <c r="GR107" s="59"/>
      <c r="GS107" s="56"/>
      <c r="GT107" s="59"/>
      <c r="GU107" s="59"/>
      <c r="GV107" s="59"/>
      <c r="GW107" s="59"/>
      <c r="GX107" s="56"/>
      <c r="GY107" s="56"/>
      <c r="GZ107" s="56"/>
      <c r="HA107" s="56"/>
      <c r="HB107" s="56"/>
      <c r="HC107" s="56"/>
      <c r="HD107" s="57"/>
      <c r="HE107" s="57"/>
      <c r="HF107" s="57"/>
      <c r="HG107" s="57"/>
      <c r="HH107" s="57"/>
      <c r="HI107" s="58"/>
      <c r="HJ107" s="58"/>
      <c r="HK107" s="55"/>
      <c r="HL107" s="56"/>
      <c r="HM107" s="56"/>
      <c r="HN107" s="56"/>
      <c r="HO107" s="56"/>
      <c r="HP107" s="56"/>
      <c r="HQ107" s="56"/>
      <c r="HR107" s="56"/>
      <c r="HS107" s="56"/>
      <c r="HT107" s="56"/>
      <c r="HU107" s="38"/>
    </row>
    <row r="108" spans="1:229" x14ac:dyDescent="0.2">
      <c r="A108" s="76" t="s">
        <v>467</v>
      </c>
      <c r="B108" s="74" t="s">
        <v>500</v>
      </c>
      <c r="C108" s="75">
        <f>C50+C46+C75</f>
        <v>75262</v>
      </c>
      <c r="D108" s="75">
        <f>D50+D46+D75</f>
        <v>75018</v>
      </c>
      <c r="E108" s="75">
        <f>E50+E46+E75</f>
        <v>75177</v>
      </c>
      <c r="F108" s="75">
        <f>F50+F46+F75</f>
        <v>74866</v>
      </c>
      <c r="G108" s="150">
        <v>74237</v>
      </c>
      <c r="H108" s="75">
        <v>72506</v>
      </c>
      <c r="I108" s="75">
        <v>391</v>
      </c>
      <c r="J108" s="75">
        <v>216</v>
      </c>
      <c r="K108" s="75">
        <v>462</v>
      </c>
      <c r="L108" s="75">
        <v>3781</v>
      </c>
      <c r="M108" s="75">
        <f t="shared" ref="M108:O108" si="54">M50+M46+M75</f>
        <v>29929</v>
      </c>
      <c r="N108" s="75">
        <f t="shared" si="54"/>
        <v>29894</v>
      </c>
      <c r="O108" s="75">
        <f t="shared" si="54"/>
        <v>29849</v>
      </c>
      <c r="P108" s="44">
        <v>29848</v>
      </c>
      <c r="Q108" s="44">
        <v>29719</v>
      </c>
      <c r="R108" s="87">
        <v>23.305067303338411</v>
      </c>
      <c r="S108" s="87">
        <v>24.432736508469596</v>
      </c>
      <c r="T108" s="87">
        <v>25.133926688319907</v>
      </c>
      <c r="U108" s="87">
        <v>25.784710594917662</v>
      </c>
      <c r="V108" s="87">
        <v>26.821248979240984</v>
      </c>
      <c r="W108" s="87">
        <v>31.599637755732104</v>
      </c>
      <c r="X108" s="87">
        <v>33.03247203039399</v>
      </c>
      <c r="Y108" s="87">
        <v>33.420508710507448</v>
      </c>
      <c r="Z108" s="87">
        <v>32.886844838183244</v>
      </c>
      <c r="AA108" s="42">
        <v>32.711565736880559</v>
      </c>
      <c r="AB108" s="87">
        <v>54.904705059070515</v>
      </c>
      <c r="AC108" s="87">
        <v>57.465208538863585</v>
      </c>
      <c r="AD108" s="87">
        <v>58.554435398827351</v>
      </c>
      <c r="AE108" s="87">
        <v>58.671555433100906</v>
      </c>
      <c r="AF108" s="87">
        <v>59.532814716121543</v>
      </c>
      <c r="AG108" s="88">
        <v>6.1970820377900022</v>
      </c>
      <c r="AH108" s="88">
        <v>9.5235814031473804</v>
      </c>
      <c r="AI108" s="88">
        <v>8.5646274696500839</v>
      </c>
      <c r="AJ108" s="43">
        <v>7.6254084182202577</v>
      </c>
      <c r="AK108" s="43">
        <v>6.3304469927451441</v>
      </c>
      <c r="AL108" s="47">
        <v>1197.8333333333335</v>
      </c>
      <c r="AM108" s="47">
        <v>1628.6666666666667</v>
      </c>
      <c r="AN108" s="47">
        <v>1197.8333333333335</v>
      </c>
      <c r="AO108" s="47">
        <v>2334</v>
      </c>
      <c r="AP108" s="47">
        <v>2412.833333333333</v>
      </c>
      <c r="AQ108" s="47">
        <v>37016.238566645334</v>
      </c>
      <c r="AR108" s="47">
        <v>36054.084854961875</v>
      </c>
      <c r="AS108" s="47">
        <v>37004.938069809934</v>
      </c>
      <c r="AT108" s="47">
        <v>38256.794375124875</v>
      </c>
      <c r="AU108" s="47">
        <v>40686.315449169553</v>
      </c>
      <c r="AV108" s="50" t="s">
        <v>158</v>
      </c>
      <c r="AW108" s="50" t="s">
        <v>158</v>
      </c>
      <c r="AX108" s="50" t="s">
        <v>158</v>
      </c>
      <c r="AY108" s="50" t="s">
        <v>158</v>
      </c>
      <c r="AZ108" s="50" t="s">
        <v>158</v>
      </c>
      <c r="BA108" s="83">
        <v>8.0084270800977766</v>
      </c>
      <c r="BB108" s="46">
        <v>8.878282917305059</v>
      </c>
      <c r="BC108" s="46">
        <v>8.9610757063364819</v>
      </c>
      <c r="BD108" s="46">
        <v>9.2538202292814322</v>
      </c>
      <c r="BE108" s="46">
        <v>9.7551989520222691</v>
      </c>
      <c r="BF108" s="83">
        <v>10.202857454466136</v>
      </c>
      <c r="BG108" s="46">
        <v>11.571841851494696</v>
      </c>
      <c r="BH108" s="46">
        <v>12.557941286163354</v>
      </c>
      <c r="BI108" s="46">
        <v>12.880143112701253</v>
      </c>
      <c r="BJ108" s="46">
        <v>13.24210990951225</v>
      </c>
      <c r="BK108" s="42">
        <v>11198</v>
      </c>
      <c r="BL108" s="42">
        <v>11130</v>
      </c>
      <c r="BM108" s="42">
        <v>10987</v>
      </c>
      <c r="BN108" s="42">
        <v>10954</v>
      </c>
      <c r="BO108" s="43">
        <v>36.854795499196285</v>
      </c>
      <c r="BP108" s="43">
        <v>37.37646001796945</v>
      </c>
      <c r="BQ108" s="88">
        <v>36.952762355511055</v>
      </c>
      <c r="BR108" s="88">
        <v>37.721380317692166</v>
      </c>
      <c r="BS108" s="89">
        <v>4.29540989462404</v>
      </c>
      <c r="BT108" s="89">
        <v>4.0161725067385445</v>
      </c>
      <c r="BU108" s="87">
        <v>3.9046145444616367</v>
      </c>
      <c r="BV108" s="87">
        <v>4.0076684316231512</v>
      </c>
      <c r="BW108" s="43">
        <v>13.939989283800678</v>
      </c>
      <c r="BX108" s="43">
        <v>14.061096136567835</v>
      </c>
      <c r="BY108" s="43">
        <v>14.253208337125693</v>
      </c>
      <c r="BZ108" s="43">
        <v>14.067920394376484</v>
      </c>
      <c r="CA108" s="42">
        <v>83.934088568486104</v>
      </c>
      <c r="CB108" s="42">
        <v>86.839266450916938</v>
      </c>
      <c r="CC108" s="42">
        <v>86.321839080459768</v>
      </c>
      <c r="CD108" s="44">
        <v>87.699316628701595</v>
      </c>
      <c r="CE108" s="43">
        <v>3.6045314109165809</v>
      </c>
      <c r="CF108" s="43">
        <v>3.667745415318231</v>
      </c>
      <c r="CG108" s="43">
        <v>3.6781609195402298</v>
      </c>
      <c r="CH108" s="44">
        <v>3.1890660592255125</v>
      </c>
      <c r="CI108" s="42">
        <v>4502</v>
      </c>
      <c r="CJ108" s="49">
        <v>4807</v>
      </c>
      <c r="CK108" s="54">
        <v>5247</v>
      </c>
      <c r="CL108" s="54">
        <v>4661</v>
      </c>
      <c r="CM108" s="88">
        <v>13</v>
      </c>
      <c r="CN108" s="88">
        <v>13.3</v>
      </c>
      <c r="CO108" s="88">
        <v>14</v>
      </c>
      <c r="CP108" s="88">
        <v>12.4</v>
      </c>
      <c r="CQ108" s="53">
        <v>169</v>
      </c>
      <c r="CR108" s="53">
        <v>185</v>
      </c>
      <c r="CS108" s="53">
        <v>209</v>
      </c>
      <c r="CT108" s="53">
        <v>193</v>
      </c>
      <c r="CU108" s="88">
        <v>3.8</v>
      </c>
      <c r="CV108" s="88">
        <v>4</v>
      </c>
      <c r="CW108" s="88">
        <v>4.0999999999999996</v>
      </c>
      <c r="CX108" s="88">
        <v>4.2</v>
      </c>
      <c r="CY108" s="51">
        <v>316</v>
      </c>
      <c r="CZ108" s="53">
        <v>329</v>
      </c>
      <c r="DA108" s="53">
        <v>376</v>
      </c>
      <c r="DB108" s="53">
        <v>319</v>
      </c>
      <c r="DC108" s="88">
        <v>7.6</v>
      </c>
      <c r="DD108" s="88">
        <v>7.4</v>
      </c>
      <c r="DE108" s="88">
        <v>8</v>
      </c>
      <c r="DF108" s="88">
        <v>7.6</v>
      </c>
      <c r="DG108" s="88">
        <v>85.1</v>
      </c>
      <c r="DH108" s="88">
        <v>85.2</v>
      </c>
      <c r="DI108" s="88">
        <v>86.6</v>
      </c>
      <c r="DJ108" s="88">
        <v>86.9</v>
      </c>
      <c r="DK108" s="88">
        <v>11.9</v>
      </c>
      <c r="DL108" s="88">
        <v>12</v>
      </c>
      <c r="DM108" s="88">
        <v>12.8</v>
      </c>
      <c r="DN108" s="88">
        <v>12.973321858864027</v>
      </c>
      <c r="DO108" s="88">
        <v>20.9</v>
      </c>
      <c r="DP108" s="88">
        <v>23.7</v>
      </c>
      <c r="DQ108" s="88">
        <v>26.9</v>
      </c>
      <c r="DR108" s="88">
        <v>28.7</v>
      </c>
      <c r="DS108" s="88">
        <v>34.970364098221843</v>
      </c>
      <c r="DT108" s="88">
        <v>31.69583762317988</v>
      </c>
      <c r="DU108" s="88">
        <v>34.356109878338053</v>
      </c>
      <c r="DV108" s="88">
        <v>23.872679045092838</v>
      </c>
      <c r="DW108" s="54">
        <v>804</v>
      </c>
      <c r="DX108" s="54">
        <v>5</v>
      </c>
      <c r="DY108" s="51">
        <v>3</v>
      </c>
      <c r="DZ108" s="53">
        <v>10</v>
      </c>
      <c r="EA108" s="53">
        <v>72</v>
      </c>
      <c r="EB108" s="75">
        <v>22</v>
      </c>
      <c r="EC108" s="75">
        <v>28</v>
      </c>
      <c r="ED108" s="75">
        <v>18</v>
      </c>
      <c r="EE108" s="75">
        <v>16</v>
      </c>
      <c r="EF108" s="75">
        <f t="shared" ref="EF108:EI108" si="55">EF50+EF46+EF75</f>
        <v>3347</v>
      </c>
      <c r="EG108" s="75">
        <f t="shared" si="55"/>
        <v>3379</v>
      </c>
      <c r="EH108" s="75">
        <f t="shared" si="55"/>
        <v>3268</v>
      </c>
      <c r="EI108" s="75">
        <f t="shared" si="55"/>
        <v>3273</v>
      </c>
      <c r="EJ108" s="75">
        <f>EJ50+EJ46+EJ75</f>
        <v>675</v>
      </c>
      <c r="EK108" s="75">
        <f t="shared" ref="EK108:EN108" si="56">EK50+EK46+EK75</f>
        <v>0</v>
      </c>
      <c r="EL108" s="75">
        <f t="shared" si="56"/>
        <v>2</v>
      </c>
      <c r="EM108" s="75">
        <f t="shared" si="56"/>
        <v>1</v>
      </c>
      <c r="EN108" s="75">
        <f t="shared" si="56"/>
        <v>4</v>
      </c>
      <c r="EO108" s="88">
        <v>968.6316161127977</v>
      </c>
      <c r="EP108" s="88">
        <v>935.11223283990182</v>
      </c>
      <c r="EQ108" s="88">
        <v>870.22514545914498</v>
      </c>
      <c r="ER108" s="88">
        <v>863.73671014208037</v>
      </c>
      <c r="ES108" s="88">
        <v>759.6</v>
      </c>
      <c r="ET108" s="88">
        <v>738.8</v>
      </c>
      <c r="EU108" s="88">
        <v>663.4</v>
      </c>
      <c r="EV108" s="43">
        <v>644.1</v>
      </c>
      <c r="EW108" s="43">
        <v>962.82236203995058</v>
      </c>
      <c r="EX108" s="43">
        <v>915.22577817194428</v>
      </c>
      <c r="EY108" s="43">
        <v>827.09713876888532</v>
      </c>
      <c r="EZ108" s="88">
        <v>796.59732359177076</v>
      </c>
      <c r="FA108" s="88">
        <v>607.04361136706075</v>
      </c>
      <c r="FB108" s="88">
        <v>601.78342110586175</v>
      </c>
      <c r="FC108" s="88">
        <v>538.48115696449258</v>
      </c>
      <c r="FD108" s="88">
        <v>521.99426579268311</v>
      </c>
      <c r="FE108" s="51">
        <v>719</v>
      </c>
      <c r="FF108" s="51">
        <v>741</v>
      </c>
      <c r="FG108" s="51">
        <v>725</v>
      </c>
      <c r="FH108" s="51">
        <v>801</v>
      </c>
      <c r="FI108" s="88">
        <v>170.82169999999999</v>
      </c>
      <c r="FJ108" s="88">
        <v>173.071</v>
      </c>
      <c r="FK108" s="88">
        <v>160.13059999999999</v>
      </c>
      <c r="FL108" s="88">
        <v>165.61959999999999</v>
      </c>
      <c r="FM108" s="51">
        <v>1006</v>
      </c>
      <c r="FN108" s="51">
        <v>941</v>
      </c>
      <c r="FO108" s="51">
        <v>783</v>
      </c>
      <c r="FP108" s="51">
        <v>699</v>
      </c>
      <c r="FQ108" s="88">
        <v>222.39490000000001</v>
      </c>
      <c r="FR108" s="88">
        <v>197.86529999999999</v>
      </c>
      <c r="FS108" s="88">
        <v>149.72309999999999</v>
      </c>
      <c r="FT108" s="88">
        <v>130.33430000000001</v>
      </c>
      <c r="FU108" s="46">
        <v>339</v>
      </c>
      <c r="FV108" s="46">
        <v>323</v>
      </c>
      <c r="FW108" s="46">
        <v>251</v>
      </c>
      <c r="FX108" s="46">
        <v>193</v>
      </c>
      <c r="FY108" s="88">
        <v>72.451490000000007</v>
      </c>
      <c r="FZ108" s="43">
        <v>65.448179999999994</v>
      </c>
      <c r="GA108" s="43">
        <v>48.192030000000003</v>
      </c>
      <c r="GB108" s="43">
        <v>35.199710000000003</v>
      </c>
      <c r="GC108" s="59">
        <v>162</v>
      </c>
      <c r="GD108" s="56">
        <v>165</v>
      </c>
      <c r="GE108" s="59">
        <v>165</v>
      </c>
      <c r="GF108" s="59">
        <v>187</v>
      </c>
      <c r="GG108" s="65">
        <v>43.57817</v>
      </c>
      <c r="GH108" s="65">
        <v>40.954749999999997</v>
      </c>
      <c r="GI108" s="91">
        <v>37.053519999999999</v>
      </c>
      <c r="GJ108" s="65">
        <v>40.703049999999998</v>
      </c>
      <c r="GK108" s="59"/>
      <c r="GL108" s="59"/>
      <c r="GM108" s="59"/>
      <c r="GN108" s="56"/>
      <c r="GO108" s="59"/>
      <c r="GP108" s="59"/>
      <c r="GQ108" s="59"/>
      <c r="GR108" s="59"/>
      <c r="GS108" s="56"/>
      <c r="GT108" s="59"/>
      <c r="GU108" s="59"/>
      <c r="GV108" s="59"/>
      <c r="GW108" s="59"/>
      <c r="GX108" s="56"/>
      <c r="GY108" s="56"/>
      <c r="GZ108" s="56"/>
      <c r="HA108" s="56"/>
      <c r="HB108" s="56"/>
      <c r="HC108" s="56"/>
      <c r="HD108" s="57"/>
      <c r="HE108" s="57"/>
      <c r="HF108" s="57"/>
      <c r="HG108" s="57"/>
      <c r="HH108" s="57"/>
      <c r="HI108" s="58"/>
      <c r="HJ108" s="58"/>
      <c r="HK108" s="55"/>
      <c r="HL108" s="56"/>
      <c r="HM108" s="56"/>
      <c r="HN108" s="56"/>
      <c r="HO108" s="56"/>
      <c r="HP108" s="56"/>
      <c r="HQ108" s="56"/>
      <c r="HR108" s="56"/>
      <c r="HS108" s="56"/>
      <c r="HT108" s="56"/>
      <c r="HU108" s="38"/>
    </row>
    <row r="109" spans="1:229" x14ac:dyDescent="0.2">
      <c r="A109" s="76" t="s">
        <v>468</v>
      </c>
      <c r="B109" s="74" t="s">
        <v>501</v>
      </c>
      <c r="C109" s="75">
        <f t="shared" ref="C109:F109" si="57">C47+C57+C63</f>
        <v>42427</v>
      </c>
      <c r="D109" s="75">
        <f t="shared" si="57"/>
        <v>42256</v>
      </c>
      <c r="E109" s="75">
        <f t="shared" si="57"/>
        <v>43865</v>
      </c>
      <c r="F109" s="75">
        <f t="shared" si="57"/>
        <v>43781</v>
      </c>
      <c r="G109" s="150">
        <v>43586</v>
      </c>
      <c r="H109" s="75">
        <v>38784</v>
      </c>
      <c r="I109" s="75">
        <v>385</v>
      </c>
      <c r="J109" s="75">
        <v>2861</v>
      </c>
      <c r="K109" s="75">
        <v>306</v>
      </c>
      <c r="L109" s="75">
        <v>2215</v>
      </c>
      <c r="M109" s="75">
        <f t="shared" ref="M109:O109" si="58">M47+M57+M63</f>
        <v>17434</v>
      </c>
      <c r="N109" s="75">
        <f t="shared" si="58"/>
        <v>17385</v>
      </c>
      <c r="O109" s="75">
        <f t="shared" si="58"/>
        <v>17586</v>
      </c>
      <c r="P109" s="44">
        <v>17611</v>
      </c>
      <c r="Q109" s="44">
        <v>17548</v>
      </c>
      <c r="R109" s="87">
        <v>28.135517993860265</v>
      </c>
      <c r="S109" s="87">
        <v>28.131043112273918</v>
      </c>
      <c r="T109" s="87">
        <v>27.49416569428238</v>
      </c>
      <c r="U109" s="87">
        <v>27.135860692907674</v>
      </c>
      <c r="V109" s="87">
        <v>27.960538379726408</v>
      </c>
      <c r="W109" s="87">
        <v>28.786477789695603</v>
      </c>
      <c r="X109" s="87">
        <v>32.093428885602698</v>
      </c>
      <c r="Y109" s="87">
        <v>32.456971995332559</v>
      </c>
      <c r="Z109" s="87">
        <v>31.692363504444042</v>
      </c>
      <c r="AA109" s="42">
        <v>31.888363222943486</v>
      </c>
      <c r="AB109" s="87">
        <v>56.921995783555865</v>
      </c>
      <c r="AC109" s="87">
        <v>60.224471997876613</v>
      </c>
      <c r="AD109" s="87">
        <v>59.951137689614939</v>
      </c>
      <c r="AE109" s="87">
        <v>58.828224197351716</v>
      </c>
      <c r="AF109" s="87">
        <v>59.848901602669891</v>
      </c>
      <c r="AG109" s="88">
        <v>5.2987352812908854</v>
      </c>
      <c r="AH109" s="88">
        <v>6.4087113712662473</v>
      </c>
      <c r="AI109" s="88">
        <v>6.0392255680147828</v>
      </c>
      <c r="AJ109" s="43">
        <v>6.2627916496111338</v>
      </c>
      <c r="AK109" s="43">
        <v>5.448205128205128</v>
      </c>
      <c r="AL109" s="47">
        <v>1707.5833333333335</v>
      </c>
      <c r="AM109" s="47">
        <v>2008.25</v>
      </c>
      <c r="AN109" s="47">
        <v>1707.5833333333335</v>
      </c>
      <c r="AO109" s="47">
        <v>2724.9166666666665</v>
      </c>
      <c r="AP109" s="47">
        <v>2850.916666666667</v>
      </c>
      <c r="AQ109" s="47">
        <v>39505.677201319704</v>
      </c>
      <c r="AR109" s="47">
        <v>36790.883209085361</v>
      </c>
      <c r="AS109" s="47">
        <v>39024.951904703055</v>
      </c>
      <c r="AT109" s="47">
        <v>39761.187607943699</v>
      </c>
      <c r="AU109" s="47">
        <v>43332.767402376907</v>
      </c>
      <c r="AV109" s="50" t="s">
        <v>158</v>
      </c>
      <c r="AW109" s="50" t="s">
        <v>158</v>
      </c>
      <c r="AX109" s="50" t="s">
        <v>158</v>
      </c>
      <c r="AY109" s="50" t="s">
        <v>158</v>
      </c>
      <c r="AZ109" s="50" t="s">
        <v>158</v>
      </c>
      <c r="BA109" s="83">
        <v>13.320123293703215</v>
      </c>
      <c r="BB109" s="46">
        <v>13.405610049905352</v>
      </c>
      <c r="BC109" s="46">
        <v>12.964923424377162</v>
      </c>
      <c r="BD109" s="46">
        <v>15.427465420384271</v>
      </c>
      <c r="BE109" s="46">
        <v>14.251837799383448</v>
      </c>
      <c r="BF109" s="83">
        <v>18.310746927198235</v>
      </c>
      <c r="BG109" s="46">
        <v>19.859697658334156</v>
      </c>
      <c r="BH109" s="46">
        <v>18.634598996307169</v>
      </c>
      <c r="BI109" s="46">
        <v>22.689800613496931</v>
      </c>
      <c r="BJ109" s="46">
        <v>20.10612638687892</v>
      </c>
      <c r="BK109" s="42">
        <v>7550</v>
      </c>
      <c r="BL109" s="42">
        <v>7495</v>
      </c>
      <c r="BM109" s="42">
        <v>7404</v>
      </c>
      <c r="BN109" s="42">
        <v>7465</v>
      </c>
      <c r="BO109" s="43">
        <v>45.642384105960268</v>
      </c>
      <c r="BP109" s="43">
        <v>45.416944629753168</v>
      </c>
      <c r="BQ109" s="88">
        <v>44.813614262560776</v>
      </c>
      <c r="BR109" s="88">
        <v>47.206965840589419</v>
      </c>
      <c r="BS109" s="89">
        <v>1.2715231788079471</v>
      </c>
      <c r="BT109" s="89">
        <v>1.0940627084723149</v>
      </c>
      <c r="BU109" s="87">
        <v>1.242571582928147</v>
      </c>
      <c r="BV109" s="87">
        <v>1.2190221031480242</v>
      </c>
      <c r="BW109" s="43">
        <v>16.317880794701988</v>
      </c>
      <c r="BX109" s="43">
        <v>16.197464976651101</v>
      </c>
      <c r="BY109" s="43">
        <v>16.207455429497568</v>
      </c>
      <c r="BZ109" s="43">
        <v>15.753516409912926</v>
      </c>
      <c r="CA109" s="42">
        <v>81.034482758620683</v>
      </c>
      <c r="CB109" s="42">
        <v>79.468242245199406</v>
      </c>
      <c r="CC109" s="42">
        <v>78.929765886287626</v>
      </c>
      <c r="CD109" s="44">
        <v>83.276450511945399</v>
      </c>
      <c r="CE109" s="43">
        <v>6.2695924764890281</v>
      </c>
      <c r="CF109" s="43">
        <v>6.7946824224519942</v>
      </c>
      <c r="CG109" s="43">
        <v>7.6923076923076925</v>
      </c>
      <c r="CH109" s="44">
        <v>7.5085324232081909</v>
      </c>
      <c r="CI109" s="42">
        <v>2828</v>
      </c>
      <c r="CJ109" s="49">
        <v>2436</v>
      </c>
      <c r="CK109" s="54">
        <v>2734</v>
      </c>
      <c r="CL109" s="54">
        <v>2879</v>
      </c>
      <c r="CM109" s="88">
        <v>12.5</v>
      </c>
      <c r="CN109" s="88">
        <v>11.2</v>
      </c>
      <c r="CO109" s="88">
        <v>12.7</v>
      </c>
      <c r="CP109" s="88">
        <v>13.3</v>
      </c>
      <c r="CQ109" s="53">
        <v>102</v>
      </c>
      <c r="CR109" s="53">
        <v>96</v>
      </c>
      <c r="CS109" s="53">
        <v>132</v>
      </c>
      <c r="CT109" s="53">
        <v>129</v>
      </c>
      <c r="CU109" s="88">
        <v>3.7</v>
      </c>
      <c r="CV109" s="88">
        <v>4.0999999999999996</v>
      </c>
      <c r="CW109" s="88">
        <v>5</v>
      </c>
      <c r="CX109" s="88">
        <v>4.7</v>
      </c>
      <c r="CY109" s="51">
        <v>204</v>
      </c>
      <c r="CZ109" s="53">
        <v>182</v>
      </c>
      <c r="DA109" s="53">
        <v>234</v>
      </c>
      <c r="DB109" s="53">
        <v>211</v>
      </c>
      <c r="DC109" s="88">
        <v>7.7</v>
      </c>
      <c r="DD109" s="88">
        <v>8.1999999999999993</v>
      </c>
      <c r="DE109" s="88">
        <v>9.6</v>
      </c>
      <c r="DF109" s="88">
        <v>9.4</v>
      </c>
      <c r="DG109" s="88">
        <v>75.3</v>
      </c>
      <c r="DH109" s="88">
        <v>79.8</v>
      </c>
      <c r="DI109" s="88">
        <v>81</v>
      </c>
      <c r="DJ109" s="88">
        <v>75.400000000000006</v>
      </c>
      <c r="DK109" s="88">
        <v>19.8</v>
      </c>
      <c r="DL109" s="88">
        <v>18</v>
      </c>
      <c r="DM109" s="88">
        <v>17.7</v>
      </c>
      <c r="DN109" s="88">
        <v>21.912491178546226</v>
      </c>
      <c r="DO109" s="88">
        <v>29.2</v>
      </c>
      <c r="DP109" s="88">
        <v>34.6</v>
      </c>
      <c r="DQ109" s="88">
        <v>39.200000000000003</v>
      </c>
      <c r="DR109" s="88">
        <v>42.2</v>
      </c>
      <c r="DS109" s="88">
        <v>38.214197378184515</v>
      </c>
      <c r="DT109" s="88">
        <v>35.664819944598335</v>
      </c>
      <c r="DU109" s="88">
        <v>37.087741132545112</v>
      </c>
      <c r="DV109" s="88">
        <v>36.039657020364416</v>
      </c>
      <c r="DW109" s="54">
        <v>458</v>
      </c>
      <c r="DX109" s="54">
        <v>12</v>
      </c>
      <c r="DY109" s="51">
        <v>76</v>
      </c>
      <c r="DZ109" s="53">
        <v>9</v>
      </c>
      <c r="EA109" s="53">
        <v>42</v>
      </c>
      <c r="EB109" s="75">
        <v>20</v>
      </c>
      <c r="EC109" s="75">
        <v>14</v>
      </c>
      <c r="ED109" s="75">
        <v>16</v>
      </c>
      <c r="EE109" s="75">
        <v>17</v>
      </c>
      <c r="EF109" s="75">
        <f t="shared" ref="EF109:EI109" si="59">EF47+EF57+EF63</f>
        <v>2932</v>
      </c>
      <c r="EG109" s="75">
        <f t="shared" si="59"/>
        <v>2553</v>
      </c>
      <c r="EH109" s="75">
        <f t="shared" si="59"/>
        <v>2531</v>
      </c>
      <c r="EI109" s="75">
        <f t="shared" si="59"/>
        <v>2559</v>
      </c>
      <c r="EJ109" s="75">
        <f t="shared" ref="EJ109:EN109" si="60">EJ47+EJ57+EJ63</f>
        <v>465</v>
      </c>
      <c r="EK109" s="75">
        <f t="shared" si="60"/>
        <v>1</v>
      </c>
      <c r="EL109" s="75">
        <f t="shared" si="60"/>
        <v>31</v>
      </c>
      <c r="EM109" s="75">
        <f t="shared" si="60"/>
        <v>0</v>
      </c>
      <c r="EN109" s="75">
        <f t="shared" si="60"/>
        <v>9</v>
      </c>
      <c r="EO109" s="88">
        <v>1292.9684916102574</v>
      </c>
      <c r="EP109" s="88">
        <v>1169.8880976602238</v>
      </c>
      <c r="EQ109" s="88">
        <v>1175.6836477315483</v>
      </c>
      <c r="ER109" s="88">
        <v>1191.325894074706</v>
      </c>
      <c r="ES109" s="88">
        <v>899</v>
      </c>
      <c r="ET109" s="88">
        <v>804.9</v>
      </c>
      <c r="EU109" s="88">
        <v>778.7</v>
      </c>
      <c r="EV109" s="43">
        <v>801.9</v>
      </c>
      <c r="EW109" s="43">
        <v>1174.4847652143749</v>
      </c>
      <c r="EX109" s="43">
        <v>1008.4890877172427</v>
      </c>
      <c r="EY109" s="43">
        <v>993.06247561352734</v>
      </c>
      <c r="EZ109" s="88">
        <v>990.42777994629478</v>
      </c>
      <c r="FA109" s="88">
        <v>679.36089062546785</v>
      </c>
      <c r="FB109" s="88">
        <v>643.4640675362092</v>
      </c>
      <c r="FC109" s="88">
        <v>621.06102997213918</v>
      </c>
      <c r="FD109" s="88">
        <v>659.7538414535228</v>
      </c>
      <c r="FE109" s="51">
        <v>656</v>
      </c>
      <c r="FF109" s="54">
        <v>582</v>
      </c>
      <c r="FG109" s="54">
        <v>496</v>
      </c>
      <c r="FH109" s="54">
        <v>575</v>
      </c>
      <c r="FI109" s="88">
        <v>212.5702</v>
      </c>
      <c r="FJ109" s="88">
        <v>198.9744</v>
      </c>
      <c r="FK109" s="88">
        <v>165.93209999999999</v>
      </c>
      <c r="FL109" s="88">
        <v>190.8751</v>
      </c>
      <c r="FM109" s="54">
        <v>871</v>
      </c>
      <c r="FN109" s="54">
        <v>607</v>
      </c>
      <c r="FO109" s="51">
        <v>544</v>
      </c>
      <c r="FP109" s="54">
        <v>530</v>
      </c>
      <c r="FQ109" s="88">
        <v>253.65690000000001</v>
      </c>
      <c r="FR109" s="88">
        <v>184.51779999999999</v>
      </c>
      <c r="FS109" s="88">
        <v>156.18870000000001</v>
      </c>
      <c r="FT109" s="88">
        <v>157.1927</v>
      </c>
      <c r="FU109" s="46">
        <v>263</v>
      </c>
      <c r="FV109" s="46">
        <v>205</v>
      </c>
      <c r="FW109" s="46">
        <v>174</v>
      </c>
      <c r="FX109" s="46">
        <v>128</v>
      </c>
      <c r="FY109" s="88">
        <v>74.002989999999997</v>
      </c>
      <c r="FZ109" s="43">
        <v>57.273040000000002</v>
      </c>
      <c r="GA109" s="43">
        <v>47.391019999999997</v>
      </c>
      <c r="GB109" s="43">
        <v>34.428879999999999</v>
      </c>
      <c r="GC109" s="59">
        <v>145</v>
      </c>
      <c r="GD109" s="56">
        <v>89</v>
      </c>
      <c r="GE109" s="59">
        <v>113</v>
      </c>
      <c r="GF109" s="59">
        <v>130</v>
      </c>
      <c r="GG109" s="65">
        <v>57.425960000000003</v>
      </c>
      <c r="GH109" s="65">
        <v>34.255740000000003</v>
      </c>
      <c r="GI109" s="91">
        <v>45.25929</v>
      </c>
      <c r="GJ109" s="65">
        <v>53.421509999999998</v>
      </c>
      <c r="GK109" s="59"/>
      <c r="GL109" s="59"/>
      <c r="GM109" s="59"/>
      <c r="GN109" s="56"/>
      <c r="GO109" s="59"/>
      <c r="GP109" s="59"/>
      <c r="GQ109" s="59"/>
      <c r="GR109" s="59"/>
      <c r="GS109" s="56"/>
      <c r="GT109" s="59"/>
      <c r="GU109" s="59"/>
      <c r="GV109" s="59"/>
      <c r="GW109" s="59"/>
      <c r="GX109" s="56"/>
      <c r="GY109" s="56"/>
      <c r="GZ109" s="56"/>
      <c r="HA109" s="56"/>
      <c r="HB109" s="56"/>
      <c r="HC109" s="56"/>
      <c r="HD109" s="57"/>
      <c r="HE109" s="57"/>
      <c r="HF109" s="57"/>
      <c r="HG109" s="57"/>
      <c r="HH109" s="57"/>
      <c r="HI109" s="58"/>
      <c r="HJ109" s="58"/>
      <c r="HK109" s="55"/>
      <c r="HL109" s="56"/>
      <c r="HM109" s="56"/>
      <c r="HN109" s="56"/>
      <c r="HO109" s="56"/>
      <c r="HP109" s="56"/>
      <c r="HQ109" s="56"/>
      <c r="HR109" s="56"/>
      <c r="HS109" s="56"/>
      <c r="HT109" s="56"/>
      <c r="HU109" s="38"/>
    </row>
    <row r="110" spans="1:229" x14ac:dyDescent="0.2">
      <c r="A110" s="76" t="s">
        <v>469</v>
      </c>
      <c r="B110" s="74" t="s">
        <v>502</v>
      </c>
      <c r="C110" s="75">
        <f>C52+C80+C83</f>
        <v>70121</v>
      </c>
      <c r="D110" s="75">
        <f>D52+D80+D83</f>
        <v>70021</v>
      </c>
      <c r="E110" s="75">
        <f>E52+E80+E83</f>
        <v>71936</v>
      </c>
      <c r="F110" s="75">
        <f>F52+F80+F83</f>
        <v>71814</v>
      </c>
      <c r="G110" s="150">
        <v>71328</v>
      </c>
      <c r="H110" s="75">
        <v>69340</v>
      </c>
      <c r="I110" s="75">
        <v>401</v>
      </c>
      <c r="J110" s="75">
        <v>290</v>
      </c>
      <c r="K110" s="75">
        <v>361</v>
      </c>
      <c r="L110" s="75">
        <v>1944</v>
      </c>
      <c r="M110" s="75">
        <f t="shared" ref="M110:O110" si="61">M52+M80+M83</f>
        <v>28433</v>
      </c>
      <c r="N110" s="75">
        <f t="shared" si="61"/>
        <v>28509</v>
      </c>
      <c r="O110" s="75">
        <f t="shared" si="61"/>
        <v>28541</v>
      </c>
      <c r="P110" s="44">
        <v>28582</v>
      </c>
      <c r="Q110" s="44">
        <v>28490</v>
      </c>
      <c r="R110" s="87">
        <v>26.65758806983078</v>
      </c>
      <c r="S110" s="87">
        <v>27.90979298999223</v>
      </c>
      <c r="T110" s="87">
        <v>28.019259061120771</v>
      </c>
      <c r="U110" s="87">
        <v>28.45528455284553</v>
      </c>
      <c r="V110" s="87">
        <v>29.179166760652336</v>
      </c>
      <c r="W110" s="87">
        <v>29.883466535696744</v>
      </c>
      <c r="X110" s="87">
        <v>32.079696568112233</v>
      </c>
      <c r="Y110" s="87">
        <v>32.33025723329321</v>
      </c>
      <c r="Z110" s="87">
        <v>31.944072187974626</v>
      </c>
      <c r="AA110" s="42">
        <v>31.712268513297094</v>
      </c>
      <c r="AB110" s="87">
        <v>56.541054605527528</v>
      </c>
      <c r="AC110" s="87">
        <v>59.989489558104466</v>
      </c>
      <c r="AD110" s="87">
        <v>60.349516294413981</v>
      </c>
      <c r="AE110" s="87">
        <v>60.399356740820153</v>
      </c>
      <c r="AF110" s="87">
        <v>60.891435273949426</v>
      </c>
      <c r="AG110" s="88">
        <v>7.2647115200306693</v>
      </c>
      <c r="AH110" s="88">
        <v>10.689866177135713</v>
      </c>
      <c r="AI110" s="88">
        <v>9.0488282283235471</v>
      </c>
      <c r="AJ110" s="43">
        <v>8.0031842908318964</v>
      </c>
      <c r="AK110" s="43">
        <v>6.8734693877551019</v>
      </c>
      <c r="AL110" s="47">
        <v>1919.6666666666665</v>
      </c>
      <c r="AM110" s="47">
        <v>2416.75</v>
      </c>
      <c r="AN110" s="47">
        <v>1919.6666666666665</v>
      </c>
      <c r="AO110" s="47">
        <v>3261.166666666667</v>
      </c>
      <c r="AP110" s="47">
        <v>3365.6666666666665</v>
      </c>
      <c r="AQ110" s="47">
        <v>31937.731966238891</v>
      </c>
      <c r="AR110" s="47">
        <v>31375.781357692376</v>
      </c>
      <c r="AS110" s="47">
        <v>32337.144885688918</v>
      </c>
      <c r="AT110" s="47">
        <v>33223.792860468566</v>
      </c>
      <c r="AU110" s="47">
        <v>34505.341520861373</v>
      </c>
      <c r="AV110" s="50" t="s">
        <v>158</v>
      </c>
      <c r="AW110" s="50" t="s">
        <v>158</v>
      </c>
      <c r="AX110" s="50" t="s">
        <v>158</v>
      </c>
      <c r="AY110" s="50" t="s">
        <v>158</v>
      </c>
      <c r="AZ110" s="50" t="s">
        <v>158</v>
      </c>
      <c r="BA110" s="83">
        <v>14.046730863769122</v>
      </c>
      <c r="BB110" s="46">
        <v>14.505752456023416</v>
      </c>
      <c r="BC110" s="46">
        <v>15.231208157961639</v>
      </c>
      <c r="BD110" s="46">
        <v>14.854846924339313</v>
      </c>
      <c r="BE110" s="46">
        <v>13.919147906076011</v>
      </c>
      <c r="BF110" s="83">
        <v>17.796089041938259</v>
      </c>
      <c r="BG110" s="46">
        <v>18.998815165876778</v>
      </c>
      <c r="BH110" s="46">
        <v>21.906845529391443</v>
      </c>
      <c r="BI110" s="46">
        <v>21.122323980633496</v>
      </c>
      <c r="BJ110" s="46">
        <v>19.352539352539353</v>
      </c>
      <c r="BK110" s="42">
        <v>11763</v>
      </c>
      <c r="BL110" s="42">
        <v>11697</v>
      </c>
      <c r="BM110" s="42">
        <v>11562</v>
      </c>
      <c r="BN110" s="42">
        <v>11498</v>
      </c>
      <c r="BO110" s="43">
        <v>52.002040295842896</v>
      </c>
      <c r="BP110" s="43">
        <v>50.252201419167307</v>
      </c>
      <c r="BQ110" s="88">
        <v>50.060543158623076</v>
      </c>
      <c r="BR110" s="88">
        <v>49.652113411028004</v>
      </c>
      <c r="BS110" s="89">
        <v>2.1083057043271274</v>
      </c>
      <c r="BT110" s="89">
        <v>2.197144566982987</v>
      </c>
      <c r="BU110" s="87">
        <v>2.3092890503373118</v>
      </c>
      <c r="BV110" s="87">
        <v>2.061228039659071</v>
      </c>
      <c r="BW110" s="43">
        <v>16.033324832100654</v>
      </c>
      <c r="BX110" s="43">
        <v>16.277678037103531</v>
      </c>
      <c r="BY110" s="43">
        <v>16.381248918872167</v>
      </c>
      <c r="BZ110" s="43">
        <v>16.611584623412767</v>
      </c>
      <c r="CA110" s="42">
        <v>77.435897435897431</v>
      </c>
      <c r="CB110" s="42">
        <v>77.479147358665429</v>
      </c>
      <c r="CC110" s="42">
        <v>79.944289693593319</v>
      </c>
      <c r="CD110" s="44">
        <v>82.659574468085111</v>
      </c>
      <c r="CE110" s="43">
        <v>3.5897435897435899</v>
      </c>
      <c r="CF110" s="43">
        <v>5.3753475440222429</v>
      </c>
      <c r="CG110" s="43">
        <v>3.9925719591457751</v>
      </c>
      <c r="CH110" s="44">
        <v>3.8297872340425534</v>
      </c>
      <c r="CI110" s="42">
        <v>4183</v>
      </c>
      <c r="CJ110" s="49">
        <v>4187</v>
      </c>
      <c r="CK110" s="54">
        <v>4678</v>
      </c>
      <c r="CL110" s="54">
        <v>4562</v>
      </c>
      <c r="CM110" s="88">
        <v>12.5</v>
      </c>
      <c r="CN110" s="88">
        <v>12.1</v>
      </c>
      <c r="CO110" s="88">
        <v>13.2</v>
      </c>
      <c r="CP110" s="88">
        <v>12.8</v>
      </c>
      <c r="CQ110" s="53">
        <v>159</v>
      </c>
      <c r="CR110" s="53">
        <v>179</v>
      </c>
      <c r="CS110" s="53">
        <v>230</v>
      </c>
      <c r="CT110" s="53">
        <v>191</v>
      </c>
      <c r="CU110" s="88">
        <v>3.9</v>
      </c>
      <c r="CV110" s="88">
        <v>4.4000000000000004</v>
      </c>
      <c r="CW110" s="88">
        <v>5.0999999999999996</v>
      </c>
      <c r="CX110" s="88">
        <v>4.3</v>
      </c>
      <c r="CY110" s="51">
        <v>255</v>
      </c>
      <c r="CZ110" s="53">
        <v>297</v>
      </c>
      <c r="DA110" s="53">
        <v>373</v>
      </c>
      <c r="DB110" s="53">
        <v>357</v>
      </c>
      <c r="DC110" s="88">
        <v>6.5</v>
      </c>
      <c r="DD110" s="88">
        <v>7.6</v>
      </c>
      <c r="DE110" s="88">
        <v>8.6999999999999993</v>
      </c>
      <c r="DF110" s="88">
        <v>8.5</v>
      </c>
      <c r="DG110" s="88">
        <v>83.9</v>
      </c>
      <c r="DH110" s="88">
        <v>83.2</v>
      </c>
      <c r="DI110" s="88">
        <v>84.4</v>
      </c>
      <c r="DJ110" s="88">
        <v>83.1</v>
      </c>
      <c r="DK110" s="88">
        <v>22.6</v>
      </c>
      <c r="DL110" s="88">
        <v>21.7</v>
      </c>
      <c r="DM110" s="88">
        <v>19.899999999999999</v>
      </c>
      <c r="DN110" s="88">
        <v>18.482576091751213</v>
      </c>
      <c r="DO110" s="88">
        <v>24.6</v>
      </c>
      <c r="DP110" s="88">
        <v>28.9</v>
      </c>
      <c r="DQ110" s="88">
        <v>31.8</v>
      </c>
      <c r="DR110" s="88">
        <v>31.9</v>
      </c>
      <c r="DS110" s="88">
        <v>37.624584717607974</v>
      </c>
      <c r="DT110" s="88">
        <v>32.146461006198642</v>
      </c>
      <c r="DU110" s="88">
        <v>33.43301894026532</v>
      </c>
      <c r="DV110" s="88">
        <v>26.550203234454727</v>
      </c>
      <c r="DW110" s="54">
        <v>842</v>
      </c>
      <c r="DX110" s="54">
        <v>10</v>
      </c>
      <c r="DY110" s="51">
        <v>6</v>
      </c>
      <c r="DZ110" s="53">
        <v>5</v>
      </c>
      <c r="EA110" s="53">
        <v>42</v>
      </c>
      <c r="EB110" s="75">
        <v>31</v>
      </c>
      <c r="EC110" s="75">
        <v>22</v>
      </c>
      <c r="ED110" s="75">
        <v>29</v>
      </c>
      <c r="EE110" s="75">
        <v>27</v>
      </c>
      <c r="EF110" s="75">
        <f t="shared" ref="EF110:EI110" si="62">EF52+EF80+EF83</f>
        <v>3521</v>
      </c>
      <c r="EG110" s="75">
        <f t="shared" si="62"/>
        <v>3573</v>
      </c>
      <c r="EH110" s="75">
        <f t="shared" si="62"/>
        <v>3600</v>
      </c>
      <c r="EI110" s="75">
        <f t="shared" si="62"/>
        <v>3427</v>
      </c>
      <c r="EJ110" s="75">
        <f>EJ52+EJ80+EJ83</f>
        <v>763</v>
      </c>
      <c r="EK110" s="75">
        <f t="shared" ref="EK110:EN110" si="63">EK52+EK80+EK83</f>
        <v>0</v>
      </c>
      <c r="EL110" s="75">
        <f t="shared" si="63"/>
        <v>2</v>
      </c>
      <c r="EM110" s="75">
        <f t="shared" si="63"/>
        <v>1</v>
      </c>
      <c r="EN110" s="75">
        <f t="shared" si="63"/>
        <v>1</v>
      </c>
      <c r="EO110" s="88">
        <v>1048.0289554833255</v>
      </c>
      <c r="EP110" s="88">
        <v>1032.1220174475707</v>
      </c>
      <c r="EQ110" s="88">
        <v>1018.7795021564166</v>
      </c>
      <c r="ER110" s="88">
        <v>936.62378651036306</v>
      </c>
      <c r="ES110" s="88">
        <v>816.1</v>
      </c>
      <c r="ET110" s="88">
        <v>791.4</v>
      </c>
      <c r="EU110" s="88">
        <v>746.4</v>
      </c>
      <c r="EV110" s="43">
        <v>682</v>
      </c>
      <c r="EW110" s="43">
        <v>997.39112178812388</v>
      </c>
      <c r="EX110" s="43">
        <v>966.83378239130593</v>
      </c>
      <c r="EY110" s="43">
        <v>932.87911562765316</v>
      </c>
      <c r="EZ110" s="88">
        <v>822.55682249573795</v>
      </c>
      <c r="FA110" s="88">
        <v>665.98411761309444</v>
      </c>
      <c r="FB110" s="88">
        <v>648.30481989039413</v>
      </c>
      <c r="FC110" s="88">
        <v>593.54133727865849</v>
      </c>
      <c r="FD110" s="88">
        <v>563.07710704238821</v>
      </c>
      <c r="FE110" s="51">
        <v>784</v>
      </c>
      <c r="FF110" s="54">
        <v>809</v>
      </c>
      <c r="FG110" s="54">
        <v>831</v>
      </c>
      <c r="FH110" s="54">
        <v>830</v>
      </c>
      <c r="FI110" s="88">
        <v>187.9933</v>
      </c>
      <c r="FJ110" s="88">
        <v>185.13200000000001</v>
      </c>
      <c r="FK110" s="88">
        <v>181.62209999999999</v>
      </c>
      <c r="FL110" s="88">
        <v>170.60509999999999</v>
      </c>
      <c r="FM110" s="54">
        <v>1012</v>
      </c>
      <c r="FN110" s="54">
        <v>907</v>
      </c>
      <c r="FO110" s="51">
        <v>887</v>
      </c>
      <c r="FP110" s="54">
        <v>721</v>
      </c>
      <c r="FQ110" s="88">
        <v>230.2587</v>
      </c>
      <c r="FR110" s="88">
        <v>196.00120000000001</v>
      </c>
      <c r="FS110" s="88">
        <v>177.32929999999999</v>
      </c>
      <c r="FT110" s="88">
        <v>137.36600000000001</v>
      </c>
      <c r="FU110" s="46">
        <v>310</v>
      </c>
      <c r="FV110" s="46">
        <v>248</v>
      </c>
      <c r="FW110" s="46">
        <v>242</v>
      </c>
      <c r="FX110" s="46">
        <v>170</v>
      </c>
      <c r="FY110" s="88">
        <v>67.455719999999999</v>
      </c>
      <c r="FZ110" s="43">
        <v>51.62961</v>
      </c>
      <c r="GA110" s="43">
        <v>47.1402</v>
      </c>
      <c r="GB110" s="43">
        <v>31.320640000000001</v>
      </c>
      <c r="GC110" s="59">
        <v>158</v>
      </c>
      <c r="GD110" s="56">
        <v>163</v>
      </c>
      <c r="GE110" s="59">
        <v>173</v>
      </c>
      <c r="GF110" s="59">
        <v>175</v>
      </c>
      <c r="GG110" s="65">
        <v>43.165500000000002</v>
      </c>
      <c r="GH110" s="65">
        <v>43.773020000000002</v>
      </c>
      <c r="GI110" s="91">
        <v>42.526600000000002</v>
      </c>
      <c r="GJ110" s="65">
        <v>43.344639999999998</v>
      </c>
      <c r="GK110" s="59"/>
      <c r="GL110" s="59"/>
      <c r="GM110" s="59"/>
      <c r="GN110" s="56"/>
      <c r="GO110" s="59"/>
      <c r="GP110" s="59"/>
      <c r="GQ110" s="59"/>
      <c r="GR110" s="59"/>
      <c r="GS110" s="56"/>
      <c r="GT110" s="59"/>
      <c r="GU110" s="59"/>
      <c r="GV110" s="59"/>
      <c r="GW110" s="59"/>
      <c r="GX110" s="56"/>
      <c r="GY110" s="56"/>
      <c r="GZ110" s="56"/>
      <c r="HA110" s="56"/>
      <c r="HB110" s="56"/>
      <c r="HC110" s="56"/>
      <c r="HD110" s="57"/>
      <c r="HE110" s="57"/>
      <c r="HF110" s="57"/>
      <c r="HG110" s="57"/>
      <c r="HH110" s="57"/>
      <c r="HI110" s="58"/>
      <c r="HJ110" s="58"/>
      <c r="HK110" s="55"/>
      <c r="HL110" s="56"/>
      <c r="HM110" s="56"/>
      <c r="HN110" s="56"/>
      <c r="HO110" s="56"/>
      <c r="HP110" s="56"/>
      <c r="HQ110" s="56"/>
      <c r="HR110" s="56"/>
      <c r="HS110" s="56"/>
      <c r="HT110" s="56"/>
      <c r="HU110" s="38"/>
    </row>
    <row r="111" spans="1:229" x14ac:dyDescent="0.2">
      <c r="B111" s="74"/>
      <c r="C111" s="78"/>
      <c r="D111" s="78"/>
      <c r="E111" s="78"/>
      <c r="F111" s="78"/>
      <c r="G111" s="78"/>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c r="AQ111" s="60"/>
      <c r="AR111" s="60"/>
      <c r="AS111" s="60"/>
      <c r="AT111" s="60"/>
      <c r="AU111" s="60"/>
      <c r="AV111" s="60"/>
      <c r="AW111" s="60"/>
      <c r="AX111" s="60"/>
      <c r="AY111" s="60"/>
      <c r="AZ111" s="60"/>
      <c r="BA111" s="60"/>
      <c r="BB111" s="60"/>
      <c r="BC111" s="60"/>
      <c r="BD111" s="60"/>
      <c r="BE111" s="60"/>
      <c r="BF111" s="60"/>
      <c r="BG111" s="60"/>
      <c r="BH111" s="60"/>
      <c r="BI111" s="60"/>
      <c r="BJ111" s="60"/>
      <c r="BK111" s="60"/>
      <c r="BL111" s="60"/>
      <c r="BM111" s="60"/>
      <c r="BN111" s="60"/>
      <c r="BO111" s="60"/>
      <c r="BP111" s="60"/>
      <c r="BQ111" s="60"/>
      <c r="BR111" s="60"/>
      <c r="BS111" s="60"/>
      <c r="BT111" s="60"/>
      <c r="BU111" s="60"/>
      <c r="BV111" s="60"/>
      <c r="BW111" s="60"/>
      <c r="BX111" s="60"/>
      <c r="BY111" s="60"/>
      <c r="BZ111" s="60"/>
      <c r="CA111" s="60"/>
      <c r="CB111" s="60"/>
      <c r="CC111" s="60"/>
      <c r="CD111" s="60"/>
      <c r="CE111" s="60"/>
      <c r="CF111" s="60"/>
      <c r="CG111" s="60"/>
      <c r="CH111" s="60"/>
      <c r="CI111" s="60"/>
      <c r="CJ111" s="60"/>
      <c r="CK111" s="60"/>
      <c r="CL111" s="60"/>
      <c r="CM111" s="60"/>
      <c r="CN111" s="60"/>
      <c r="CO111" s="60"/>
      <c r="CP111" s="60" t="s">
        <v>185</v>
      </c>
      <c r="CQ111" s="60"/>
      <c r="CR111" s="60"/>
      <c r="CS111" s="60"/>
      <c r="CT111" s="60"/>
      <c r="CU111" s="60"/>
      <c r="CV111" s="60"/>
      <c r="CW111" s="60"/>
      <c r="CX111" s="60"/>
      <c r="CY111" s="60"/>
      <c r="CZ111" s="60"/>
      <c r="DA111" s="60"/>
      <c r="DB111" s="60"/>
      <c r="DC111" s="60"/>
      <c r="DD111" s="60"/>
      <c r="DE111" s="60"/>
      <c r="DF111" s="60"/>
      <c r="DG111" s="60"/>
      <c r="DH111" s="60"/>
      <c r="DI111" s="60"/>
      <c r="DJ111" s="60"/>
      <c r="DK111" s="60"/>
      <c r="DL111" s="60"/>
      <c r="DM111" s="60"/>
      <c r="DN111" s="60"/>
      <c r="DO111" s="60"/>
      <c r="DP111" s="60"/>
      <c r="DQ111" s="60"/>
      <c r="DR111" s="60"/>
      <c r="DS111" s="60"/>
      <c r="DT111" s="60"/>
      <c r="DU111" s="60"/>
      <c r="DV111" s="60"/>
      <c r="DW111" s="60"/>
      <c r="DX111" s="60"/>
      <c r="DY111" s="60"/>
      <c r="DZ111" s="60"/>
      <c r="EA111" s="60"/>
      <c r="EB111" s="60"/>
      <c r="EC111" s="60"/>
      <c r="ED111" s="60"/>
      <c r="EE111" s="60"/>
      <c r="EF111" s="60"/>
      <c r="EG111" s="60"/>
      <c r="EH111" s="60"/>
      <c r="EI111" s="60"/>
      <c r="EJ111" s="75"/>
      <c r="EK111" s="60"/>
      <c r="EL111" s="60"/>
      <c r="EM111" s="60"/>
      <c r="EN111" s="60"/>
      <c r="EO111" s="60"/>
      <c r="EP111" s="60"/>
      <c r="EQ111" s="60"/>
      <c r="ER111" s="60"/>
      <c r="ES111" s="60"/>
      <c r="ET111" s="60"/>
      <c r="EU111" s="60"/>
      <c r="EV111" s="60"/>
      <c r="EW111" s="60"/>
      <c r="EX111" s="60"/>
      <c r="EY111" s="60"/>
      <c r="EZ111" s="60"/>
      <c r="FA111" s="60"/>
      <c r="FB111" s="60"/>
      <c r="FC111" s="60"/>
      <c r="FD111" s="60"/>
      <c r="FE111" s="60"/>
      <c r="FF111" s="60"/>
      <c r="FG111" s="60"/>
      <c r="FH111" s="60"/>
      <c r="FI111" s="60"/>
      <c r="FJ111" s="60"/>
      <c r="FK111" s="60"/>
      <c r="FL111" s="60"/>
      <c r="FM111" s="60"/>
      <c r="FN111" s="60"/>
      <c r="FO111" s="60"/>
      <c r="FP111" s="60"/>
      <c r="FQ111" s="60"/>
      <c r="FR111" s="60"/>
      <c r="FS111" s="60"/>
      <c r="FT111" s="60"/>
      <c r="FU111" s="60"/>
      <c r="FV111" s="60"/>
      <c r="FW111" s="60"/>
      <c r="FX111" s="60"/>
      <c r="FY111" s="60"/>
      <c r="FZ111" s="60"/>
      <c r="GA111" s="60"/>
      <c r="GB111" s="60"/>
      <c r="GC111" s="61"/>
      <c r="GD111" s="61"/>
      <c r="GE111" s="61"/>
      <c r="GF111" s="61"/>
      <c r="GG111" s="61"/>
      <c r="GH111" s="61"/>
      <c r="GI111" s="61"/>
      <c r="GJ111" s="61"/>
      <c r="GK111" s="61"/>
      <c r="GL111" s="61"/>
      <c r="GM111" s="61"/>
      <c r="GN111" s="61"/>
      <c r="GO111" s="61"/>
      <c r="GP111" s="61"/>
      <c r="GQ111" s="61"/>
      <c r="GR111" s="61"/>
      <c r="GS111" s="61"/>
      <c r="GT111" s="61"/>
      <c r="GU111" s="61"/>
      <c r="GV111" s="61"/>
      <c r="GW111" s="61"/>
      <c r="GX111" s="61"/>
      <c r="GY111" s="61"/>
      <c r="GZ111" s="61"/>
      <c r="HA111" s="61"/>
      <c r="HB111" s="61"/>
      <c r="HC111" s="61"/>
      <c r="HD111" s="61"/>
      <c r="HE111" s="61"/>
      <c r="HF111" s="61"/>
      <c r="HG111" s="61"/>
      <c r="HH111" s="61"/>
      <c r="HI111" s="61"/>
      <c r="HJ111" s="61"/>
      <c r="HK111" s="61"/>
      <c r="HL111" s="61"/>
      <c r="HM111" s="61"/>
      <c r="HN111" s="61"/>
      <c r="HO111" s="61"/>
      <c r="HP111" s="61"/>
      <c r="HQ111" s="61"/>
      <c r="HR111" s="61"/>
      <c r="HS111" s="61"/>
      <c r="HT111" s="61"/>
      <c r="HU111" s="38"/>
    </row>
    <row r="112" spans="1:229" x14ac:dyDescent="0.2">
      <c r="C112" s="78"/>
      <c r="D112" s="78"/>
      <c r="E112" s="78"/>
      <c r="F112" s="78"/>
      <c r="G112" s="78"/>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60"/>
      <c r="BN112" s="60"/>
      <c r="BO112" s="60"/>
      <c r="BP112" s="60"/>
      <c r="BQ112" s="60"/>
      <c r="BR112" s="60"/>
      <c r="BS112" s="60"/>
      <c r="BT112" s="60"/>
      <c r="BU112" s="60"/>
      <c r="BV112" s="60"/>
      <c r="BW112" s="60"/>
      <c r="BX112" s="60"/>
      <c r="BY112" s="60"/>
      <c r="BZ112" s="60"/>
      <c r="CA112" s="60"/>
      <c r="CB112" s="60"/>
      <c r="CC112" s="60"/>
      <c r="CD112" s="60"/>
      <c r="CE112" s="60"/>
      <c r="CF112" s="60"/>
      <c r="CG112" s="60"/>
      <c r="CH112" s="60"/>
      <c r="CI112" s="60"/>
      <c r="CJ112" s="60"/>
      <c r="CK112" s="60"/>
      <c r="CL112" s="60"/>
      <c r="CM112" s="60"/>
      <c r="CN112" s="60"/>
      <c r="CO112" s="60"/>
      <c r="CP112" s="60" t="s">
        <v>185</v>
      </c>
      <c r="CQ112" s="60"/>
      <c r="CR112" s="60"/>
      <c r="CS112" s="60"/>
      <c r="CT112" s="60"/>
      <c r="CU112" s="60"/>
      <c r="CV112" s="60"/>
      <c r="CW112" s="60"/>
      <c r="CX112" s="60"/>
      <c r="CY112" s="60"/>
      <c r="CZ112" s="60"/>
      <c r="DA112" s="60"/>
      <c r="DB112" s="60"/>
      <c r="DC112" s="60"/>
      <c r="DD112" s="60"/>
      <c r="DE112" s="60"/>
      <c r="DF112" s="60"/>
      <c r="DG112" s="60"/>
      <c r="DH112" s="60"/>
      <c r="DI112" s="60"/>
      <c r="DJ112" s="60"/>
      <c r="DK112" s="60"/>
      <c r="DL112" s="60"/>
      <c r="DM112" s="60"/>
      <c r="DN112" s="60"/>
      <c r="DO112" s="60"/>
      <c r="DP112" s="60"/>
      <c r="DQ112" s="60"/>
      <c r="DR112" s="60"/>
      <c r="DS112" s="60"/>
      <c r="DT112" s="60"/>
      <c r="DU112" s="60"/>
      <c r="DV112" s="60"/>
      <c r="DW112" s="60"/>
      <c r="DX112" s="60"/>
      <c r="DY112" s="60"/>
      <c r="DZ112" s="60"/>
      <c r="EA112" s="60"/>
      <c r="EB112" s="60"/>
      <c r="EC112" s="60"/>
      <c r="ED112" s="60"/>
      <c r="EE112" s="60"/>
      <c r="EF112" s="60"/>
      <c r="EG112" s="60"/>
      <c r="EH112" s="60"/>
      <c r="EI112" s="60"/>
      <c r="EJ112" s="60"/>
      <c r="EK112" s="60"/>
      <c r="EL112" s="60"/>
      <c r="EM112" s="60"/>
      <c r="EN112" s="60"/>
      <c r="EO112" s="60"/>
      <c r="EP112" s="60"/>
      <c r="EQ112" s="60"/>
      <c r="ER112" s="60"/>
      <c r="ES112" s="60"/>
      <c r="ET112" s="60"/>
      <c r="EU112" s="60"/>
      <c r="EV112" s="60"/>
      <c r="EW112" s="60"/>
      <c r="EX112" s="60"/>
      <c r="EY112" s="60"/>
      <c r="EZ112" s="60"/>
      <c r="FA112" s="60"/>
      <c r="FB112" s="60"/>
      <c r="FC112" s="60"/>
      <c r="FD112" s="60"/>
      <c r="FE112" s="60"/>
      <c r="FF112" s="60"/>
      <c r="FG112" s="60"/>
      <c r="FH112" s="60"/>
      <c r="FI112" s="60"/>
      <c r="FJ112" s="60"/>
      <c r="FK112" s="60"/>
      <c r="FL112" s="60"/>
      <c r="FM112" s="60"/>
      <c r="FN112" s="60"/>
      <c r="FO112" s="60"/>
      <c r="FP112" s="60"/>
      <c r="FQ112" s="60"/>
      <c r="FR112" s="60"/>
      <c r="FS112" s="60"/>
      <c r="FT112" s="60"/>
      <c r="FU112" s="60"/>
      <c r="FV112" s="60"/>
      <c r="FW112" s="60"/>
      <c r="FX112" s="60"/>
      <c r="FY112" s="60"/>
      <c r="FZ112" s="60"/>
      <c r="GA112" s="60"/>
      <c r="GB112" s="60"/>
      <c r="GC112" s="61"/>
      <c r="GD112" s="61"/>
      <c r="GE112" s="61"/>
      <c r="GF112" s="61"/>
      <c r="GG112" s="61"/>
      <c r="GH112" s="61"/>
      <c r="GI112" s="61"/>
      <c r="GJ112" s="61"/>
      <c r="GK112" s="61"/>
      <c r="GL112" s="61"/>
      <c r="GM112" s="61"/>
      <c r="GN112" s="61"/>
      <c r="GO112" s="61"/>
      <c r="GP112" s="61"/>
      <c r="GQ112" s="61"/>
      <c r="GR112" s="61"/>
      <c r="GS112" s="61"/>
      <c r="GT112" s="61"/>
      <c r="GU112" s="61"/>
      <c r="GV112" s="61"/>
      <c r="GW112" s="61"/>
      <c r="GX112" s="61"/>
      <c r="GY112" s="61"/>
      <c r="GZ112" s="61"/>
      <c r="HA112" s="61"/>
      <c r="HB112" s="61"/>
      <c r="HC112" s="61"/>
      <c r="HD112" s="61"/>
      <c r="HE112" s="61"/>
      <c r="HF112" s="61"/>
      <c r="HG112" s="61"/>
      <c r="HH112" s="61"/>
      <c r="HI112" s="61"/>
      <c r="HJ112" s="61"/>
      <c r="HK112" s="61"/>
      <c r="HL112" s="61"/>
      <c r="HM112" s="61"/>
      <c r="HN112" s="61"/>
      <c r="HO112" s="61"/>
      <c r="HP112" s="61"/>
      <c r="HQ112" s="61"/>
      <c r="HR112" s="61"/>
      <c r="HS112" s="61"/>
      <c r="HT112" s="61"/>
    </row>
    <row r="113" spans="1:230" x14ac:dyDescent="0.2">
      <c r="HI113" s="62"/>
      <c r="HJ113" s="62"/>
      <c r="HK113" s="62"/>
      <c r="HL113" s="62"/>
    </row>
    <row r="114" spans="1:230" x14ac:dyDescent="0.2">
      <c r="C114" s="79">
        <v>48804</v>
      </c>
      <c r="D114" s="79">
        <v>48388</v>
      </c>
      <c r="E114" s="79">
        <v>48465</v>
      </c>
      <c r="F114" s="79">
        <v>48566</v>
      </c>
      <c r="G114" s="80">
        <v>50074</v>
      </c>
      <c r="H114" s="63">
        <v>20228</v>
      </c>
      <c r="I114" s="63">
        <v>20252</v>
      </c>
      <c r="J114" s="63">
        <v>20248</v>
      </c>
      <c r="K114" s="63">
        <v>20327</v>
      </c>
      <c r="L114" s="48">
        <v>20572</v>
      </c>
      <c r="M114" s="42">
        <v>29.114664586583462</v>
      </c>
      <c r="N114" s="42">
        <v>29.245807316355553</v>
      </c>
      <c r="O114" s="42">
        <v>29.442702208284334</v>
      </c>
      <c r="P114" s="42">
        <v>29.320997852304643</v>
      </c>
      <c r="Q114" s="43">
        <v>28.076825073257741</v>
      </c>
      <c r="R114" s="46">
        <v>29.504680187207487</v>
      </c>
      <c r="S114" s="46">
        <v>28.941776455588609</v>
      </c>
      <c r="T114" s="46">
        <v>28.877564353848165</v>
      </c>
      <c r="U114" s="46">
        <v>31.148190979679498</v>
      </c>
      <c r="V114" s="42">
        <v>31.414829914638808</v>
      </c>
      <c r="W114" s="46">
        <v>58.619344773790949</v>
      </c>
      <c r="X114" s="46">
        <v>58.187583771944162</v>
      </c>
      <c r="Y114" s="46">
        <v>58.320266562132495</v>
      </c>
      <c r="Z114" s="46">
        <v>60.469188831984141</v>
      </c>
      <c r="AA114" s="42">
        <v>59.491654987896545</v>
      </c>
      <c r="AB114" s="46">
        <v>3.478321483340304</v>
      </c>
      <c r="AC114" s="46">
        <v>4.004347978540622</v>
      </c>
      <c r="AD114" s="46">
        <v>4.5796521258972946</v>
      </c>
      <c r="AE114" s="46">
        <v>6.1145720476706389</v>
      </c>
      <c r="AF114" s="42">
        <v>5.5395268320830926</v>
      </c>
      <c r="AG114" s="63">
        <v>885.33333333333326</v>
      </c>
      <c r="AH114" s="63">
        <v>920.91666666666663</v>
      </c>
      <c r="AI114" s="63">
        <v>969.75</v>
      </c>
      <c r="AJ114" s="63">
        <v>1244.5</v>
      </c>
      <c r="AK114" s="46">
        <v>1484.6666666666665</v>
      </c>
      <c r="AL114" s="63">
        <v>47166</v>
      </c>
      <c r="AM114" s="63">
        <v>385</v>
      </c>
      <c r="AN114" s="63">
        <v>298</v>
      </c>
      <c r="AO114" s="63">
        <v>591</v>
      </c>
      <c r="AP114" s="63">
        <v>0</v>
      </c>
      <c r="AQ114" s="63">
        <v>1529</v>
      </c>
      <c r="AR114" s="63">
        <v>46547</v>
      </c>
      <c r="AS114" s="63">
        <v>676</v>
      </c>
      <c r="AT114" s="63">
        <v>234</v>
      </c>
      <c r="AU114" s="63">
        <v>849</v>
      </c>
      <c r="AV114" s="63">
        <v>698</v>
      </c>
      <c r="AW114" s="63">
        <v>2210</v>
      </c>
      <c r="AX114" s="64">
        <v>32872.221537450183</v>
      </c>
      <c r="AY114" s="64">
        <v>34029.727005287088</v>
      </c>
      <c r="AZ114" s="64">
        <v>36244.283324037926</v>
      </c>
      <c r="BA114" s="64">
        <v>39785.552629413214</v>
      </c>
      <c r="BB114" s="64">
        <v>39214.018037310052</v>
      </c>
      <c r="BC114" s="40" t="s">
        <v>158</v>
      </c>
      <c r="BD114" s="40" t="s">
        <v>158</v>
      </c>
      <c r="BE114" s="40" t="s">
        <v>158</v>
      </c>
      <c r="BF114" s="40" t="s">
        <v>158</v>
      </c>
      <c r="BG114" s="64" t="s">
        <v>158</v>
      </c>
      <c r="BH114" s="42">
        <v>9.2730765342230317</v>
      </c>
      <c r="BI114" s="42">
        <v>9.6221621178591921</v>
      </c>
      <c r="BJ114" s="42">
        <v>10.593535587335703</v>
      </c>
      <c r="BK114" s="42">
        <v>9.8008872382131429</v>
      </c>
      <c r="BL114" s="42">
        <v>10.49499649960878</v>
      </c>
      <c r="BM114" s="42">
        <v>11.156986879530232</v>
      </c>
      <c r="BN114" s="42">
        <v>11.666962857650613</v>
      </c>
      <c r="BO114" s="42">
        <v>12.255125284738041</v>
      </c>
      <c r="BP114" s="42">
        <v>11.9919443427316</v>
      </c>
      <c r="BQ114" s="42">
        <v>13.400802652242191</v>
      </c>
      <c r="BR114" s="63">
        <v>8068</v>
      </c>
      <c r="BS114" s="63">
        <v>7918</v>
      </c>
      <c r="BT114" s="63">
        <v>7893</v>
      </c>
      <c r="BU114" s="48">
        <v>7878</v>
      </c>
      <c r="BV114" s="42">
        <v>35.138820029747151</v>
      </c>
      <c r="BW114" s="42">
        <v>35.94342005556959</v>
      </c>
      <c r="BX114" s="42">
        <v>38.743190168503737</v>
      </c>
      <c r="BY114" s="42">
        <v>39.832444782939831</v>
      </c>
      <c r="BZ114" s="42">
        <v>6.3460585027268221</v>
      </c>
      <c r="CA114" s="42">
        <v>5.9105834806769391</v>
      </c>
      <c r="CB114" s="42">
        <v>5.9166349930318001</v>
      </c>
      <c r="CC114" s="42">
        <v>6.9306930693069306</v>
      </c>
      <c r="CD114" s="42">
        <v>14.340604858701042</v>
      </c>
      <c r="CE114" s="42">
        <v>15.382672392018186</v>
      </c>
      <c r="CF114" s="42">
        <v>16.43228176865577</v>
      </c>
      <c r="CG114" s="42">
        <v>17.022086824067021</v>
      </c>
      <c r="CH114" s="42">
        <v>86.334610472541513</v>
      </c>
      <c r="CI114" s="46">
        <v>86.490250696378837</v>
      </c>
      <c r="CJ114" s="42">
        <v>86.221009549795355</v>
      </c>
      <c r="CK114" s="42" t="s">
        <v>158</v>
      </c>
      <c r="CL114" s="63">
        <v>683</v>
      </c>
      <c r="CM114" s="63">
        <v>676</v>
      </c>
      <c r="CN114" s="63">
        <v>648</v>
      </c>
      <c r="CO114" s="63">
        <v>676</v>
      </c>
      <c r="CP114" s="48">
        <v>619</v>
      </c>
      <c r="CQ114" s="42">
        <v>13.994754528317351</v>
      </c>
      <c r="CR114" s="42">
        <v>13.970405885756799</v>
      </c>
      <c r="CS114" s="42">
        <v>13.370473537604457</v>
      </c>
      <c r="CT114" s="42">
        <v>13.919202734423259</v>
      </c>
      <c r="CU114" s="42">
        <v>12.361704677077924</v>
      </c>
      <c r="CV114" s="42">
        <v>3.7</v>
      </c>
      <c r="CW114" s="42">
        <v>5.5</v>
      </c>
      <c r="CX114" s="42">
        <v>3.9</v>
      </c>
      <c r="CY114" s="42">
        <v>4.4000000000000004</v>
      </c>
      <c r="CZ114" s="42">
        <v>6</v>
      </c>
      <c r="DA114" s="42">
        <v>5.786618444846293</v>
      </c>
      <c r="DB114" s="42">
        <v>9.3862815884476536</v>
      </c>
      <c r="DC114" s="42">
        <v>10.256410256410257</v>
      </c>
      <c r="DD114" s="42">
        <v>10.963455149501661</v>
      </c>
      <c r="DE114" s="42">
        <v>9.23</v>
      </c>
      <c r="DF114" s="42">
        <v>84.337349397590359</v>
      </c>
      <c r="DG114" s="42">
        <v>82.537313432835816</v>
      </c>
      <c r="DH114" s="42">
        <v>85.44</v>
      </c>
      <c r="DI114" s="42">
        <v>81.969696969696969</v>
      </c>
      <c r="DJ114" s="42">
        <v>82.89</v>
      </c>
      <c r="DK114" s="42">
        <v>30.893118594436309</v>
      </c>
      <c r="DL114" s="42">
        <v>32.840236686390533</v>
      </c>
      <c r="DM114" s="42">
        <v>32.561728395061728</v>
      </c>
      <c r="DN114" s="42">
        <v>31.360946745562131</v>
      </c>
      <c r="DO114" s="42">
        <v>29.821717990275527</v>
      </c>
      <c r="DP114" s="42">
        <v>30.893118594436309</v>
      </c>
      <c r="DQ114" s="42">
        <v>32.840236686390533</v>
      </c>
      <c r="DR114" s="42">
        <v>32.561728395061728</v>
      </c>
      <c r="DS114" s="42">
        <v>31.360946745562131</v>
      </c>
      <c r="DT114" s="42">
        <v>31.5</v>
      </c>
      <c r="DU114" s="63">
        <v>2</v>
      </c>
      <c r="DV114" s="63">
        <v>5</v>
      </c>
      <c r="DW114" s="63">
        <v>4</v>
      </c>
      <c r="DX114" s="63">
        <v>3</v>
      </c>
      <c r="DY114" s="63">
        <v>4</v>
      </c>
      <c r="DZ114" s="42">
        <v>89.233038348082601</v>
      </c>
      <c r="EA114" s="42">
        <v>2.0648967551622417</v>
      </c>
      <c r="EB114" s="42">
        <v>0.88495575221238942</v>
      </c>
      <c r="EC114" s="42">
        <v>1.4749262536873156</v>
      </c>
      <c r="ED114" s="42">
        <v>6.2314540059347179</v>
      </c>
      <c r="EE114" s="42">
        <v>83.844911147011302</v>
      </c>
      <c r="EF114" s="42">
        <v>3.0694668820678515</v>
      </c>
      <c r="EG114" s="42">
        <v>0.80775444264943452</v>
      </c>
      <c r="EH114" s="42">
        <v>3.7156704361873989</v>
      </c>
      <c r="EI114" s="42">
        <v>10.696920583468396</v>
      </c>
      <c r="EJ114" s="42">
        <v>25.641025641025642</v>
      </c>
      <c r="EK114" s="42">
        <v>23.4375</v>
      </c>
      <c r="EL114" s="63">
        <v>505</v>
      </c>
      <c r="EM114" s="63">
        <v>540</v>
      </c>
      <c r="EN114" s="63">
        <v>564</v>
      </c>
      <c r="EO114" s="63">
        <v>530</v>
      </c>
      <c r="EP114" s="48">
        <v>491</v>
      </c>
      <c r="EQ114" s="46">
        <v>1034.7512498975493</v>
      </c>
      <c r="ER114" s="46">
        <v>1115.9791683888568</v>
      </c>
      <c r="ES114" s="46">
        <v>1163.7264004952028</v>
      </c>
      <c r="ET114" s="46">
        <v>1091.2984392373264</v>
      </c>
      <c r="EU114" s="42">
        <v>980.54878779406476</v>
      </c>
      <c r="EV114" s="46">
        <v>644.16434699000001</v>
      </c>
      <c r="EW114" s="46">
        <v>683.69345884999996</v>
      </c>
      <c r="EX114" s="46">
        <v>709.58223549000002</v>
      </c>
      <c r="EY114" s="46">
        <v>679.51615597</v>
      </c>
      <c r="EZ114" s="42">
        <v>615.17901486564483</v>
      </c>
      <c r="FA114" s="63">
        <v>102</v>
      </c>
      <c r="FB114" s="63">
        <v>128</v>
      </c>
      <c r="FC114" s="63">
        <v>118</v>
      </c>
      <c r="FD114" s="63">
        <v>126</v>
      </c>
      <c r="FE114" s="48">
        <v>105</v>
      </c>
      <c r="FF114" s="63">
        <v>117</v>
      </c>
      <c r="FG114" s="63">
        <v>130</v>
      </c>
      <c r="FH114" s="63">
        <v>135</v>
      </c>
      <c r="FI114" s="63">
        <v>132</v>
      </c>
      <c r="FJ114" s="48">
        <v>108</v>
      </c>
      <c r="FK114" s="63">
        <v>31</v>
      </c>
      <c r="FL114" s="63">
        <v>42</v>
      </c>
      <c r="FM114" s="63">
        <v>44</v>
      </c>
      <c r="FN114" s="63">
        <v>38</v>
      </c>
      <c r="FO114" s="48">
        <v>35</v>
      </c>
      <c r="FP114" s="63">
        <v>34</v>
      </c>
      <c r="FQ114" s="63">
        <v>25</v>
      </c>
      <c r="FR114" s="63">
        <v>27</v>
      </c>
      <c r="FS114" s="63">
        <v>21</v>
      </c>
      <c r="FT114" s="48">
        <v>20</v>
      </c>
      <c r="FU114" s="46">
        <v>121.44140256999999</v>
      </c>
      <c r="FV114" s="46">
        <v>150.20695645000001</v>
      </c>
      <c r="FW114" s="46">
        <v>134.01105196</v>
      </c>
      <c r="FX114" s="46">
        <v>154.97313922999999</v>
      </c>
      <c r="FY114" s="43">
        <v>118.70431157461987</v>
      </c>
      <c r="FZ114" s="46">
        <v>164.93903864000001</v>
      </c>
      <c r="GA114" s="46">
        <v>185.25292952000001</v>
      </c>
      <c r="GB114" s="46">
        <v>188.55335518999999</v>
      </c>
      <c r="GC114" s="59">
        <v>182.71015894000001</v>
      </c>
      <c r="GD114" s="65">
        <v>144.70465326914101</v>
      </c>
      <c r="GE114" s="59">
        <v>33.424718159999998</v>
      </c>
      <c r="GF114" s="59">
        <v>46.218844789999999</v>
      </c>
      <c r="GG114" s="59">
        <v>47.776822520000003</v>
      </c>
      <c r="GH114" s="59">
        <v>39.71086536</v>
      </c>
      <c r="GI114" s="65">
        <v>41.828653297317551</v>
      </c>
      <c r="GJ114" s="59">
        <v>50.431418729999997</v>
      </c>
      <c r="GK114" s="59">
        <v>44.901312009999998</v>
      </c>
      <c r="GL114" s="59">
        <v>49.84251733</v>
      </c>
      <c r="GM114" s="59">
        <v>34.745445359999998</v>
      </c>
      <c r="GN114" s="65" t="s">
        <v>39</v>
      </c>
      <c r="GO114" s="59">
        <v>773.53033072999995</v>
      </c>
      <c r="GP114" s="59">
        <v>801.86367928000004</v>
      </c>
      <c r="GQ114" s="59">
        <v>790.25701804000005</v>
      </c>
      <c r="GR114" s="59">
        <v>877.45789361000004</v>
      </c>
      <c r="GS114" s="62">
        <v>753.96155853309665</v>
      </c>
      <c r="GT114" s="59">
        <v>544.72222947</v>
      </c>
      <c r="GU114" s="59">
        <v>599.22678859999996</v>
      </c>
      <c r="GV114" s="59">
        <v>631.15807219999897</v>
      </c>
      <c r="GW114" s="59">
        <v>535.34951976000002</v>
      </c>
      <c r="GX114" s="65">
        <v>515.267057257754</v>
      </c>
      <c r="GY114" s="52">
        <v>494</v>
      </c>
      <c r="GZ114" s="52">
        <v>3</v>
      </c>
      <c r="HA114" s="52">
        <v>0</v>
      </c>
      <c r="HB114" s="52">
        <v>6</v>
      </c>
      <c r="HC114" s="52">
        <v>2</v>
      </c>
      <c r="HD114" s="52">
        <v>489</v>
      </c>
      <c r="HE114" s="52">
        <v>1</v>
      </c>
      <c r="HF114" s="52">
        <v>1</v>
      </c>
      <c r="HG114" s="52">
        <v>0</v>
      </c>
      <c r="HH114" s="52">
        <v>1</v>
      </c>
      <c r="HI114" s="62">
        <v>25.201778949102291</v>
      </c>
      <c r="HJ114" s="62">
        <v>25.139664804469273</v>
      </c>
      <c r="HK114" s="62">
        <v>23.17320703653586</v>
      </c>
      <c r="HL114" s="66">
        <v>25</v>
      </c>
      <c r="HM114" s="66">
        <v>36</v>
      </c>
      <c r="HN114" s="66">
        <v>25</v>
      </c>
      <c r="HO114" s="66">
        <v>29</v>
      </c>
      <c r="HP114" s="67">
        <v>36</v>
      </c>
      <c r="HQ114" s="66">
        <v>32</v>
      </c>
      <c r="HR114" s="66">
        <v>52</v>
      </c>
      <c r="HS114" s="66">
        <v>56</v>
      </c>
      <c r="HT114" s="66">
        <v>66</v>
      </c>
      <c r="HU114" s="67">
        <v>53</v>
      </c>
    </row>
    <row r="115" spans="1:230" x14ac:dyDescent="0.2">
      <c r="C115" s="80">
        <v>32322</v>
      </c>
      <c r="D115" s="80">
        <v>31651</v>
      </c>
      <c r="E115" s="80">
        <v>31354</v>
      </c>
      <c r="F115" s="80">
        <v>31182</v>
      </c>
      <c r="G115" s="80">
        <v>31789</v>
      </c>
      <c r="H115" s="48">
        <v>13388</v>
      </c>
      <c r="I115" s="48">
        <v>13391</v>
      </c>
      <c r="J115" s="48">
        <v>13355</v>
      </c>
      <c r="K115" s="48">
        <v>13281</v>
      </c>
      <c r="L115" s="48">
        <v>13144</v>
      </c>
      <c r="M115" s="48">
        <v>30.255745550625655</v>
      </c>
      <c r="N115" s="48">
        <v>30.274208236365475</v>
      </c>
      <c r="O115" s="48">
        <v>30.394265232974909</v>
      </c>
      <c r="P115" s="48">
        <v>31.648235913638757</v>
      </c>
      <c r="Q115" s="48">
        <v>32.16431827600497</v>
      </c>
      <c r="R115" s="48">
        <v>30.878907223690113</v>
      </c>
      <c r="S115" s="48">
        <v>29.854295254477385</v>
      </c>
      <c r="T115" s="48">
        <v>30.148489503328214</v>
      </c>
      <c r="U115" s="48">
        <v>32.553975776724592</v>
      </c>
      <c r="V115" s="48">
        <v>32.511396601740572</v>
      </c>
      <c r="W115" s="48">
        <v>61.134652774315768</v>
      </c>
      <c r="X115" s="48">
        <v>60.12850349084286</v>
      </c>
      <c r="Y115" s="48">
        <v>60.542754736303124</v>
      </c>
      <c r="Z115" s="48">
        <v>64.202211690363356</v>
      </c>
      <c r="AA115" s="48">
        <v>64.675714877745548</v>
      </c>
      <c r="AB115" s="48">
        <v>4.4909090909090912</v>
      </c>
      <c r="AC115" s="48">
        <v>5.0597538498127115</v>
      </c>
      <c r="AD115" s="48">
        <v>5.5476360180565454</v>
      </c>
      <c r="AE115" s="48">
        <v>7.591122443066582</v>
      </c>
      <c r="AF115" s="48">
        <v>7.1201157742402312</v>
      </c>
      <c r="AG115" s="48">
        <v>628.33333333333326</v>
      </c>
      <c r="AH115" s="48">
        <v>638.91666666666663</v>
      </c>
      <c r="AI115" s="48">
        <v>662.83333333333326</v>
      </c>
      <c r="AJ115" s="48">
        <v>836</v>
      </c>
      <c r="AK115" s="48">
        <v>981.83333333333337</v>
      </c>
      <c r="AL115" s="48">
        <v>30762</v>
      </c>
      <c r="AM115" s="48">
        <v>93</v>
      </c>
      <c r="AN115" s="48">
        <v>721</v>
      </c>
      <c r="AO115" s="48">
        <v>438</v>
      </c>
      <c r="AP115" s="48">
        <v>0</v>
      </c>
      <c r="AQ115" s="48">
        <v>1260</v>
      </c>
      <c r="AR115" s="48">
        <v>29319</v>
      </c>
      <c r="AS115" s="48">
        <v>119</v>
      </c>
      <c r="AT115" s="48">
        <v>887</v>
      </c>
      <c r="AU115" s="48">
        <v>569</v>
      </c>
      <c r="AV115" s="48">
        <v>480</v>
      </c>
      <c r="AW115" s="48">
        <v>1381</v>
      </c>
      <c r="AX115" s="48">
        <v>30884.149176922838</v>
      </c>
      <c r="AY115" s="48">
        <v>32138.394251796315</v>
      </c>
      <c r="AZ115" s="48">
        <v>34382.618012226631</v>
      </c>
      <c r="BA115" s="48">
        <v>40097.220455412797</v>
      </c>
      <c r="BB115" s="48">
        <v>38404.688602398819</v>
      </c>
      <c r="BC115" s="48" t="s">
        <v>158</v>
      </c>
      <c r="BD115" s="48" t="s">
        <v>158</v>
      </c>
      <c r="BE115" s="48" t="s">
        <v>158</v>
      </c>
      <c r="BF115" s="48" t="s">
        <v>158</v>
      </c>
      <c r="BG115" s="48" t="s">
        <v>158</v>
      </c>
      <c r="BH115" s="48">
        <v>9.2821105099993915</v>
      </c>
      <c r="BI115" s="48">
        <v>10.101478868881877</v>
      </c>
      <c r="BJ115" s="48">
        <v>9.0328899560835367</v>
      </c>
      <c r="BK115" s="48">
        <v>10.193276774893155</v>
      </c>
      <c r="BL115" s="48">
        <v>10.124430761336669</v>
      </c>
      <c r="BM115" s="48">
        <v>11.968564802885854</v>
      </c>
      <c r="BN115" s="48">
        <v>13.402462734931952</v>
      </c>
      <c r="BO115" s="48">
        <v>12.547169811320755</v>
      </c>
      <c r="BP115" s="48">
        <v>13.41295991213619</v>
      </c>
      <c r="BQ115" s="48">
        <v>14.127130963393682</v>
      </c>
      <c r="BR115" s="48">
        <v>4261</v>
      </c>
      <c r="BS115" s="48">
        <v>4245</v>
      </c>
      <c r="BT115" s="48">
        <v>4159</v>
      </c>
      <c r="BU115" s="48">
        <v>4013</v>
      </c>
      <c r="BV115" s="48">
        <v>35.954001408120156</v>
      </c>
      <c r="BW115" s="48">
        <v>36.607773851590103</v>
      </c>
      <c r="BX115" s="48">
        <v>38.759317143544123</v>
      </c>
      <c r="BY115" s="48">
        <v>38.97333665586843</v>
      </c>
      <c r="BZ115" s="48">
        <v>5.6559493076742546</v>
      </c>
      <c r="CA115" s="48">
        <v>5.3239104829210833</v>
      </c>
      <c r="CB115" s="48">
        <v>4.6405385910074539</v>
      </c>
      <c r="CC115" s="48">
        <v>4.9838026414153997</v>
      </c>
      <c r="CD115" s="48">
        <v>14.832199014315888</v>
      </c>
      <c r="CE115" s="48">
        <v>15.005889281507656</v>
      </c>
      <c r="CF115" s="48">
        <v>15.027650877614811</v>
      </c>
      <c r="CG115" s="48">
        <v>15.723897333665587</v>
      </c>
      <c r="CH115" s="48">
        <v>87.387387387387392</v>
      </c>
      <c r="CI115" s="48">
        <v>85.681293302540411</v>
      </c>
      <c r="CJ115" s="48">
        <v>86.111111111111114</v>
      </c>
      <c r="CK115" s="48" t="s">
        <v>158</v>
      </c>
      <c r="CL115" s="48">
        <v>453</v>
      </c>
      <c r="CM115" s="48">
        <v>372</v>
      </c>
      <c r="CN115" s="48">
        <v>392</v>
      </c>
      <c r="CO115" s="48">
        <v>378</v>
      </c>
      <c r="CP115" s="48">
        <v>384</v>
      </c>
      <c r="CQ115" s="48">
        <v>14.015221830332282</v>
      </c>
      <c r="CR115" s="48">
        <v>11.753183153770813</v>
      </c>
      <c r="CS115" s="48">
        <v>12.502392039293232</v>
      </c>
      <c r="CT115" s="48">
        <v>12.122378295170291</v>
      </c>
      <c r="CU115" s="48">
        <v>12.079650193463147</v>
      </c>
      <c r="CV115" s="48">
        <v>3.8548752834467122</v>
      </c>
      <c r="CW115" s="48">
        <v>4.1436464088397793</v>
      </c>
      <c r="CX115" s="48">
        <v>5.3475935828877006</v>
      </c>
      <c r="CY115" s="48">
        <v>4.0650406504065044</v>
      </c>
      <c r="CZ115" s="48">
        <v>3.75</v>
      </c>
      <c r="DA115" s="48">
        <v>6.7010309278350517</v>
      </c>
      <c r="DB115" s="48">
        <v>6.0509554140127388</v>
      </c>
      <c r="DC115" s="48">
        <v>8.6053412462908003</v>
      </c>
      <c r="DD115" s="48">
        <v>7.4404761904761907</v>
      </c>
      <c r="DE115" s="48">
        <v>6.94</v>
      </c>
      <c r="DF115" s="48">
        <v>83.370786516853926</v>
      </c>
      <c r="DG115" s="48">
        <v>85.597826086956516</v>
      </c>
      <c r="DH115" s="48">
        <v>85.128205128205124</v>
      </c>
      <c r="DI115" s="48">
        <v>84.656084656084658</v>
      </c>
      <c r="DJ115" s="48">
        <v>84.6</v>
      </c>
      <c r="DK115" s="48">
        <v>29.580573951434879</v>
      </c>
      <c r="DL115" s="48">
        <v>31.182795698924732</v>
      </c>
      <c r="DM115" s="48">
        <v>29.846938775510203</v>
      </c>
      <c r="DN115" s="48">
        <v>33.06878306878307</v>
      </c>
      <c r="DO115" s="48">
        <v>27.93733681462141</v>
      </c>
      <c r="DP115" s="48">
        <v>29.580573951434879</v>
      </c>
      <c r="DQ115" s="48">
        <v>31.182795698924732</v>
      </c>
      <c r="DR115" s="48">
        <v>29.846938775510203</v>
      </c>
      <c r="DS115" s="48">
        <v>33.06878306878307</v>
      </c>
      <c r="DT115" s="48">
        <v>38.28</v>
      </c>
      <c r="DU115" s="48">
        <v>0</v>
      </c>
      <c r="DV115" s="48">
        <v>0</v>
      </c>
      <c r="DW115" s="48">
        <v>1</v>
      </c>
      <c r="DX115" s="48">
        <v>0</v>
      </c>
      <c r="DY115" s="48">
        <v>2</v>
      </c>
      <c r="DZ115" s="48">
        <v>84.768211920529808</v>
      </c>
      <c r="EA115" s="48">
        <v>0.66225165562913912</v>
      </c>
      <c r="EB115" s="48">
        <v>7.7262693156732896</v>
      </c>
      <c r="EC115" s="48">
        <v>3.9735099337748343</v>
      </c>
      <c r="ED115" s="48">
        <v>7.7777777777777777</v>
      </c>
      <c r="EE115" s="48">
        <v>86.458333333333329</v>
      </c>
      <c r="EF115" s="48">
        <v>0.26041666666666669</v>
      </c>
      <c r="EG115" s="48">
        <v>4.166666666666667</v>
      </c>
      <c r="EH115" s="48">
        <v>5.208333333333333</v>
      </c>
      <c r="EI115" s="48">
        <v>9.6605744125326378</v>
      </c>
      <c r="EJ115" s="48">
        <v>29.123328380386329</v>
      </c>
      <c r="EK115" s="48">
        <v>36.854228364593617</v>
      </c>
      <c r="EL115" s="48">
        <v>398</v>
      </c>
      <c r="EM115" s="48">
        <v>371</v>
      </c>
      <c r="EN115" s="48">
        <v>410</v>
      </c>
      <c r="EO115" s="48">
        <v>369</v>
      </c>
      <c r="EP115" s="48">
        <v>397</v>
      </c>
      <c r="EQ115" s="40">
        <v>1231.3594455788627</v>
      </c>
      <c r="ER115" s="40">
        <v>1172.158857540046</v>
      </c>
      <c r="ES115" s="40">
        <v>1307.6481469668943</v>
      </c>
      <c r="ET115" s="40">
        <v>1183.3750240523379</v>
      </c>
      <c r="EU115" s="40">
        <v>1248.859668438768</v>
      </c>
      <c r="EV115" s="40">
        <v>742.91349446000004</v>
      </c>
      <c r="EW115" s="40">
        <v>709.07130220999898</v>
      </c>
      <c r="EX115" s="40">
        <v>793.55151335999994</v>
      </c>
      <c r="EY115" s="40">
        <v>702.99386504999995</v>
      </c>
      <c r="EZ115" s="40">
        <v>742.90019260749455</v>
      </c>
      <c r="FA115" s="40">
        <v>91</v>
      </c>
      <c r="FB115" s="40">
        <v>94</v>
      </c>
      <c r="FC115" s="40">
        <v>99</v>
      </c>
      <c r="FD115" s="40">
        <v>79</v>
      </c>
      <c r="FE115" s="40">
        <v>72</v>
      </c>
      <c r="FF115" s="40">
        <v>83</v>
      </c>
      <c r="FG115" s="40">
        <v>78</v>
      </c>
      <c r="FH115" s="40">
        <v>94</v>
      </c>
      <c r="FI115" s="40">
        <v>82</v>
      </c>
      <c r="FJ115" s="40">
        <v>100</v>
      </c>
      <c r="FK115" s="40">
        <v>30</v>
      </c>
      <c r="FL115" s="40">
        <v>15</v>
      </c>
      <c r="FM115" s="40">
        <v>20</v>
      </c>
      <c r="FN115" s="40">
        <v>25</v>
      </c>
      <c r="FO115" s="40">
        <v>34</v>
      </c>
      <c r="FP115" s="40">
        <v>11</v>
      </c>
      <c r="FQ115" s="40">
        <v>19</v>
      </c>
      <c r="FR115" s="40">
        <v>18</v>
      </c>
      <c r="FS115" s="40">
        <v>21</v>
      </c>
      <c r="FT115" s="40">
        <v>17</v>
      </c>
      <c r="FU115" s="40">
        <v>157.03258468999999</v>
      </c>
      <c r="FV115" s="40">
        <v>157.45389953</v>
      </c>
      <c r="FW115" s="40">
        <v>185.73889908000001</v>
      </c>
      <c r="FX115" s="40">
        <v>137.69516059</v>
      </c>
      <c r="FY115" s="40">
        <v>126.15018818657266</v>
      </c>
      <c r="FZ115" s="40">
        <v>163.68650235999999</v>
      </c>
      <c r="GA115" s="40">
        <v>158.54292045</v>
      </c>
      <c r="GB115" s="40">
        <v>196.01693420000001</v>
      </c>
      <c r="GC115" s="36">
        <v>176.17343030000001</v>
      </c>
      <c r="GD115" s="36">
        <v>210.87423744627225</v>
      </c>
      <c r="GE115" s="36">
        <v>48.074107140000002</v>
      </c>
      <c r="GF115" s="36">
        <v>0</v>
      </c>
      <c r="GG115" s="36">
        <v>0</v>
      </c>
      <c r="GH115" s="36">
        <v>43.381688439999998</v>
      </c>
      <c r="GI115" s="36">
        <v>54.602359713014032</v>
      </c>
      <c r="GJ115" s="36">
        <v>0</v>
      </c>
      <c r="GK115" s="36">
        <v>0</v>
      </c>
      <c r="GL115" s="36">
        <v>0</v>
      </c>
      <c r="GM115" s="36">
        <v>52.433918890000001</v>
      </c>
      <c r="GN115" s="36" t="s">
        <v>39</v>
      </c>
      <c r="GO115" s="36">
        <v>863.72504542000001</v>
      </c>
      <c r="GP115" s="36">
        <v>894.25823814</v>
      </c>
      <c r="GQ115" s="36">
        <v>1010.16800157</v>
      </c>
      <c r="GR115" s="36">
        <v>800.05769886999997</v>
      </c>
      <c r="GS115" s="36">
        <v>930.9671279256313</v>
      </c>
      <c r="GT115" s="36">
        <v>634.00972741999999</v>
      </c>
      <c r="GU115" s="36">
        <v>560.40596574000006</v>
      </c>
      <c r="GV115" s="36">
        <v>613.09862362000001</v>
      </c>
      <c r="GW115" s="36">
        <v>635.38589323999997</v>
      </c>
      <c r="GX115" s="36">
        <v>590.69259954459108</v>
      </c>
      <c r="GY115" s="36">
        <v>393</v>
      </c>
      <c r="GZ115" s="36">
        <v>0</v>
      </c>
      <c r="HA115" s="36">
        <v>3</v>
      </c>
      <c r="HB115" s="36">
        <v>1</v>
      </c>
      <c r="HC115" s="36">
        <v>0</v>
      </c>
      <c r="HD115" s="36">
        <v>381</v>
      </c>
      <c r="HE115" s="36">
        <v>2</v>
      </c>
      <c r="HF115" s="36">
        <v>11</v>
      </c>
      <c r="HG115" s="36">
        <v>2</v>
      </c>
      <c r="HH115" s="36">
        <v>1</v>
      </c>
      <c r="HI115" s="62">
        <v>32.928942807625653</v>
      </c>
      <c r="HJ115" s="62">
        <v>33.695652173913047</v>
      </c>
      <c r="HK115" s="62">
        <v>27.455919395465994</v>
      </c>
      <c r="HL115" s="62">
        <v>17</v>
      </c>
      <c r="HM115" s="36">
        <v>15</v>
      </c>
      <c r="HN115" s="36">
        <v>20</v>
      </c>
      <c r="HO115" s="36">
        <v>15</v>
      </c>
      <c r="HP115" s="36">
        <v>14</v>
      </c>
      <c r="HQ115" s="36">
        <v>26</v>
      </c>
      <c r="HR115" s="36">
        <v>19</v>
      </c>
      <c r="HS115" s="36">
        <v>29</v>
      </c>
      <c r="HT115" s="36">
        <v>25</v>
      </c>
      <c r="HU115" s="36">
        <v>24</v>
      </c>
    </row>
    <row r="116" spans="1:230" x14ac:dyDescent="0.2">
      <c r="C116" s="79" t="e">
        <f>#REF!-C115</f>
        <v>#REF!</v>
      </c>
      <c r="D116" s="79">
        <f>C110-D115</f>
        <v>38470</v>
      </c>
      <c r="E116" s="79">
        <f>D110-E115</f>
        <v>38667</v>
      </c>
      <c r="F116" s="79">
        <f>E110-F115</f>
        <v>40754</v>
      </c>
      <c r="G116" s="79">
        <f>F110-G115</f>
        <v>40025</v>
      </c>
      <c r="H116" s="63">
        <f t="shared" ref="H116:BO116" si="64">H110-H115</f>
        <v>55952</v>
      </c>
      <c r="I116" s="63">
        <f t="shared" si="64"/>
        <v>-12990</v>
      </c>
      <c r="J116" s="63">
        <f t="shared" si="64"/>
        <v>-13065</v>
      </c>
      <c r="K116" s="63">
        <f t="shared" si="64"/>
        <v>-12920</v>
      </c>
      <c r="L116" s="63">
        <f t="shared" si="64"/>
        <v>-11200</v>
      </c>
      <c r="M116" s="63">
        <f t="shared" si="64"/>
        <v>28402.744254449375</v>
      </c>
      <c r="N116" s="63">
        <f t="shared" si="64"/>
        <v>28478.725791763634</v>
      </c>
      <c r="O116" s="63">
        <f t="shared" si="64"/>
        <v>28510.605734767025</v>
      </c>
      <c r="P116" s="63">
        <f t="shared" si="64"/>
        <v>28550.351764086361</v>
      </c>
      <c r="Q116" s="63">
        <f t="shared" si="64"/>
        <v>28457.835681723995</v>
      </c>
      <c r="R116" s="63">
        <f t="shared" si="64"/>
        <v>-4.2213191538593335</v>
      </c>
      <c r="S116" s="63">
        <f t="shared" si="64"/>
        <v>-1.9445022644851555</v>
      </c>
      <c r="T116" s="63">
        <f t="shared" si="64"/>
        <v>-2.1292304422074437</v>
      </c>
      <c r="U116" s="63">
        <f t="shared" si="64"/>
        <v>-4.0986912238790616</v>
      </c>
      <c r="V116" s="63">
        <f t="shared" si="64"/>
        <v>-3.3322298410882354</v>
      </c>
      <c r="W116" s="63" t="e">
        <f>#REF!-W115</f>
        <v>#REF!</v>
      </c>
      <c r="X116" s="63">
        <f>W110-X115</f>
        <v>-30.245036955146116</v>
      </c>
      <c r="Y116" s="63">
        <f>X110-Y115</f>
        <v>-28.463058168190891</v>
      </c>
      <c r="Z116" s="63">
        <f>Y110-Z115</f>
        <v>-31.871954457070146</v>
      </c>
      <c r="AA116" s="63">
        <f>Z110-AA115</f>
        <v>-32.731642689770922</v>
      </c>
      <c r="AB116" s="63">
        <f t="shared" si="64"/>
        <v>52.050145514618436</v>
      </c>
      <c r="AC116" s="63">
        <f t="shared" si="64"/>
        <v>54.929735708291759</v>
      </c>
      <c r="AD116" s="63">
        <f t="shared" si="64"/>
        <v>54.801880276357437</v>
      </c>
      <c r="AE116" s="63">
        <f t="shared" si="64"/>
        <v>52.808234297753572</v>
      </c>
      <c r="AF116" s="63">
        <f t="shared" si="64"/>
        <v>53.771319499709193</v>
      </c>
      <c r="AG116" s="63">
        <f t="shared" si="64"/>
        <v>-621.06862181330257</v>
      </c>
      <c r="AH116" s="63">
        <f t="shared" si="64"/>
        <v>-628.22680048953089</v>
      </c>
      <c r="AI116" s="63">
        <f t="shared" si="64"/>
        <v>-653.78450510500966</v>
      </c>
      <c r="AJ116" s="63">
        <f t="shared" si="64"/>
        <v>-827.99681570916812</v>
      </c>
      <c r="AK116" s="63">
        <f t="shared" si="64"/>
        <v>-974.95986394557826</v>
      </c>
      <c r="AL116" s="63">
        <f t="shared" si="64"/>
        <v>-28842.333333333332</v>
      </c>
      <c r="AM116" s="63">
        <f t="shared" si="64"/>
        <v>2323.75</v>
      </c>
      <c r="AN116" s="63">
        <f t="shared" si="64"/>
        <v>1198.6666666666665</v>
      </c>
      <c r="AO116" s="63">
        <f t="shared" si="64"/>
        <v>2823.166666666667</v>
      </c>
      <c r="AP116" s="63">
        <f t="shared" si="64"/>
        <v>3365.6666666666665</v>
      </c>
      <c r="AQ116" s="63">
        <f t="shared" si="64"/>
        <v>30677.731966238891</v>
      </c>
      <c r="AR116" s="63">
        <f t="shared" si="64"/>
        <v>2056.7813576923763</v>
      </c>
      <c r="AS116" s="63">
        <f t="shared" si="64"/>
        <v>32218.144885688918</v>
      </c>
      <c r="AT116" s="63">
        <f t="shared" si="64"/>
        <v>32336.792860468566</v>
      </c>
      <c r="AU116" s="63">
        <f t="shared" si="64"/>
        <v>33936.341520861373</v>
      </c>
      <c r="AV116" s="63" t="e">
        <f t="shared" si="64"/>
        <v>#VALUE!</v>
      </c>
      <c r="AW116" s="63" t="e">
        <f t="shared" si="64"/>
        <v>#VALUE!</v>
      </c>
      <c r="AX116" s="63" t="e">
        <f t="shared" si="64"/>
        <v>#VALUE!</v>
      </c>
      <c r="AY116" s="63" t="e">
        <f t="shared" si="64"/>
        <v>#VALUE!</v>
      </c>
      <c r="AZ116" s="63" t="e">
        <f t="shared" si="64"/>
        <v>#VALUE!</v>
      </c>
      <c r="BA116" s="63">
        <f t="shared" si="64"/>
        <v>-40083.173724549029</v>
      </c>
      <c r="BB116" s="63">
        <f t="shared" si="64"/>
        <v>-38390.182849942794</v>
      </c>
      <c r="BC116" s="63" t="e">
        <f t="shared" si="64"/>
        <v>#VALUE!</v>
      </c>
      <c r="BD116" s="63" t="e">
        <f t="shared" si="64"/>
        <v>#VALUE!</v>
      </c>
      <c r="BE116" s="63" t="e">
        <f t="shared" si="64"/>
        <v>#VALUE!</v>
      </c>
      <c r="BF116" s="63" t="e">
        <f t="shared" si="64"/>
        <v>#VALUE!</v>
      </c>
      <c r="BG116" s="63" t="e">
        <f t="shared" si="64"/>
        <v>#VALUE!</v>
      </c>
      <c r="BH116" s="63">
        <f t="shared" si="64"/>
        <v>12.624735019392052</v>
      </c>
      <c r="BI116" s="63">
        <f t="shared" si="64"/>
        <v>11.020845111751619</v>
      </c>
      <c r="BJ116" s="63">
        <f t="shared" si="64"/>
        <v>10.319649396455816</v>
      </c>
      <c r="BK116" s="63">
        <f t="shared" si="64"/>
        <v>11752.806723225107</v>
      </c>
      <c r="BL116" s="63">
        <f t="shared" si="64"/>
        <v>11686.875569238664</v>
      </c>
      <c r="BM116" s="63">
        <f t="shared" si="64"/>
        <v>11550.031435197114</v>
      </c>
      <c r="BN116" s="63">
        <f t="shared" si="64"/>
        <v>11484.597537265068</v>
      </c>
      <c r="BO116" s="63">
        <f t="shared" si="64"/>
        <v>39.454870484522139</v>
      </c>
      <c r="BP116" s="63">
        <f t="shared" ref="BP116:EA116" si="65">BP110-BP115</f>
        <v>36.839241507031119</v>
      </c>
      <c r="BQ116" s="63">
        <f t="shared" si="65"/>
        <v>35.933412195229394</v>
      </c>
      <c r="BR116" s="63">
        <f t="shared" si="65"/>
        <v>-4211.347886588972</v>
      </c>
      <c r="BS116" s="63">
        <f t="shared" si="65"/>
        <v>-4242.891694295673</v>
      </c>
      <c r="BT116" s="63">
        <f t="shared" si="65"/>
        <v>-4156.8028554330167</v>
      </c>
      <c r="BU116" s="63">
        <f t="shared" si="65"/>
        <v>-4010.6907109496628</v>
      </c>
      <c r="BV116" s="63">
        <f t="shared" si="65"/>
        <v>-33.892773368461086</v>
      </c>
      <c r="BW116" s="63">
        <f t="shared" si="65"/>
        <v>-20.57444901948945</v>
      </c>
      <c r="BX116" s="63">
        <f t="shared" si="65"/>
        <v>-22.481639106440593</v>
      </c>
      <c r="BY116" s="63">
        <f t="shared" si="65"/>
        <v>-22.592087736996262</v>
      </c>
      <c r="BZ116" s="63">
        <f t="shared" si="65"/>
        <v>10.955635315738512</v>
      </c>
      <c r="CA116" s="63">
        <f t="shared" si="65"/>
        <v>72.111986952976352</v>
      </c>
      <c r="CB116" s="63">
        <f t="shared" si="65"/>
        <v>72.838608767657973</v>
      </c>
      <c r="CC116" s="63">
        <f t="shared" si="65"/>
        <v>74.960487052177925</v>
      </c>
      <c r="CD116" s="63">
        <f t="shared" si="65"/>
        <v>67.827375453769221</v>
      </c>
      <c r="CE116" s="63">
        <f t="shared" si="65"/>
        <v>-11.416145691764067</v>
      </c>
      <c r="CF116" s="63">
        <f t="shared" si="65"/>
        <v>-9.6523033335925668</v>
      </c>
      <c r="CG116" s="63">
        <f t="shared" si="65"/>
        <v>-11.731325374519812</v>
      </c>
      <c r="CH116" s="63">
        <f t="shared" si="65"/>
        <v>-83.557600153344836</v>
      </c>
      <c r="CI116" s="63">
        <f t="shared" si="65"/>
        <v>4097.3187066974597</v>
      </c>
      <c r="CJ116" s="63">
        <f t="shared" si="65"/>
        <v>4100.8888888888887</v>
      </c>
      <c r="CK116" s="63" t="e">
        <f t="shared" si="65"/>
        <v>#VALUE!</v>
      </c>
      <c r="CL116" s="63">
        <f t="shared" si="65"/>
        <v>4109</v>
      </c>
      <c r="CM116" s="63">
        <f t="shared" si="65"/>
        <v>-359.5</v>
      </c>
      <c r="CN116" s="63">
        <f t="shared" si="65"/>
        <v>-379.9</v>
      </c>
      <c r="CO116" s="63">
        <f t="shared" si="65"/>
        <v>-364.8</v>
      </c>
      <c r="CP116" s="63">
        <f t="shared" si="65"/>
        <v>-371.2</v>
      </c>
      <c r="CQ116" s="63">
        <f t="shared" si="65"/>
        <v>144.98477816966772</v>
      </c>
      <c r="CR116" s="63">
        <f t="shared" si="65"/>
        <v>167.24681684622919</v>
      </c>
      <c r="CS116" s="63">
        <f t="shared" si="65"/>
        <v>217.49760796070677</v>
      </c>
      <c r="CT116" s="63">
        <f t="shared" si="65"/>
        <v>178.87762170482972</v>
      </c>
      <c r="CU116" s="63">
        <f t="shared" si="65"/>
        <v>-8.1796501934631465</v>
      </c>
      <c r="CV116" s="63">
        <f t="shared" si="65"/>
        <v>0.5451247165532882</v>
      </c>
      <c r="CW116" s="63">
        <f t="shared" si="65"/>
        <v>0.95635359116022034</v>
      </c>
      <c r="CX116" s="63">
        <f t="shared" si="65"/>
        <v>-1.0475935828877008</v>
      </c>
      <c r="CY116" s="63">
        <f t="shared" si="65"/>
        <v>250.9349593495935</v>
      </c>
      <c r="CZ116" s="63">
        <f t="shared" si="65"/>
        <v>293.25</v>
      </c>
      <c r="DA116" s="63">
        <f t="shared" si="65"/>
        <v>366.29896907216494</v>
      </c>
      <c r="DB116" s="63">
        <f t="shared" si="65"/>
        <v>350.94904458598728</v>
      </c>
      <c r="DC116" s="63">
        <f t="shared" si="65"/>
        <v>-2.1053412462908003</v>
      </c>
      <c r="DD116" s="63">
        <f t="shared" si="65"/>
        <v>0.15952380952380896</v>
      </c>
      <c r="DE116" s="63">
        <f t="shared" si="65"/>
        <v>1.7599999999999989</v>
      </c>
      <c r="DF116" s="63">
        <f t="shared" si="65"/>
        <v>-74.870786516853926</v>
      </c>
      <c r="DG116" s="63">
        <f t="shared" si="65"/>
        <v>-1.6978260869565105</v>
      </c>
      <c r="DH116" s="63">
        <f t="shared" si="65"/>
        <v>-1.9282051282051214</v>
      </c>
      <c r="DI116" s="63">
        <f t="shared" si="65"/>
        <v>-0.25608465608465281</v>
      </c>
      <c r="DJ116" s="63">
        <f t="shared" si="65"/>
        <v>-1.5</v>
      </c>
      <c r="DK116" s="63">
        <f t="shared" si="65"/>
        <v>-6.9805739514348772</v>
      </c>
      <c r="DL116" s="63">
        <f t="shared" si="65"/>
        <v>-9.4827956989247326</v>
      </c>
      <c r="DM116" s="63">
        <f t="shared" si="65"/>
        <v>-9.9469387755102048</v>
      </c>
      <c r="DN116" s="63">
        <f t="shared" si="65"/>
        <v>-14.586206977031857</v>
      </c>
      <c r="DO116" s="63">
        <f t="shared" si="65"/>
        <v>-3.3373368146214091</v>
      </c>
      <c r="DP116" s="63">
        <f t="shared" si="65"/>
        <v>-0.68057395143488009</v>
      </c>
      <c r="DQ116" s="63">
        <f t="shared" si="65"/>
        <v>0.6172043010752688</v>
      </c>
      <c r="DR116" s="63">
        <f t="shared" si="65"/>
        <v>2.0530612244897952</v>
      </c>
      <c r="DS116" s="63">
        <f t="shared" si="65"/>
        <v>4.5558016488249038</v>
      </c>
      <c r="DT116" s="63">
        <f t="shared" si="65"/>
        <v>-6.1335389938013591</v>
      </c>
      <c r="DU116" s="63">
        <f t="shared" si="65"/>
        <v>33.43301894026532</v>
      </c>
      <c r="DV116" s="63">
        <f t="shared" si="65"/>
        <v>26.550203234454727</v>
      </c>
      <c r="DW116" s="63">
        <f t="shared" si="65"/>
        <v>841</v>
      </c>
      <c r="DX116" s="63">
        <f t="shared" si="65"/>
        <v>10</v>
      </c>
      <c r="DY116" s="63">
        <f t="shared" si="65"/>
        <v>4</v>
      </c>
      <c r="DZ116" s="63">
        <f t="shared" si="65"/>
        <v>-79.768211920529808</v>
      </c>
      <c r="EA116" s="63">
        <f t="shared" si="65"/>
        <v>41.337748344370858</v>
      </c>
      <c r="EB116" s="63">
        <f t="shared" ref="EB116:GM116" si="66">EB110-EB115</f>
        <v>23.273730684326711</v>
      </c>
      <c r="EC116" s="63">
        <f t="shared" si="66"/>
        <v>18.026490066225165</v>
      </c>
      <c r="ED116" s="63">
        <f t="shared" si="66"/>
        <v>21.222222222222221</v>
      </c>
      <c r="EE116" s="63">
        <f t="shared" si="66"/>
        <v>-59.458333333333329</v>
      </c>
      <c r="EF116" s="63">
        <f t="shared" si="66"/>
        <v>3520.7395833333335</v>
      </c>
      <c r="EG116" s="63">
        <f t="shared" si="66"/>
        <v>3568.8333333333335</v>
      </c>
      <c r="EH116" s="63">
        <f t="shared" si="66"/>
        <v>3594.7916666666665</v>
      </c>
      <c r="EI116" s="63">
        <f t="shared" si="66"/>
        <v>3417.3394255874673</v>
      </c>
      <c r="EJ116" s="63">
        <f t="shared" si="66"/>
        <v>733.87667161961372</v>
      </c>
      <c r="EK116" s="63">
        <f t="shared" si="66"/>
        <v>-36.854228364593617</v>
      </c>
      <c r="EL116" s="63">
        <f t="shared" si="66"/>
        <v>-396</v>
      </c>
      <c r="EM116" s="63">
        <f t="shared" si="66"/>
        <v>-370</v>
      </c>
      <c r="EN116" s="63">
        <f t="shared" si="66"/>
        <v>-409</v>
      </c>
      <c r="EO116" s="63">
        <f t="shared" si="66"/>
        <v>679.02895548332549</v>
      </c>
      <c r="EP116" s="63">
        <f t="shared" si="66"/>
        <v>635.12201744757067</v>
      </c>
      <c r="EQ116" s="63">
        <f t="shared" si="66"/>
        <v>-212.57994342244615</v>
      </c>
      <c r="ER116" s="63">
        <f t="shared" si="66"/>
        <v>-235.53507102968297</v>
      </c>
      <c r="ES116" s="63">
        <f t="shared" si="66"/>
        <v>-491.54814696689425</v>
      </c>
      <c r="ET116" s="63">
        <f t="shared" si="66"/>
        <v>-391.97502405233797</v>
      </c>
      <c r="EU116" s="63">
        <f t="shared" si="66"/>
        <v>-502.45966843876806</v>
      </c>
      <c r="EV116" s="63">
        <f t="shared" si="66"/>
        <v>-60.913494460000038</v>
      </c>
      <c r="EW116" s="63">
        <f t="shared" si="66"/>
        <v>288.31981957812491</v>
      </c>
      <c r="EX116" s="63">
        <f t="shared" si="66"/>
        <v>173.28226903130599</v>
      </c>
      <c r="EY116" s="63">
        <f t="shared" si="66"/>
        <v>229.88525057765321</v>
      </c>
      <c r="EZ116" s="63">
        <f t="shared" si="66"/>
        <v>79.656629888243401</v>
      </c>
      <c r="FA116" s="63">
        <f t="shared" si="66"/>
        <v>574.98411761309444</v>
      </c>
      <c r="FB116" s="63">
        <f t="shared" si="66"/>
        <v>554.30481989039413</v>
      </c>
      <c r="FC116" s="63">
        <f t="shared" si="66"/>
        <v>494.54133727865849</v>
      </c>
      <c r="FD116" s="63">
        <f t="shared" si="66"/>
        <v>484.07710704238821</v>
      </c>
      <c r="FE116" s="63">
        <f t="shared" si="66"/>
        <v>712</v>
      </c>
      <c r="FF116" s="63">
        <f t="shared" si="66"/>
        <v>726</v>
      </c>
      <c r="FG116" s="63">
        <f t="shared" si="66"/>
        <v>753</v>
      </c>
      <c r="FH116" s="63">
        <f t="shared" si="66"/>
        <v>736</v>
      </c>
      <c r="FI116" s="63">
        <f t="shared" si="66"/>
        <v>105.9933</v>
      </c>
      <c r="FJ116" s="63">
        <f t="shared" si="66"/>
        <v>85.132000000000005</v>
      </c>
      <c r="FK116" s="63">
        <f t="shared" si="66"/>
        <v>151.62209999999999</v>
      </c>
      <c r="FL116" s="63">
        <f t="shared" si="66"/>
        <v>155.60509999999999</v>
      </c>
      <c r="FM116" s="63">
        <f t="shared" si="66"/>
        <v>992</v>
      </c>
      <c r="FN116" s="63">
        <f t="shared" si="66"/>
        <v>882</v>
      </c>
      <c r="FO116" s="63">
        <f t="shared" si="66"/>
        <v>853</v>
      </c>
      <c r="FP116" s="63">
        <f t="shared" si="66"/>
        <v>710</v>
      </c>
      <c r="FQ116" s="63">
        <f t="shared" si="66"/>
        <v>211.2587</v>
      </c>
      <c r="FR116" s="63">
        <f t="shared" si="66"/>
        <v>178.00120000000001</v>
      </c>
      <c r="FS116" s="63">
        <f t="shared" si="66"/>
        <v>156.32929999999999</v>
      </c>
      <c r="FT116" s="63">
        <f t="shared" si="66"/>
        <v>120.36600000000001</v>
      </c>
      <c r="FU116" s="63">
        <f t="shared" si="66"/>
        <v>152.96741531000001</v>
      </c>
      <c r="FV116" s="63">
        <f t="shared" si="66"/>
        <v>90.546100469999999</v>
      </c>
      <c r="FW116" s="63">
        <f t="shared" si="66"/>
        <v>56.26110091999999</v>
      </c>
      <c r="FX116" s="63">
        <f t="shared" si="66"/>
        <v>32.30483941</v>
      </c>
      <c r="FY116" s="63">
        <f t="shared" si="66"/>
        <v>-58.694468186572664</v>
      </c>
      <c r="FZ116" s="63">
        <f t="shared" si="66"/>
        <v>-112.05689235999999</v>
      </c>
      <c r="GA116" s="63">
        <f t="shared" si="66"/>
        <v>-111.40272045</v>
      </c>
      <c r="GB116" s="63">
        <f t="shared" si="66"/>
        <v>-164.69629420000001</v>
      </c>
      <c r="GC116" s="66">
        <f t="shared" si="66"/>
        <v>-18.173430300000007</v>
      </c>
      <c r="GD116" s="66">
        <f t="shared" si="66"/>
        <v>-47.874237446272247</v>
      </c>
      <c r="GE116" s="66">
        <f t="shared" si="66"/>
        <v>124.92589286</v>
      </c>
      <c r="GF116" s="66">
        <f t="shared" si="66"/>
        <v>175</v>
      </c>
      <c r="GG116" s="66">
        <f t="shared" si="66"/>
        <v>43.165500000000002</v>
      </c>
      <c r="GH116" s="66">
        <f t="shared" si="66"/>
        <v>0.39133156000000469</v>
      </c>
      <c r="GI116" s="66">
        <f t="shared" si="66"/>
        <v>-12.07575971301403</v>
      </c>
      <c r="GJ116" s="66">
        <f t="shared" si="66"/>
        <v>43.344639999999998</v>
      </c>
      <c r="GK116" s="66">
        <f t="shared" si="66"/>
        <v>0</v>
      </c>
      <c r="GL116" s="66">
        <f t="shared" si="66"/>
        <v>0</v>
      </c>
      <c r="GM116" s="66">
        <f t="shared" si="66"/>
        <v>-52.433918890000001</v>
      </c>
      <c r="GN116" s="66" t="e">
        <f t="shared" ref="GN116:HU116" si="67">GN110-GN115</f>
        <v>#VALUE!</v>
      </c>
      <c r="GO116" s="66">
        <f t="shared" si="67"/>
        <v>-863.72504542000001</v>
      </c>
      <c r="GP116" s="66">
        <f t="shared" si="67"/>
        <v>-894.25823814</v>
      </c>
      <c r="GQ116" s="66">
        <f t="shared" si="67"/>
        <v>-1010.16800157</v>
      </c>
      <c r="GR116" s="66">
        <f t="shared" si="67"/>
        <v>-800.05769886999997</v>
      </c>
      <c r="GS116" s="66">
        <f t="shared" si="67"/>
        <v>-930.9671279256313</v>
      </c>
      <c r="GT116" s="66">
        <f t="shared" si="67"/>
        <v>-634.00972741999999</v>
      </c>
      <c r="GU116" s="66">
        <f t="shared" si="67"/>
        <v>-560.40596574000006</v>
      </c>
      <c r="GV116" s="66">
        <f t="shared" si="67"/>
        <v>-613.09862362000001</v>
      </c>
      <c r="GW116" s="66">
        <f t="shared" si="67"/>
        <v>-635.38589323999997</v>
      </c>
      <c r="GX116" s="66">
        <f t="shared" si="67"/>
        <v>-590.69259954459108</v>
      </c>
      <c r="GY116" s="66">
        <f t="shared" si="67"/>
        <v>-393</v>
      </c>
      <c r="GZ116" s="66">
        <f t="shared" si="67"/>
        <v>0</v>
      </c>
      <c r="HA116" s="66">
        <f t="shared" si="67"/>
        <v>-3</v>
      </c>
      <c r="HB116" s="66">
        <f t="shared" si="67"/>
        <v>-1</v>
      </c>
      <c r="HC116" s="66">
        <f t="shared" si="67"/>
        <v>0</v>
      </c>
      <c r="HD116" s="66">
        <f t="shared" si="67"/>
        <v>-381</v>
      </c>
      <c r="HE116" s="66">
        <f t="shared" si="67"/>
        <v>-2</v>
      </c>
      <c r="HF116" s="66">
        <f t="shared" si="67"/>
        <v>-11</v>
      </c>
      <c r="HG116" s="66">
        <f t="shared" si="67"/>
        <v>-2</v>
      </c>
      <c r="HH116" s="66">
        <f t="shared" si="67"/>
        <v>-1</v>
      </c>
      <c r="HI116" s="66">
        <f t="shared" si="67"/>
        <v>-32.928942807625653</v>
      </c>
      <c r="HJ116" s="66">
        <f t="shared" si="67"/>
        <v>-33.695652173913047</v>
      </c>
      <c r="HK116" s="66">
        <f t="shared" si="67"/>
        <v>-27.455919395465994</v>
      </c>
      <c r="HL116" s="66">
        <f t="shared" si="67"/>
        <v>-17</v>
      </c>
      <c r="HM116" s="66">
        <f t="shared" si="67"/>
        <v>-15</v>
      </c>
      <c r="HN116" s="66">
        <f t="shared" si="67"/>
        <v>-20</v>
      </c>
      <c r="HO116" s="66">
        <f t="shared" si="67"/>
        <v>-15</v>
      </c>
      <c r="HP116" s="66">
        <f t="shared" si="67"/>
        <v>-14</v>
      </c>
      <c r="HQ116" s="66">
        <f t="shared" si="67"/>
        <v>-26</v>
      </c>
      <c r="HR116" s="66">
        <f t="shared" si="67"/>
        <v>-19</v>
      </c>
      <c r="HS116" s="66">
        <f t="shared" si="67"/>
        <v>-29</v>
      </c>
      <c r="HT116" s="66">
        <f t="shared" si="67"/>
        <v>-25</v>
      </c>
      <c r="HU116" s="66">
        <f t="shared" si="67"/>
        <v>-24</v>
      </c>
      <c r="HV116" s="66">
        <f>SUM(GO116:HU116)</f>
        <v>-8624.8494358672287</v>
      </c>
    </row>
    <row r="117" spans="1:230" x14ac:dyDescent="0.2">
      <c r="C117" s="81" t="e">
        <f>#REF!-C114</f>
        <v>#REF!</v>
      </c>
      <c r="D117" s="81">
        <f>C105-D114</f>
        <v>8152</v>
      </c>
      <c r="E117" s="81">
        <f>D105-E114</f>
        <v>8376</v>
      </c>
      <c r="F117" s="81">
        <f>E105-F114</f>
        <v>9403</v>
      </c>
      <c r="G117" s="81">
        <f>F105-G114</f>
        <v>7599</v>
      </c>
      <c r="H117" s="46">
        <f t="shared" ref="H117:BN117" si="68">H105-H114</f>
        <v>34889</v>
      </c>
      <c r="I117" s="46">
        <f t="shared" si="68"/>
        <v>-18907</v>
      </c>
      <c r="J117" s="46">
        <f t="shared" si="68"/>
        <v>-19923</v>
      </c>
      <c r="K117" s="46">
        <f t="shared" si="68"/>
        <v>-19977</v>
      </c>
      <c r="L117" s="46">
        <f t="shared" si="68"/>
        <v>-14729</v>
      </c>
      <c r="M117" s="46">
        <f t="shared" si="68"/>
        <v>23606.885335413415</v>
      </c>
      <c r="N117" s="46">
        <f t="shared" si="68"/>
        <v>23549.754192683646</v>
      </c>
      <c r="O117" s="46">
        <f t="shared" si="68"/>
        <v>23266.557297791715</v>
      </c>
      <c r="P117" s="46">
        <f t="shared" si="68"/>
        <v>23255.679002147695</v>
      </c>
      <c r="Q117" s="46">
        <f t="shared" si="68"/>
        <v>23276.923174926742</v>
      </c>
      <c r="R117" s="46">
        <f t="shared" si="68"/>
        <v>-3.9990745595970232</v>
      </c>
      <c r="S117" s="46">
        <f t="shared" si="68"/>
        <v>-2.5261596758571976</v>
      </c>
      <c r="T117" s="46">
        <f t="shared" si="68"/>
        <v>-2.047368499122932</v>
      </c>
      <c r="U117" s="46">
        <f t="shared" si="68"/>
        <v>-3.7978805226101038</v>
      </c>
      <c r="V117" s="46">
        <f t="shared" si="68"/>
        <v>-3.5271814520664613</v>
      </c>
      <c r="W117" s="46" t="e">
        <f>#REF!-W114</f>
        <v>#REF!</v>
      </c>
      <c r="X117" s="46">
        <f>W105-X114</f>
        <v>-28.329373176208836</v>
      </c>
      <c r="Y117" s="46">
        <f>X105-Y114</f>
        <v>-27.346986761495639</v>
      </c>
      <c r="Z117" s="46">
        <f>Y105-Z114</f>
        <v>-29.830555740413228</v>
      </c>
      <c r="AA117" s="46">
        <f>Z105-AA114</f>
        <v>-29.088744623827505</v>
      </c>
      <c r="AB117" s="46">
        <f t="shared" si="68"/>
        <v>51.885494740005491</v>
      </c>
      <c r="AC117" s="46">
        <f t="shared" si="68"/>
        <v>53.384548601827646</v>
      </c>
      <c r="AD117" s="46">
        <f t="shared" si="68"/>
        <v>52.889176820398845</v>
      </c>
      <c r="AE117" s="46">
        <f t="shared" si="68"/>
        <v>51.638648773467793</v>
      </c>
      <c r="AF117" s="46">
        <f t="shared" si="68"/>
        <v>52.860780379152061</v>
      </c>
      <c r="AG117" s="46">
        <f t="shared" si="68"/>
        <v>-880.2045739928775</v>
      </c>
      <c r="AH117" s="46">
        <f t="shared" si="68"/>
        <v>-913.64216701698797</v>
      </c>
      <c r="AI117" s="46">
        <f t="shared" si="68"/>
        <v>-963.04595610163426</v>
      </c>
      <c r="AJ117" s="46">
        <f t="shared" si="68"/>
        <v>-1238.3648284130077</v>
      </c>
      <c r="AK117" s="46">
        <f t="shared" si="68"/>
        <v>-1479.2612612612611</v>
      </c>
      <c r="AL117" s="46">
        <f t="shared" si="68"/>
        <v>-45535</v>
      </c>
      <c r="AM117" s="46">
        <f t="shared" si="68"/>
        <v>1726.9166666666665</v>
      </c>
      <c r="AN117" s="46">
        <f t="shared" si="68"/>
        <v>1333</v>
      </c>
      <c r="AO117" s="46">
        <f t="shared" si="68"/>
        <v>2282.75</v>
      </c>
      <c r="AP117" s="46">
        <f t="shared" si="68"/>
        <v>2986.25</v>
      </c>
      <c r="AQ117" s="46">
        <f t="shared" si="68"/>
        <v>41722.68698027893</v>
      </c>
      <c r="AR117" s="46">
        <f t="shared" si="68"/>
        <v>-5420.8079206195689</v>
      </c>
      <c r="AS117" s="46">
        <f t="shared" si="68"/>
        <v>42554.296334271654</v>
      </c>
      <c r="AT117" s="46">
        <f t="shared" si="68"/>
        <v>43878.619370257344</v>
      </c>
      <c r="AU117" s="46">
        <f t="shared" si="68"/>
        <v>46507.826210431529</v>
      </c>
      <c r="AV117" s="46" t="e">
        <f t="shared" si="68"/>
        <v>#VALUE!</v>
      </c>
      <c r="AW117" s="46" t="e">
        <f t="shared" si="68"/>
        <v>#VALUE!</v>
      </c>
      <c r="AX117" s="46" t="e">
        <f t="shared" si="68"/>
        <v>#VALUE!</v>
      </c>
      <c r="AY117" s="46" t="e">
        <f t="shared" si="68"/>
        <v>#VALUE!</v>
      </c>
      <c r="AZ117" s="46" t="e">
        <f t="shared" si="68"/>
        <v>#VALUE!</v>
      </c>
      <c r="BA117" s="46">
        <f t="shared" si="68"/>
        <v>-39774.801200996277</v>
      </c>
      <c r="BB117" s="46">
        <f t="shared" si="68"/>
        <v>-39202.911907687725</v>
      </c>
      <c r="BC117" s="46" t="e">
        <f t="shared" si="68"/>
        <v>#VALUE!</v>
      </c>
      <c r="BD117" s="46" t="e">
        <f t="shared" si="68"/>
        <v>#VALUE!</v>
      </c>
      <c r="BE117" s="46" t="e">
        <f t="shared" si="68"/>
        <v>#VALUE!</v>
      </c>
      <c r="BF117" s="46" t="e">
        <f t="shared" si="68"/>
        <v>#VALUE!</v>
      </c>
      <c r="BG117" s="46" t="e">
        <f t="shared" si="68"/>
        <v>#VALUE!</v>
      </c>
      <c r="BH117" s="46">
        <f t="shared" si="68"/>
        <v>11.644232298023558</v>
      </c>
      <c r="BI117" s="46">
        <f t="shared" si="68"/>
        <v>8.6078325827237432</v>
      </c>
      <c r="BJ117" s="46">
        <f t="shared" si="68"/>
        <v>8.3735507163196896</v>
      </c>
      <c r="BK117" s="46">
        <f t="shared" si="68"/>
        <v>7607.1991127617866</v>
      </c>
      <c r="BL117" s="46">
        <f t="shared" si="68"/>
        <v>7372.5050035003915</v>
      </c>
      <c r="BM117" s="46">
        <f t="shared" si="68"/>
        <v>7307.8430131204695</v>
      </c>
      <c r="BN117" s="46">
        <f t="shared" si="68"/>
        <v>7414.333037142349</v>
      </c>
      <c r="BO117" s="46">
        <f t="shared" ref="BO117:DZ117" si="69">BO105-BO114</f>
        <v>32.342485323112818</v>
      </c>
      <c r="BP117" s="46">
        <f t="shared" si="69"/>
        <v>32.596976150292917</v>
      </c>
      <c r="BQ117" s="46">
        <f t="shared" si="69"/>
        <v>32.835021913955373</v>
      </c>
      <c r="BR117" s="46">
        <f t="shared" si="69"/>
        <v>-8019.3466199838404</v>
      </c>
      <c r="BS117" s="46">
        <f t="shared" si="69"/>
        <v>-7906.4731521596432</v>
      </c>
      <c r="BT117" s="46">
        <f t="shared" si="69"/>
        <v>-7882.2455641338211</v>
      </c>
      <c r="BU117" s="46">
        <f t="shared" si="69"/>
        <v>-7867.1378603634375</v>
      </c>
      <c r="BV117" s="46">
        <f t="shared" si="69"/>
        <v>-22.103538586170529</v>
      </c>
      <c r="BW117" s="46">
        <f t="shared" si="69"/>
        <v>-22.709863537255295</v>
      </c>
      <c r="BX117" s="46">
        <f t="shared" si="69"/>
        <v>-25.117292836795759</v>
      </c>
      <c r="BY117" s="46">
        <f t="shared" si="69"/>
        <v>-25.718494789771363</v>
      </c>
      <c r="BZ117" s="46">
        <f t="shared" si="69"/>
        <v>7.322134333254863</v>
      </c>
      <c r="CA117" s="46">
        <f t="shared" si="69"/>
        <v>70.947761540360929</v>
      </c>
      <c r="CB117" s="46">
        <f t="shared" si="69"/>
        <v>67.730088653691837</v>
      </c>
      <c r="CC117" s="46">
        <f t="shared" si="69"/>
        <v>70.253772950110545</v>
      </c>
      <c r="CD117" s="46">
        <f t="shared" si="69"/>
        <v>62.954887628778096</v>
      </c>
      <c r="CE117" s="46">
        <f t="shared" si="69"/>
        <v>-11.455603668315522</v>
      </c>
      <c r="CF117" s="46">
        <f t="shared" si="69"/>
        <v>-8.7399740763480764</v>
      </c>
      <c r="CG117" s="46">
        <f t="shared" si="69"/>
        <v>-7.7987858531932339</v>
      </c>
      <c r="CH117" s="46">
        <f t="shared" si="69"/>
        <v>-76.818750706264382</v>
      </c>
      <c r="CI117" s="46">
        <f t="shared" si="69"/>
        <v>3593.509749303621</v>
      </c>
      <c r="CJ117" s="46">
        <f t="shared" si="69"/>
        <v>3524.7789904502047</v>
      </c>
      <c r="CK117" s="46" t="e">
        <f t="shared" si="69"/>
        <v>#VALUE!</v>
      </c>
      <c r="CL117" s="46">
        <f t="shared" si="69"/>
        <v>3085</v>
      </c>
      <c r="CM117" s="46">
        <f t="shared" si="69"/>
        <v>-663.3</v>
      </c>
      <c r="CN117" s="46">
        <f t="shared" si="69"/>
        <v>-635.6</v>
      </c>
      <c r="CO117" s="46">
        <f t="shared" si="69"/>
        <v>-662.2</v>
      </c>
      <c r="CP117" s="46">
        <f t="shared" si="69"/>
        <v>-605.9</v>
      </c>
      <c r="CQ117" s="46">
        <f t="shared" si="69"/>
        <v>132.00524547168266</v>
      </c>
      <c r="CR117" s="46">
        <f t="shared" si="69"/>
        <v>111.0295941142432</v>
      </c>
      <c r="CS117" s="46">
        <f t="shared" si="69"/>
        <v>159.62952646239555</v>
      </c>
      <c r="CT117" s="46">
        <f t="shared" si="69"/>
        <v>142.08079726557673</v>
      </c>
      <c r="CU117" s="46">
        <f t="shared" si="69"/>
        <v>-8.2617046770779243</v>
      </c>
      <c r="CV117" s="46">
        <f t="shared" si="69"/>
        <v>-0.20000000000000018</v>
      </c>
      <c r="CW117" s="46">
        <f t="shared" si="69"/>
        <v>-1</v>
      </c>
      <c r="CX117" s="46">
        <f t="shared" si="69"/>
        <v>0.39999999999999991</v>
      </c>
      <c r="CY117" s="46">
        <f t="shared" si="69"/>
        <v>231.6</v>
      </c>
      <c r="CZ117" s="46">
        <f t="shared" si="69"/>
        <v>209</v>
      </c>
      <c r="DA117" s="46">
        <f t="shared" si="69"/>
        <v>254.21338155515372</v>
      </c>
      <c r="DB117" s="46">
        <f t="shared" si="69"/>
        <v>242.61371841155236</v>
      </c>
      <c r="DC117" s="46">
        <f t="shared" si="69"/>
        <v>-3.4564102564102575</v>
      </c>
      <c r="DD117" s="46">
        <f t="shared" si="69"/>
        <v>-4.4634551495016606</v>
      </c>
      <c r="DE117" s="46">
        <f t="shared" si="69"/>
        <v>-2.1300000000000008</v>
      </c>
      <c r="DF117" s="46">
        <f t="shared" si="69"/>
        <v>-77.137349397590356</v>
      </c>
      <c r="DG117" s="46">
        <f t="shared" si="69"/>
        <v>-0.83731343283581339</v>
      </c>
      <c r="DH117" s="46">
        <f t="shared" si="69"/>
        <v>-2.7399999999999949</v>
      </c>
      <c r="DI117" s="46">
        <f t="shared" si="69"/>
        <v>3.230303030303034</v>
      </c>
      <c r="DJ117" s="46">
        <f t="shared" si="69"/>
        <v>1.8100000000000023</v>
      </c>
      <c r="DK117" s="46">
        <f t="shared" si="69"/>
        <v>-18.893118594436309</v>
      </c>
      <c r="DL117" s="46">
        <f t="shared" si="69"/>
        <v>-21.240236686390531</v>
      </c>
      <c r="DM117" s="46">
        <f t="shared" si="69"/>
        <v>-22.061728395061728</v>
      </c>
      <c r="DN117" s="46">
        <f t="shared" si="69"/>
        <v>-18.718184461365585</v>
      </c>
      <c r="DO117" s="46">
        <f t="shared" si="69"/>
        <v>-3.3217179902755269</v>
      </c>
      <c r="DP117" s="46">
        <f t="shared" si="69"/>
        <v>-1.3931185944363094</v>
      </c>
      <c r="DQ117" s="46">
        <f t="shared" si="69"/>
        <v>2.7597633136094686</v>
      </c>
      <c r="DR117" s="46">
        <f t="shared" si="69"/>
        <v>6.6382716049382751</v>
      </c>
      <c r="DS117" s="46">
        <f t="shared" si="69"/>
        <v>9.1070241021555489</v>
      </c>
      <c r="DT117" s="46">
        <f t="shared" si="69"/>
        <v>6.010955302366348</v>
      </c>
      <c r="DU117" s="46">
        <f t="shared" si="69"/>
        <v>39.949586085015348</v>
      </c>
      <c r="DV117" s="46">
        <f t="shared" si="69"/>
        <v>34.468085106382979</v>
      </c>
      <c r="DW117" s="46">
        <f t="shared" si="69"/>
        <v>653</v>
      </c>
      <c r="DX117" s="46">
        <f t="shared" si="69"/>
        <v>61</v>
      </c>
      <c r="DY117" s="46">
        <f t="shared" si="69"/>
        <v>-1</v>
      </c>
      <c r="DZ117" s="46">
        <f t="shared" si="69"/>
        <v>-84.233038348082601</v>
      </c>
      <c r="EA117" s="46">
        <f t="shared" ref="EA117:GL117" si="70">EA105-EA114</f>
        <v>129.93510324483776</v>
      </c>
      <c r="EB117" s="46">
        <f t="shared" si="70"/>
        <v>39.115044247787608</v>
      </c>
      <c r="EC117" s="46">
        <f t="shared" si="70"/>
        <v>9.5250737463126853</v>
      </c>
      <c r="ED117" s="46">
        <f t="shared" si="70"/>
        <v>6.7685459940652821</v>
      </c>
      <c r="EE117" s="46">
        <f t="shared" si="70"/>
        <v>-65.844911147011302</v>
      </c>
      <c r="EF117" s="46">
        <f t="shared" si="70"/>
        <v>2916.9305331179321</v>
      </c>
      <c r="EG117" s="46">
        <f t="shared" si="70"/>
        <v>2910.1922455573504</v>
      </c>
      <c r="EH117" s="46">
        <f t="shared" si="70"/>
        <v>2788.2843295638127</v>
      </c>
      <c r="EI117" s="46">
        <f t="shared" si="70"/>
        <v>2891.3030794165315</v>
      </c>
      <c r="EJ117" s="46">
        <f t="shared" si="70"/>
        <v>581.35897435897436</v>
      </c>
      <c r="EK117" s="46">
        <f t="shared" si="70"/>
        <v>-22.4375</v>
      </c>
      <c r="EL117" s="46">
        <f t="shared" si="70"/>
        <v>-503</v>
      </c>
      <c r="EM117" s="46">
        <f t="shared" si="70"/>
        <v>-540</v>
      </c>
      <c r="EN117" s="46">
        <f t="shared" si="70"/>
        <v>-557</v>
      </c>
      <c r="EO117" s="46">
        <f t="shared" si="70"/>
        <v>477.04934541792545</v>
      </c>
      <c r="EP117" s="46">
        <f t="shared" si="70"/>
        <v>512.5266498205649</v>
      </c>
      <c r="EQ117" s="46">
        <f t="shared" si="70"/>
        <v>-66.614462433395033</v>
      </c>
      <c r="ER117" s="46">
        <f t="shared" si="70"/>
        <v>-115.64295761526637</v>
      </c>
      <c r="ES117" s="46">
        <f t="shared" si="70"/>
        <v>-389.22640049520282</v>
      </c>
      <c r="ET117" s="46">
        <f t="shared" si="70"/>
        <v>-344.79843923732642</v>
      </c>
      <c r="EU117" s="46">
        <f t="shared" si="70"/>
        <v>-302.84878779406472</v>
      </c>
      <c r="EV117" s="46">
        <f t="shared" si="70"/>
        <v>39.335653009999987</v>
      </c>
      <c r="EW117" s="46">
        <f t="shared" si="70"/>
        <v>284.16160673954221</v>
      </c>
      <c r="EX117" s="46">
        <f t="shared" si="70"/>
        <v>196.23150811941161</v>
      </c>
      <c r="EY117" s="46">
        <f t="shared" si="70"/>
        <v>121.32381315469195</v>
      </c>
      <c r="EZ117" s="46">
        <f t="shared" si="70"/>
        <v>196.53822959795446</v>
      </c>
      <c r="FA117" s="46">
        <f t="shared" si="70"/>
        <v>529.95811632381947</v>
      </c>
      <c r="FB117" s="46">
        <f t="shared" si="70"/>
        <v>488.28472371256544</v>
      </c>
      <c r="FC117" s="46">
        <f t="shared" si="70"/>
        <v>456.56709870178179</v>
      </c>
      <c r="FD117" s="46">
        <f t="shared" si="70"/>
        <v>450.96533306662309</v>
      </c>
      <c r="FE117" s="46">
        <f t="shared" si="70"/>
        <v>529</v>
      </c>
      <c r="FF117" s="46">
        <f t="shared" si="70"/>
        <v>541</v>
      </c>
      <c r="FG117" s="46">
        <f t="shared" si="70"/>
        <v>486</v>
      </c>
      <c r="FH117" s="46">
        <f t="shared" si="70"/>
        <v>523</v>
      </c>
      <c r="FI117" s="46">
        <f t="shared" si="70"/>
        <v>45.610099999999989</v>
      </c>
      <c r="FJ117" s="46">
        <f t="shared" si="70"/>
        <v>71.451899999999995</v>
      </c>
      <c r="FK117" s="46">
        <f t="shared" si="70"/>
        <v>128.80609999999999</v>
      </c>
      <c r="FL117" s="46">
        <f t="shared" si="70"/>
        <v>123.47300000000001</v>
      </c>
      <c r="FM117" s="46">
        <f t="shared" si="70"/>
        <v>824</v>
      </c>
      <c r="FN117" s="46">
        <f t="shared" si="70"/>
        <v>726</v>
      </c>
      <c r="FO117" s="46">
        <f t="shared" si="70"/>
        <v>583</v>
      </c>
      <c r="FP117" s="46">
        <f t="shared" si="70"/>
        <v>568</v>
      </c>
      <c r="FQ117" s="46">
        <f t="shared" si="70"/>
        <v>196.7782</v>
      </c>
      <c r="FR117" s="46">
        <f t="shared" si="70"/>
        <v>161.0059</v>
      </c>
      <c r="FS117" s="46">
        <f t="shared" si="70"/>
        <v>123.5146</v>
      </c>
      <c r="FT117" s="46">
        <f t="shared" si="70"/>
        <v>114.00649999999999</v>
      </c>
      <c r="FU117" s="46">
        <f t="shared" si="70"/>
        <v>159.55859743000002</v>
      </c>
      <c r="FV117" s="46">
        <f t="shared" si="70"/>
        <v>96.793043549999993</v>
      </c>
      <c r="FW117" s="46">
        <f t="shared" si="70"/>
        <v>89.988948039999997</v>
      </c>
      <c r="FX117" s="46">
        <f t="shared" si="70"/>
        <v>21.026860770000013</v>
      </c>
      <c r="FY117" s="46">
        <f t="shared" si="70"/>
        <v>-49.770751574619865</v>
      </c>
      <c r="FZ117" s="46">
        <f t="shared" si="70"/>
        <v>-105.72767864000001</v>
      </c>
      <c r="GA117" s="46">
        <f t="shared" si="70"/>
        <v>-135.11214952</v>
      </c>
      <c r="GB117" s="46">
        <f t="shared" si="70"/>
        <v>-151.69122518999998</v>
      </c>
      <c r="GC117" s="59">
        <f t="shared" si="70"/>
        <v>-43.710158940000014</v>
      </c>
      <c r="GD117" s="59">
        <f t="shared" si="70"/>
        <v>-14.704653269141005</v>
      </c>
      <c r="GE117" s="59">
        <f t="shared" si="70"/>
        <v>130.57528184</v>
      </c>
      <c r="GF117" s="59">
        <f t="shared" si="70"/>
        <v>97.781155210000009</v>
      </c>
      <c r="GG117" s="59">
        <f t="shared" si="70"/>
        <v>-3.4326325200000056</v>
      </c>
      <c r="GH117" s="59">
        <f t="shared" si="70"/>
        <v>0.34983463999999742</v>
      </c>
      <c r="GI117" s="59">
        <f t="shared" si="70"/>
        <v>6.484166702682451</v>
      </c>
      <c r="GJ117" s="59">
        <f t="shared" si="70"/>
        <v>-10.10280873</v>
      </c>
      <c r="GK117" s="59">
        <f t="shared" si="70"/>
        <v>-44.901312009999998</v>
      </c>
      <c r="GL117" s="59">
        <f t="shared" si="70"/>
        <v>-49.84251733</v>
      </c>
      <c r="GM117" s="59">
        <f t="shared" ref="GM117:HU117" si="71">GM105-GM114</f>
        <v>-34.745445359999998</v>
      </c>
      <c r="GN117" s="59" t="e">
        <f t="shared" si="71"/>
        <v>#VALUE!</v>
      </c>
      <c r="GO117" s="59">
        <f t="shared" si="71"/>
        <v>-773.53033072999995</v>
      </c>
      <c r="GP117" s="59">
        <f t="shared" si="71"/>
        <v>-801.86367928000004</v>
      </c>
      <c r="GQ117" s="59">
        <f t="shared" si="71"/>
        <v>-790.25701804000005</v>
      </c>
      <c r="GR117" s="59">
        <f t="shared" si="71"/>
        <v>-877.45789361000004</v>
      </c>
      <c r="GS117" s="59">
        <f t="shared" si="71"/>
        <v>-753.96155853309665</v>
      </c>
      <c r="GT117" s="59">
        <f t="shared" si="71"/>
        <v>-544.72222947</v>
      </c>
      <c r="GU117" s="59">
        <f t="shared" si="71"/>
        <v>-599.22678859999996</v>
      </c>
      <c r="GV117" s="59">
        <f t="shared" si="71"/>
        <v>-631.15807219999897</v>
      </c>
      <c r="GW117" s="59">
        <f t="shared" si="71"/>
        <v>-535.34951976000002</v>
      </c>
      <c r="GX117" s="59">
        <f t="shared" si="71"/>
        <v>-515.267057257754</v>
      </c>
      <c r="GY117" s="59">
        <f t="shared" si="71"/>
        <v>-494</v>
      </c>
      <c r="GZ117" s="59">
        <f t="shared" si="71"/>
        <v>-3</v>
      </c>
      <c r="HA117" s="59">
        <f t="shared" si="71"/>
        <v>0</v>
      </c>
      <c r="HB117" s="59">
        <f t="shared" si="71"/>
        <v>-6</v>
      </c>
      <c r="HC117" s="59">
        <f t="shared" si="71"/>
        <v>-2</v>
      </c>
      <c r="HD117" s="59">
        <f t="shared" si="71"/>
        <v>-489</v>
      </c>
      <c r="HE117" s="59">
        <f t="shared" si="71"/>
        <v>-1</v>
      </c>
      <c r="HF117" s="59">
        <f t="shared" si="71"/>
        <v>-1</v>
      </c>
      <c r="HG117" s="59">
        <f t="shared" si="71"/>
        <v>0</v>
      </c>
      <c r="HH117" s="59">
        <f t="shared" si="71"/>
        <v>-1</v>
      </c>
      <c r="HI117" s="59">
        <f t="shared" si="71"/>
        <v>-25.201778949102291</v>
      </c>
      <c r="HJ117" s="59">
        <f t="shared" si="71"/>
        <v>-25.139664804469273</v>
      </c>
      <c r="HK117" s="59">
        <f t="shared" si="71"/>
        <v>-23.17320703653586</v>
      </c>
      <c r="HL117" s="59">
        <f t="shared" si="71"/>
        <v>-25</v>
      </c>
      <c r="HM117" s="59">
        <f t="shared" si="71"/>
        <v>-36</v>
      </c>
      <c r="HN117" s="59">
        <f t="shared" si="71"/>
        <v>-25</v>
      </c>
      <c r="HO117" s="59">
        <f t="shared" si="71"/>
        <v>-29</v>
      </c>
      <c r="HP117" s="59">
        <f t="shared" si="71"/>
        <v>-36</v>
      </c>
      <c r="HQ117" s="59">
        <f t="shared" si="71"/>
        <v>-32</v>
      </c>
      <c r="HR117" s="59">
        <f t="shared" si="71"/>
        <v>-52</v>
      </c>
      <c r="HS117" s="59">
        <f t="shared" si="71"/>
        <v>-56</v>
      </c>
      <c r="HT117" s="59">
        <f t="shared" si="71"/>
        <v>-66</v>
      </c>
      <c r="HU117" s="59">
        <f t="shared" si="71"/>
        <v>-53</v>
      </c>
    </row>
    <row r="118" spans="1:230" x14ac:dyDescent="0.2">
      <c r="HI118" s="62"/>
      <c r="HJ118" s="62"/>
      <c r="HK118" s="62"/>
      <c r="HL118" s="62"/>
    </row>
    <row r="119" spans="1:230" x14ac:dyDescent="0.2">
      <c r="HI119" s="62"/>
      <c r="HJ119" s="62"/>
      <c r="HK119" s="62"/>
      <c r="HL119" s="62"/>
    </row>
    <row r="120" spans="1:230" x14ac:dyDescent="0.2">
      <c r="HI120" s="62"/>
      <c r="HJ120" s="62"/>
      <c r="HK120" s="62"/>
      <c r="HL120" s="62"/>
    </row>
    <row r="121" spans="1:230" x14ac:dyDescent="0.2">
      <c r="HI121" s="62"/>
      <c r="HJ121" s="62"/>
      <c r="HK121" s="62"/>
      <c r="HL121" s="62"/>
    </row>
    <row r="122" spans="1:230" x14ac:dyDescent="0.2">
      <c r="HI122" s="62"/>
      <c r="HJ122" s="62"/>
      <c r="HK122" s="62"/>
      <c r="HL122" s="62"/>
    </row>
    <row r="123" spans="1:230" x14ac:dyDescent="0.2">
      <c r="HI123" s="62"/>
      <c r="HJ123" s="62"/>
      <c r="HK123" s="62"/>
      <c r="HL123" s="62"/>
    </row>
    <row r="124" spans="1:230" x14ac:dyDescent="0.2">
      <c r="HI124" s="62"/>
      <c r="HJ124" s="62"/>
      <c r="HK124" s="62"/>
      <c r="HL124" s="62"/>
    </row>
    <row r="125" spans="1:230" x14ac:dyDescent="0.2">
      <c r="HI125" s="62"/>
      <c r="HJ125" s="62"/>
      <c r="HK125" s="62"/>
      <c r="HL125" s="62"/>
    </row>
    <row r="126" spans="1:230" x14ac:dyDescent="0.2">
      <c r="HI126" s="62"/>
      <c r="HJ126" s="62"/>
      <c r="HK126" s="62"/>
      <c r="HL126" s="62"/>
    </row>
    <row r="127" spans="1:230" x14ac:dyDescent="0.2">
      <c r="A127" s="36">
        <v>1</v>
      </c>
      <c r="B127" s="36">
        <v>2</v>
      </c>
      <c r="D127" s="73">
        <v>3</v>
      </c>
      <c r="E127" s="82">
        <v>4</v>
      </c>
      <c r="F127" s="82">
        <v>5</v>
      </c>
      <c r="G127" s="82">
        <v>6</v>
      </c>
      <c r="H127" s="41">
        <v>7</v>
      </c>
      <c r="I127" s="40">
        <v>8</v>
      </c>
      <c r="J127" s="40">
        <v>9</v>
      </c>
      <c r="K127" s="40">
        <v>10</v>
      </c>
      <c r="L127" s="41">
        <v>11</v>
      </c>
      <c r="M127" s="41">
        <v>12</v>
      </c>
      <c r="N127" s="41">
        <v>13</v>
      </c>
      <c r="O127" s="41">
        <v>14</v>
      </c>
      <c r="P127" s="40">
        <v>15</v>
      </c>
      <c r="Q127" s="40">
        <v>16</v>
      </c>
      <c r="R127" s="40">
        <v>17</v>
      </c>
      <c r="S127" s="41">
        <v>18</v>
      </c>
      <c r="T127" s="41">
        <v>19</v>
      </c>
      <c r="U127" s="41">
        <v>20</v>
      </c>
      <c r="V127" s="41">
        <v>21</v>
      </c>
      <c r="W127" s="40">
        <v>22</v>
      </c>
      <c r="X127" s="40">
        <v>23</v>
      </c>
      <c r="Y127" s="40">
        <v>24</v>
      </c>
      <c r="Z127" s="41">
        <v>25</v>
      </c>
      <c r="AA127" s="41">
        <v>26</v>
      </c>
      <c r="AB127" s="41">
        <v>27</v>
      </c>
      <c r="AC127" s="41">
        <v>28</v>
      </c>
      <c r="AD127" s="40">
        <v>29</v>
      </c>
      <c r="AE127" s="40">
        <v>30</v>
      </c>
      <c r="AF127" s="40">
        <v>31</v>
      </c>
      <c r="AG127" s="41">
        <v>32</v>
      </c>
      <c r="AH127" s="41">
        <v>33</v>
      </c>
      <c r="AI127" s="41">
        <v>34</v>
      </c>
      <c r="AJ127" s="41">
        <v>35</v>
      </c>
      <c r="AK127" s="40">
        <v>36</v>
      </c>
      <c r="AL127" s="40">
        <v>37</v>
      </c>
      <c r="AM127" s="40">
        <v>38</v>
      </c>
      <c r="AN127" s="41">
        <v>39</v>
      </c>
      <c r="AO127" s="41">
        <v>40</v>
      </c>
      <c r="AP127" s="41">
        <v>41</v>
      </c>
      <c r="AQ127" s="41">
        <v>42</v>
      </c>
      <c r="AR127" s="40">
        <v>43</v>
      </c>
      <c r="AS127" s="40">
        <v>44</v>
      </c>
      <c r="AT127" s="40">
        <v>45</v>
      </c>
      <c r="AU127" s="41">
        <v>46</v>
      </c>
      <c r="AV127" s="41">
        <v>47</v>
      </c>
      <c r="AW127" s="41">
        <v>48</v>
      </c>
      <c r="AX127" s="41">
        <v>49</v>
      </c>
      <c r="AY127" s="40">
        <v>50</v>
      </c>
      <c r="AZ127" s="40">
        <v>51</v>
      </c>
      <c r="BA127" s="40">
        <v>52</v>
      </c>
      <c r="BB127" s="41">
        <v>53</v>
      </c>
      <c r="BC127" s="41">
        <v>54</v>
      </c>
      <c r="BD127" s="41">
        <v>55</v>
      </c>
      <c r="BE127" s="41">
        <v>56</v>
      </c>
      <c r="BF127" s="40">
        <v>57</v>
      </c>
      <c r="BG127" s="40">
        <v>58</v>
      </c>
      <c r="BH127" s="40">
        <v>59</v>
      </c>
      <c r="BI127" s="41">
        <v>60</v>
      </c>
      <c r="BJ127" s="41">
        <v>61</v>
      </c>
      <c r="BK127" s="41">
        <v>62</v>
      </c>
      <c r="BL127" s="41">
        <v>63</v>
      </c>
      <c r="BM127" s="40">
        <v>64</v>
      </c>
      <c r="BN127" s="40">
        <v>65</v>
      </c>
      <c r="BO127" s="40">
        <v>66</v>
      </c>
      <c r="BP127" s="41">
        <v>67</v>
      </c>
      <c r="BQ127" s="41">
        <v>68</v>
      </c>
      <c r="BR127" s="41">
        <v>69</v>
      </c>
      <c r="BS127" s="41">
        <v>70</v>
      </c>
      <c r="BT127" s="40">
        <v>71</v>
      </c>
      <c r="BU127" s="40">
        <v>72</v>
      </c>
      <c r="BV127" s="40">
        <v>73</v>
      </c>
      <c r="BW127" s="41">
        <v>74</v>
      </c>
      <c r="BX127" s="41">
        <v>75</v>
      </c>
      <c r="BY127" s="41">
        <v>76</v>
      </c>
      <c r="BZ127" s="41">
        <v>77</v>
      </c>
      <c r="CA127" s="40">
        <v>78</v>
      </c>
      <c r="CB127" s="40">
        <v>79</v>
      </c>
      <c r="CC127" s="40">
        <v>80</v>
      </c>
      <c r="CD127" s="41">
        <v>81</v>
      </c>
      <c r="CE127" s="41">
        <v>82</v>
      </c>
      <c r="CF127" s="41">
        <v>83</v>
      </c>
      <c r="CG127" s="41">
        <v>84</v>
      </c>
      <c r="CH127" s="40">
        <v>85</v>
      </c>
      <c r="CI127" s="40">
        <v>86</v>
      </c>
      <c r="CJ127" s="40">
        <v>87</v>
      </c>
      <c r="CK127" s="41">
        <v>88</v>
      </c>
      <c r="CL127" s="41">
        <v>89</v>
      </c>
      <c r="CM127" s="41">
        <v>90</v>
      </c>
      <c r="CN127" s="41">
        <v>91</v>
      </c>
      <c r="CO127" s="40">
        <v>92</v>
      </c>
      <c r="CP127" s="40">
        <v>93</v>
      </c>
      <c r="CQ127" s="40">
        <v>94</v>
      </c>
      <c r="CR127" s="41">
        <v>95</v>
      </c>
      <c r="CS127" s="41">
        <v>96</v>
      </c>
      <c r="CT127" s="41">
        <v>97</v>
      </c>
      <c r="CU127" s="41">
        <v>98</v>
      </c>
      <c r="CV127" s="40">
        <v>99</v>
      </c>
      <c r="CW127" s="40">
        <v>100</v>
      </c>
      <c r="CX127" s="40">
        <v>101</v>
      </c>
      <c r="CY127" s="41">
        <v>102</v>
      </c>
      <c r="CZ127" s="41">
        <v>103</v>
      </c>
      <c r="DA127" s="41">
        <v>104</v>
      </c>
      <c r="DB127" s="41">
        <v>105</v>
      </c>
      <c r="DC127" s="40">
        <v>106</v>
      </c>
      <c r="DD127" s="40">
        <v>107</v>
      </c>
      <c r="DE127" s="40">
        <v>108</v>
      </c>
      <c r="DF127" s="41">
        <v>109</v>
      </c>
      <c r="DG127" s="41">
        <v>110</v>
      </c>
      <c r="DH127" s="41">
        <v>111</v>
      </c>
      <c r="DI127" s="41">
        <v>112</v>
      </c>
      <c r="DJ127" s="40">
        <v>113</v>
      </c>
      <c r="DK127" s="40">
        <v>114</v>
      </c>
      <c r="DL127" s="40">
        <v>115</v>
      </c>
      <c r="DM127" s="41">
        <v>116</v>
      </c>
      <c r="DN127" s="41">
        <v>117</v>
      </c>
      <c r="DO127" s="41">
        <v>118</v>
      </c>
      <c r="DP127" s="41">
        <v>119</v>
      </c>
      <c r="DQ127" s="40">
        <v>120</v>
      </c>
      <c r="DR127" s="40">
        <v>121</v>
      </c>
      <c r="DS127" s="40">
        <v>122</v>
      </c>
      <c r="DT127" s="41">
        <v>123</v>
      </c>
      <c r="DU127" s="41">
        <v>124</v>
      </c>
      <c r="DV127" s="41">
        <v>125</v>
      </c>
      <c r="DW127" s="41">
        <v>126</v>
      </c>
      <c r="DX127" s="40">
        <v>127</v>
      </c>
      <c r="DY127" s="40">
        <v>128</v>
      </c>
      <c r="DZ127" s="40">
        <v>129</v>
      </c>
      <c r="EA127" s="41">
        <v>130</v>
      </c>
      <c r="EB127" s="41">
        <v>131</v>
      </c>
      <c r="EC127" s="41">
        <v>132</v>
      </c>
      <c r="ED127" s="41">
        <v>133</v>
      </c>
      <c r="EE127" s="40">
        <v>134</v>
      </c>
      <c r="EF127" s="40">
        <v>135</v>
      </c>
      <c r="EG127" s="40">
        <v>136</v>
      </c>
      <c r="EH127" s="41">
        <v>137</v>
      </c>
      <c r="EI127" s="41">
        <v>138</v>
      </c>
      <c r="EJ127" s="41">
        <v>139</v>
      </c>
      <c r="EK127" s="41">
        <v>140</v>
      </c>
      <c r="EL127" s="40">
        <v>141</v>
      </c>
      <c r="EM127" s="40">
        <v>142</v>
      </c>
      <c r="EN127" s="40">
        <v>143</v>
      </c>
      <c r="EO127" s="41">
        <v>144</v>
      </c>
      <c r="EP127" s="41">
        <v>145</v>
      </c>
      <c r="EQ127" s="41">
        <v>146</v>
      </c>
      <c r="ER127" s="41">
        <v>147</v>
      </c>
      <c r="ES127" s="40">
        <v>148</v>
      </c>
      <c r="ET127" s="40">
        <v>149</v>
      </c>
      <c r="EU127" s="40">
        <v>150</v>
      </c>
      <c r="EV127" s="41">
        <v>151</v>
      </c>
      <c r="EW127" s="41">
        <v>152</v>
      </c>
      <c r="EX127" s="41">
        <v>153</v>
      </c>
      <c r="EY127" s="41">
        <v>154</v>
      </c>
      <c r="EZ127" s="40">
        <v>155</v>
      </c>
      <c r="FA127" s="40">
        <v>156</v>
      </c>
      <c r="FB127" s="40">
        <v>157</v>
      </c>
      <c r="FC127" s="41">
        <v>158</v>
      </c>
      <c r="FD127" s="41">
        <v>159</v>
      </c>
      <c r="FE127" s="41">
        <v>160</v>
      </c>
      <c r="FF127" s="41">
        <v>161</v>
      </c>
      <c r="FG127" s="40">
        <v>162</v>
      </c>
      <c r="FH127" s="40">
        <v>163</v>
      </c>
      <c r="FI127" s="40">
        <v>164</v>
      </c>
      <c r="FJ127" s="41">
        <v>165</v>
      </c>
      <c r="FK127" s="41">
        <v>166</v>
      </c>
      <c r="FL127" s="41">
        <v>167</v>
      </c>
      <c r="FM127" s="41">
        <v>168</v>
      </c>
      <c r="FN127" s="40">
        <v>169</v>
      </c>
      <c r="FO127" s="40">
        <v>170</v>
      </c>
      <c r="FP127" s="40">
        <v>171</v>
      </c>
      <c r="FQ127" s="41">
        <v>172</v>
      </c>
      <c r="FR127" s="41">
        <v>173</v>
      </c>
      <c r="FS127" s="41">
        <v>174</v>
      </c>
      <c r="FT127" s="41">
        <v>175</v>
      </c>
      <c r="FU127" s="40">
        <v>176</v>
      </c>
      <c r="FV127" s="40">
        <v>177</v>
      </c>
      <c r="FW127" s="40">
        <v>178</v>
      </c>
      <c r="FX127" s="41">
        <v>179</v>
      </c>
      <c r="FY127" s="41">
        <v>180</v>
      </c>
      <c r="FZ127" s="41">
        <v>181</v>
      </c>
      <c r="GA127" s="41">
        <v>182</v>
      </c>
      <c r="GB127" s="40">
        <v>183</v>
      </c>
      <c r="GC127" s="36">
        <v>184</v>
      </c>
      <c r="GD127" s="36">
        <v>185</v>
      </c>
      <c r="GE127" s="68">
        <v>186</v>
      </c>
      <c r="GF127" s="68">
        <v>187</v>
      </c>
      <c r="GG127" s="68">
        <v>188</v>
      </c>
      <c r="GH127" s="68">
        <v>189</v>
      </c>
      <c r="GI127" s="36">
        <v>190</v>
      </c>
      <c r="GJ127" s="36">
        <v>191</v>
      </c>
      <c r="GK127" s="36">
        <v>192</v>
      </c>
      <c r="GL127" s="68">
        <v>193</v>
      </c>
      <c r="GM127" s="68">
        <v>194</v>
      </c>
      <c r="GN127" s="68">
        <v>195</v>
      </c>
      <c r="GO127" s="68">
        <v>196</v>
      </c>
      <c r="GP127" s="36">
        <v>197</v>
      </c>
      <c r="GQ127" s="36">
        <v>198</v>
      </c>
      <c r="GR127" s="36">
        <v>199</v>
      </c>
      <c r="GS127" s="68">
        <v>200</v>
      </c>
      <c r="GT127" s="68">
        <v>201</v>
      </c>
      <c r="GU127" s="68">
        <v>202</v>
      </c>
      <c r="GV127" s="68">
        <v>203</v>
      </c>
      <c r="GW127" s="36">
        <v>204</v>
      </c>
      <c r="GX127" s="36">
        <v>205</v>
      </c>
      <c r="GY127" s="36">
        <v>206</v>
      </c>
      <c r="GZ127" s="68">
        <v>207</v>
      </c>
      <c r="HA127" s="68">
        <v>208</v>
      </c>
      <c r="HB127" s="68">
        <v>209</v>
      </c>
      <c r="HC127" s="68">
        <v>210</v>
      </c>
      <c r="HD127" s="36">
        <v>211</v>
      </c>
      <c r="HE127" s="36">
        <v>212</v>
      </c>
      <c r="HF127" s="36">
        <v>213</v>
      </c>
      <c r="HG127" s="68">
        <v>214</v>
      </c>
      <c r="HH127" s="68">
        <v>215</v>
      </c>
      <c r="HI127" s="62"/>
      <c r="HJ127" s="62"/>
      <c r="HK127" s="62"/>
      <c r="HL127" s="62"/>
      <c r="HM127" s="68">
        <v>220</v>
      </c>
      <c r="HN127" s="68">
        <v>221</v>
      </c>
      <c r="HO127" s="68">
        <v>222</v>
      </c>
      <c r="HP127" s="68">
        <v>223</v>
      </c>
      <c r="HQ127" s="68">
        <v>224</v>
      </c>
      <c r="HR127" s="68">
        <v>225</v>
      </c>
      <c r="HS127" s="68">
        <v>226</v>
      </c>
      <c r="HT127" s="68">
        <v>227</v>
      </c>
      <c r="HU127" s="68">
        <v>228</v>
      </c>
    </row>
    <row r="128" spans="1:230" x14ac:dyDescent="0.2">
      <c r="HI128" s="62"/>
      <c r="HJ128" s="62"/>
      <c r="HK128" s="62"/>
      <c r="HL128" s="62"/>
    </row>
    <row r="129" spans="217:220" x14ac:dyDescent="0.2">
      <c r="HI129" s="62"/>
      <c r="HJ129" s="62"/>
      <c r="HK129" s="62"/>
      <c r="HL129" s="62"/>
    </row>
    <row r="130" spans="217:220" x14ac:dyDescent="0.2">
      <c r="HI130" s="62"/>
      <c r="HJ130" s="62"/>
      <c r="HK130" s="62"/>
      <c r="HL130" s="62"/>
    </row>
    <row r="131" spans="217:220" x14ac:dyDescent="0.2">
      <c r="HI131" s="62"/>
      <c r="HJ131" s="62"/>
      <c r="HK131" s="62"/>
      <c r="HL131" s="62"/>
    </row>
    <row r="132" spans="217:220" x14ac:dyDescent="0.2">
      <c r="HI132" s="62"/>
      <c r="HJ132" s="62"/>
      <c r="HK132" s="62"/>
      <c r="HL132" s="62"/>
    </row>
    <row r="133" spans="217:220" x14ac:dyDescent="0.2">
      <c r="HI133" s="62"/>
      <c r="HJ133" s="62"/>
      <c r="HK133" s="62"/>
      <c r="HL133" s="62"/>
    </row>
    <row r="134" spans="217:220" x14ac:dyDescent="0.2">
      <c r="HI134" s="62"/>
      <c r="HJ134" s="62"/>
      <c r="HK134" s="62"/>
      <c r="HL134" s="62"/>
    </row>
    <row r="135" spans="217:220" x14ac:dyDescent="0.2">
      <c r="HI135" s="62"/>
      <c r="HJ135" s="62"/>
      <c r="HK135" s="62"/>
      <c r="HL135" s="62"/>
    </row>
    <row r="136" spans="217:220" x14ac:dyDescent="0.2">
      <c r="HI136" s="62"/>
      <c r="HJ136" s="62"/>
      <c r="HK136" s="62"/>
      <c r="HL136" s="62"/>
    </row>
    <row r="137" spans="217:220" x14ac:dyDescent="0.2">
      <c r="HI137" s="62"/>
      <c r="HJ137" s="62"/>
      <c r="HK137" s="62"/>
      <c r="HL137" s="62"/>
    </row>
    <row r="138" spans="217:220" x14ac:dyDescent="0.2">
      <c r="HI138" s="62"/>
      <c r="HJ138" s="62"/>
      <c r="HK138" s="62"/>
      <c r="HL138" s="62"/>
    </row>
    <row r="139" spans="217:220" x14ac:dyDescent="0.2">
      <c r="HI139" s="62"/>
      <c r="HJ139" s="62"/>
      <c r="HK139" s="62"/>
      <c r="HL139" s="62"/>
    </row>
    <row r="140" spans="217:220" x14ac:dyDescent="0.2">
      <c r="HI140" s="62"/>
      <c r="HJ140" s="62"/>
      <c r="HK140" s="62"/>
      <c r="HL140" s="62"/>
    </row>
    <row r="141" spans="217:220" x14ac:dyDescent="0.2">
      <c r="HI141" s="62"/>
      <c r="HJ141" s="62"/>
      <c r="HK141" s="62"/>
      <c r="HL141" s="62"/>
    </row>
    <row r="142" spans="217:220" x14ac:dyDescent="0.2">
      <c r="HI142" s="62"/>
      <c r="HJ142" s="62"/>
      <c r="HK142" s="62"/>
      <c r="HL142" s="62"/>
    </row>
    <row r="143" spans="217:220" x14ac:dyDescent="0.2">
      <c r="HI143" s="62"/>
      <c r="HJ143" s="62"/>
      <c r="HK143" s="62"/>
      <c r="HL143" s="62"/>
    </row>
    <row r="144" spans="217:220" x14ac:dyDescent="0.2">
      <c r="HI144" s="62"/>
      <c r="HJ144" s="62"/>
      <c r="HK144" s="62"/>
      <c r="HL144" s="62"/>
    </row>
    <row r="145" spans="217:220" x14ac:dyDescent="0.2">
      <c r="HI145" s="62"/>
      <c r="HJ145" s="62"/>
      <c r="HK145" s="62"/>
      <c r="HL145" s="62"/>
    </row>
    <row r="146" spans="217:220" x14ac:dyDescent="0.2">
      <c r="HI146" s="62"/>
      <c r="HJ146" s="62"/>
      <c r="HK146" s="62"/>
      <c r="HL146" s="62"/>
    </row>
    <row r="147" spans="217:220" x14ac:dyDescent="0.2">
      <c r="HI147" s="62"/>
      <c r="HJ147" s="62"/>
      <c r="HK147" s="62"/>
      <c r="HL147" s="62"/>
    </row>
    <row r="148" spans="217:220" x14ac:dyDescent="0.2">
      <c r="HI148" s="62"/>
      <c r="HJ148" s="62"/>
      <c r="HK148" s="62"/>
      <c r="HL148" s="62"/>
    </row>
    <row r="149" spans="217:220" x14ac:dyDescent="0.2">
      <c r="HI149" s="62"/>
      <c r="HJ149" s="62"/>
      <c r="HK149" s="62"/>
      <c r="HL149" s="62"/>
    </row>
    <row r="150" spans="217:220" x14ac:dyDescent="0.2">
      <c r="HI150" s="62"/>
      <c r="HJ150" s="62"/>
      <c r="HK150" s="62"/>
      <c r="HL150" s="62"/>
    </row>
    <row r="151" spans="217:220" x14ac:dyDescent="0.2">
      <c r="HI151" s="62"/>
      <c r="HJ151" s="62"/>
      <c r="HK151" s="62"/>
      <c r="HL151" s="62"/>
    </row>
    <row r="152" spans="217:220" x14ac:dyDescent="0.2">
      <c r="HI152" s="62"/>
      <c r="HJ152" s="62"/>
      <c r="HK152" s="62"/>
      <c r="HL152" s="62"/>
    </row>
    <row r="153" spans="217:220" x14ac:dyDescent="0.2">
      <c r="HI153" s="62"/>
      <c r="HJ153" s="62"/>
      <c r="HK153" s="62"/>
      <c r="HL153" s="62"/>
    </row>
    <row r="154" spans="217:220" x14ac:dyDescent="0.2">
      <c r="HI154" s="62"/>
      <c r="HJ154" s="62"/>
      <c r="HK154" s="62"/>
      <c r="HL154" s="62"/>
    </row>
    <row r="155" spans="217:220" x14ac:dyDescent="0.2">
      <c r="HI155" s="62"/>
      <c r="HJ155" s="62"/>
      <c r="HK155" s="62"/>
      <c r="HL155" s="62"/>
    </row>
    <row r="156" spans="217:220" x14ac:dyDescent="0.2">
      <c r="HI156" s="62"/>
      <c r="HJ156" s="62"/>
      <c r="HK156" s="62"/>
      <c r="HL156" s="62"/>
    </row>
    <row r="157" spans="217:220" x14ac:dyDescent="0.2">
      <c r="HI157" s="62"/>
      <c r="HJ157" s="62"/>
      <c r="HK157" s="62"/>
      <c r="HL157" s="62"/>
    </row>
    <row r="158" spans="217:220" x14ac:dyDescent="0.2">
      <c r="HI158" s="62"/>
      <c r="HJ158" s="62"/>
      <c r="HK158" s="62"/>
      <c r="HL158" s="62"/>
    </row>
    <row r="159" spans="217:220" x14ac:dyDescent="0.2">
      <c r="HI159" s="62"/>
      <c r="HJ159" s="62"/>
      <c r="HK159" s="62"/>
      <c r="HL159" s="62"/>
    </row>
    <row r="160" spans="217:220" x14ac:dyDescent="0.2">
      <c r="HI160" s="62"/>
      <c r="HJ160" s="62"/>
      <c r="HK160" s="62"/>
      <c r="HL160" s="62"/>
    </row>
    <row r="161" spans="217:220" x14ac:dyDescent="0.2">
      <c r="HI161" s="62"/>
      <c r="HJ161" s="62"/>
      <c r="HK161" s="62"/>
      <c r="HL161" s="62"/>
    </row>
    <row r="162" spans="217:220" x14ac:dyDescent="0.2">
      <c r="HI162" s="62"/>
      <c r="HJ162" s="62"/>
      <c r="HK162" s="62"/>
      <c r="HL162" s="62"/>
    </row>
    <row r="163" spans="217:220" x14ac:dyDescent="0.2">
      <c r="HI163" s="62"/>
      <c r="HJ163" s="62"/>
      <c r="HK163" s="62"/>
      <c r="HL163" s="62"/>
    </row>
    <row r="164" spans="217:220" x14ac:dyDescent="0.2">
      <c r="HI164" s="62"/>
      <c r="HJ164" s="62"/>
      <c r="HK164" s="62"/>
      <c r="HL164" s="62"/>
    </row>
    <row r="165" spans="217:220" x14ac:dyDescent="0.2">
      <c r="HI165" s="62"/>
      <c r="HJ165" s="62"/>
      <c r="HK165" s="62"/>
      <c r="HL165" s="62"/>
    </row>
    <row r="166" spans="217:220" x14ac:dyDescent="0.2">
      <c r="HI166" s="62"/>
      <c r="HJ166" s="62"/>
      <c r="HK166" s="62"/>
      <c r="HL166" s="62"/>
    </row>
    <row r="167" spans="217:220" x14ac:dyDescent="0.2">
      <c r="HI167" s="62"/>
      <c r="HJ167" s="62"/>
      <c r="HK167" s="62"/>
      <c r="HL167" s="62"/>
    </row>
    <row r="168" spans="217:220" x14ac:dyDescent="0.2">
      <c r="HI168" s="62"/>
      <c r="HJ168" s="62"/>
      <c r="HK168" s="62"/>
      <c r="HL168" s="62"/>
    </row>
    <row r="169" spans="217:220" x14ac:dyDescent="0.2">
      <c r="HI169" s="62"/>
      <c r="HJ169" s="62"/>
      <c r="HK169" s="62"/>
      <c r="HL169" s="62"/>
    </row>
    <row r="170" spans="217:220" x14ac:dyDescent="0.2">
      <c r="HI170" s="62"/>
      <c r="HJ170" s="62"/>
      <c r="HK170" s="62"/>
      <c r="HL170" s="62"/>
    </row>
    <row r="171" spans="217:220" x14ac:dyDescent="0.2">
      <c r="HI171" s="62"/>
      <c r="HJ171" s="62"/>
      <c r="HK171" s="62"/>
      <c r="HL171" s="62"/>
    </row>
    <row r="172" spans="217:220" x14ac:dyDescent="0.2">
      <c r="HI172" s="62"/>
      <c r="HJ172" s="62"/>
      <c r="HK172" s="62"/>
      <c r="HL172" s="62"/>
    </row>
    <row r="173" spans="217:220" x14ac:dyDescent="0.2">
      <c r="HI173" s="62"/>
      <c r="HJ173" s="62"/>
      <c r="HK173" s="62"/>
      <c r="HL173" s="62"/>
    </row>
    <row r="174" spans="217:220" x14ac:dyDescent="0.2">
      <c r="HI174" s="62"/>
      <c r="HJ174" s="62"/>
      <c r="HK174" s="62"/>
      <c r="HL174" s="62"/>
    </row>
    <row r="175" spans="217:220" x14ac:dyDescent="0.2">
      <c r="HI175" s="62"/>
      <c r="HJ175" s="62"/>
      <c r="HK175" s="62"/>
      <c r="HL175" s="62"/>
    </row>
    <row r="176" spans="217:220" x14ac:dyDescent="0.2">
      <c r="HI176" s="62"/>
      <c r="HJ176" s="62"/>
      <c r="HK176" s="62"/>
      <c r="HL176" s="62"/>
    </row>
    <row r="177" spans="217:220" x14ac:dyDescent="0.2">
      <c r="HI177" s="62"/>
      <c r="HJ177" s="62"/>
      <c r="HK177" s="62"/>
      <c r="HL177" s="62"/>
    </row>
    <row r="178" spans="217:220" x14ac:dyDescent="0.2">
      <c r="HI178" s="62"/>
      <c r="HJ178" s="62"/>
      <c r="HK178" s="62"/>
      <c r="HL178" s="62"/>
    </row>
  </sheetData>
  <mergeCells count="45">
    <mergeCell ref="BA1:BE1"/>
    <mergeCell ref="BF1:BJ1"/>
    <mergeCell ref="BK1:BN1"/>
    <mergeCell ref="BO1:BR1"/>
    <mergeCell ref="AL1:AP1"/>
    <mergeCell ref="W1:AA1"/>
    <mergeCell ref="R1:V1"/>
    <mergeCell ref="AQ1:AU1"/>
    <mergeCell ref="AV1:AZ1"/>
    <mergeCell ref="C1:G1"/>
    <mergeCell ref="H1:L1"/>
    <mergeCell ref="M1:Q1"/>
    <mergeCell ref="AB1:AF1"/>
    <mergeCell ref="AG1:AK1"/>
    <mergeCell ref="BS1:BV1"/>
    <mergeCell ref="BW1:BZ1"/>
    <mergeCell ref="CA1:CD1"/>
    <mergeCell ref="CE1:CH1"/>
    <mergeCell ref="CI1:CL1"/>
    <mergeCell ref="CM1:CP1"/>
    <mergeCell ref="CQ1:CT1"/>
    <mergeCell ref="CU1:CX1"/>
    <mergeCell ref="CY1:DB1"/>
    <mergeCell ref="DC1:DF1"/>
    <mergeCell ref="DG1:DJ1"/>
    <mergeCell ref="DK1:DN1"/>
    <mergeCell ref="EJ1:EN1"/>
    <mergeCell ref="EO1:ER1"/>
    <mergeCell ref="ES1:EV1"/>
    <mergeCell ref="GY1:HC1"/>
    <mergeCell ref="DO1:DR1"/>
    <mergeCell ref="DS1:DV1"/>
    <mergeCell ref="DW1:EA1"/>
    <mergeCell ref="EB1:EE1"/>
    <mergeCell ref="EF1:EI1"/>
    <mergeCell ref="EW1:EZ1"/>
    <mergeCell ref="FA1:FD1"/>
    <mergeCell ref="FE1:FH1"/>
    <mergeCell ref="FI1:FL1"/>
    <mergeCell ref="FM1:FP1"/>
    <mergeCell ref="FQ1:FT1"/>
    <mergeCell ref="FU1:FX1"/>
    <mergeCell ref="FY1:GB1"/>
    <mergeCell ref="GC1:GF1"/>
    <mergeCell ref="GG1:GJ1"/>
  </mergeCells>
  <phoneticPr fontId="0" type="noConversion"/>
  <pageMargins left="0.75" right="0.75" top="1" bottom="1" header="0.5" footer="0.5"/>
  <pageSetup orientation="portrait" r:id="rId1"/>
  <headerFooter alignWithMargins="0">
    <oddHeader>&amp;LDemographics</oddHeader>
    <oddFooter>&amp;L&amp;8Center for Health Statistics
Minnesota Department of Health&amp;R&amp;8&amp;P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1"/>
  <sheetViews>
    <sheetView showGridLines="0" tabSelected="1" zoomScale="85" zoomScaleNormal="85" zoomScaleSheetLayoutView="100" workbookViewId="0">
      <selection activeCell="G27" sqref="G27"/>
    </sheetView>
  </sheetViews>
  <sheetFormatPr defaultRowHeight="12.75" x14ac:dyDescent="0.2"/>
  <sheetData>
    <row r="2" spans="1:10" ht="18.75" customHeight="1" x14ac:dyDescent="0.2">
      <c r="B2" s="7"/>
      <c r="C2" s="7"/>
      <c r="D2" s="7"/>
      <c r="E2" s="7"/>
      <c r="F2" s="7"/>
      <c r="G2" s="7"/>
      <c r="H2" s="7"/>
    </row>
    <row r="3" spans="1:10" ht="18.75" customHeight="1" x14ac:dyDescent="0.2">
      <c r="B3" s="7"/>
      <c r="C3" s="7"/>
      <c r="D3" s="7"/>
      <c r="E3" s="7"/>
      <c r="F3" s="7"/>
      <c r="G3" s="7"/>
      <c r="H3" s="7"/>
    </row>
    <row r="4" spans="1:10" ht="18.75" customHeight="1" x14ac:dyDescent="0.2">
      <c r="B4" s="7"/>
      <c r="C4" s="7"/>
      <c r="D4" s="7"/>
      <c r="E4" s="7"/>
      <c r="F4" s="7"/>
      <c r="G4" s="7"/>
      <c r="H4" s="7"/>
    </row>
    <row r="5" spans="1:10" ht="18.75" x14ac:dyDescent="0.2">
      <c r="B5" s="7"/>
    </row>
    <row r="6" spans="1:10" ht="18.75" x14ac:dyDescent="0.2">
      <c r="B6" s="7"/>
    </row>
    <row r="7" spans="1:10" ht="15.75" x14ac:dyDescent="0.25">
      <c r="A7" s="1"/>
    </row>
    <row r="8" spans="1:10" ht="15.75" x14ac:dyDescent="0.25">
      <c r="A8" s="1"/>
    </row>
    <row r="9" spans="1:10" ht="15.75" x14ac:dyDescent="0.25">
      <c r="A9" s="1"/>
    </row>
    <row r="10" spans="1:10" ht="15.75" x14ac:dyDescent="0.25">
      <c r="A10" s="1"/>
    </row>
    <row r="11" spans="1:10" ht="15.75" x14ac:dyDescent="0.25">
      <c r="A11" s="1"/>
    </row>
    <row r="12" spans="1:10" ht="13.5" customHeight="1" x14ac:dyDescent="0.25">
      <c r="A12" s="1"/>
    </row>
    <row r="13" spans="1:10" ht="15.75" customHeight="1" x14ac:dyDescent="0.2">
      <c r="A13" s="188" t="s">
        <v>186</v>
      </c>
      <c r="B13" s="189"/>
      <c r="C13" s="189"/>
      <c r="D13" s="189"/>
      <c r="E13" s="189"/>
      <c r="F13" s="189"/>
      <c r="G13" s="189"/>
      <c r="H13" s="189"/>
      <c r="I13" s="189"/>
      <c r="J13" s="189"/>
    </row>
    <row r="14" spans="1:10" ht="15.75" customHeight="1" x14ac:dyDescent="0.2">
      <c r="A14" s="189"/>
      <c r="B14" s="189"/>
      <c r="C14" s="189"/>
      <c r="D14" s="189"/>
      <c r="E14" s="189"/>
      <c r="F14" s="189"/>
      <c r="G14" s="189"/>
      <c r="H14" s="189"/>
      <c r="I14" s="189"/>
      <c r="J14" s="189"/>
    </row>
    <row r="15" spans="1:10" ht="15.75" customHeight="1" x14ac:dyDescent="0.2">
      <c r="A15" s="189"/>
      <c r="B15" s="189"/>
      <c r="C15" s="189"/>
      <c r="D15" s="189"/>
      <c r="E15" s="189"/>
      <c r="F15" s="189"/>
      <c r="G15" s="189"/>
      <c r="H15" s="189"/>
      <c r="I15" s="189"/>
      <c r="J15" s="189"/>
    </row>
    <row r="16" spans="1:10" ht="15.75" customHeight="1" x14ac:dyDescent="0.2">
      <c r="A16" s="189"/>
      <c r="B16" s="189"/>
      <c r="C16" s="189"/>
      <c r="D16" s="189"/>
      <c r="E16" s="189"/>
      <c r="F16" s="189"/>
      <c r="G16" s="189"/>
      <c r="H16" s="189"/>
      <c r="I16" s="189"/>
      <c r="J16" s="189"/>
    </row>
    <row r="17" spans="1:10" ht="15.75" customHeight="1" x14ac:dyDescent="0.2">
      <c r="A17" s="189"/>
      <c r="B17" s="189"/>
      <c r="C17" s="189"/>
      <c r="D17" s="189"/>
      <c r="E17" s="189"/>
      <c r="F17" s="189"/>
      <c r="G17" s="189"/>
      <c r="H17" s="189"/>
      <c r="I17" s="189"/>
      <c r="J17" s="189"/>
    </row>
    <row r="18" spans="1:10" ht="15.75" customHeight="1" x14ac:dyDescent="0.2">
      <c r="A18" s="189"/>
      <c r="B18" s="189"/>
      <c r="C18" s="189"/>
      <c r="D18" s="189"/>
      <c r="E18" s="189"/>
      <c r="F18" s="189"/>
      <c r="G18" s="189"/>
      <c r="H18" s="189"/>
      <c r="I18" s="189"/>
      <c r="J18" s="189"/>
    </row>
    <row r="19" spans="1:10" ht="15.75" customHeight="1" x14ac:dyDescent="0.2">
      <c r="A19" s="189"/>
      <c r="B19" s="189"/>
      <c r="C19" s="189"/>
      <c r="D19" s="189"/>
      <c r="E19" s="189"/>
      <c r="F19" s="189"/>
      <c r="G19" s="189"/>
      <c r="H19" s="189"/>
      <c r="I19" s="189"/>
      <c r="J19" s="189"/>
    </row>
    <row r="20" spans="1:10" ht="15" customHeight="1" x14ac:dyDescent="0.2">
      <c r="A20" s="189"/>
      <c r="B20" s="189"/>
      <c r="C20" s="189"/>
      <c r="D20" s="189"/>
      <c r="E20" s="189"/>
      <c r="F20" s="189"/>
      <c r="G20" s="189"/>
      <c r="H20" s="189"/>
      <c r="I20" s="189"/>
      <c r="J20" s="189"/>
    </row>
    <row r="21" spans="1:10" ht="15.75" x14ac:dyDescent="0.25">
      <c r="A21" s="2"/>
    </row>
    <row r="22" spans="1:10" ht="15.75" x14ac:dyDescent="0.25">
      <c r="A22" s="2"/>
    </row>
    <row r="23" spans="1:10" ht="15.75" x14ac:dyDescent="0.25">
      <c r="A23" s="2"/>
    </row>
    <row r="24" spans="1:10" ht="15.75" x14ac:dyDescent="0.25">
      <c r="A24" s="2"/>
    </row>
    <row r="25" spans="1:10" ht="15.75" x14ac:dyDescent="0.25">
      <c r="A25" s="2"/>
    </row>
    <row r="26" spans="1:10" ht="15.75" x14ac:dyDescent="0.25">
      <c r="A26" s="2"/>
    </row>
    <row r="27" spans="1:10" ht="15.75" x14ac:dyDescent="0.25">
      <c r="A27" s="2"/>
    </row>
    <row r="28" spans="1:10" ht="15.75" x14ac:dyDescent="0.25">
      <c r="A28" s="2"/>
    </row>
    <row r="29" spans="1:10" ht="15.75" x14ac:dyDescent="0.25">
      <c r="A29" s="2"/>
    </row>
    <row r="30" spans="1:10" ht="15.75" x14ac:dyDescent="0.25">
      <c r="A30" s="2"/>
    </row>
    <row r="31" spans="1:10" ht="15.75" x14ac:dyDescent="0.25">
      <c r="A31" s="2"/>
    </row>
    <row r="32" spans="1:10" ht="15.75" x14ac:dyDescent="0.25">
      <c r="A32" s="2"/>
    </row>
    <row r="33" spans="1:10" ht="15.75" x14ac:dyDescent="0.25">
      <c r="A33" s="190" t="s">
        <v>520</v>
      </c>
      <c r="B33" s="190"/>
      <c r="C33" s="190"/>
      <c r="D33" s="190"/>
      <c r="E33" s="190"/>
      <c r="F33" s="190"/>
      <c r="G33" s="190"/>
      <c r="H33" s="190"/>
      <c r="I33" s="190"/>
      <c r="J33" s="190"/>
    </row>
    <row r="34" spans="1:10" ht="15.75" x14ac:dyDescent="0.25">
      <c r="A34" s="3"/>
    </row>
    <row r="35" spans="1:10" ht="15.75" x14ac:dyDescent="0.25">
      <c r="A35" s="191" t="s">
        <v>146</v>
      </c>
      <c r="B35" s="191"/>
      <c r="C35" s="191"/>
      <c r="D35" s="191"/>
      <c r="E35" s="191"/>
      <c r="F35" s="191"/>
      <c r="G35" s="191"/>
      <c r="H35" s="191"/>
      <c r="I35" s="191"/>
      <c r="J35" s="191"/>
    </row>
    <row r="36" spans="1:10" ht="15.75" x14ac:dyDescent="0.25">
      <c r="A36" s="191" t="s">
        <v>147</v>
      </c>
      <c r="B36" s="191"/>
      <c r="C36" s="191"/>
      <c r="D36" s="191"/>
      <c r="E36" s="191"/>
      <c r="F36" s="191"/>
      <c r="G36" s="191"/>
      <c r="H36" s="191"/>
      <c r="I36" s="191"/>
      <c r="J36" s="191"/>
    </row>
    <row r="37" spans="1:10" ht="15.75" x14ac:dyDescent="0.25">
      <c r="A37" s="191" t="s">
        <v>148</v>
      </c>
      <c r="B37" s="191"/>
      <c r="C37" s="191"/>
      <c r="D37" s="191"/>
      <c r="E37" s="191"/>
      <c r="F37" s="191"/>
      <c r="G37" s="191"/>
      <c r="H37" s="191"/>
      <c r="I37" s="191"/>
      <c r="J37" s="191"/>
    </row>
    <row r="38" spans="1:10" ht="15.75" x14ac:dyDescent="0.25">
      <c r="A38" s="191" t="s">
        <v>149</v>
      </c>
      <c r="B38" s="191"/>
      <c r="C38" s="191"/>
      <c r="D38" s="191"/>
      <c r="E38" s="191"/>
      <c r="F38" s="191"/>
      <c r="G38" s="191"/>
      <c r="H38" s="191"/>
      <c r="I38" s="191"/>
      <c r="J38" s="191"/>
    </row>
    <row r="39" spans="1:10" x14ac:dyDescent="0.2">
      <c r="A39" s="186" t="s">
        <v>150</v>
      </c>
      <c r="B39" s="186"/>
      <c r="C39" s="186"/>
      <c r="D39" s="186"/>
      <c r="E39" s="186"/>
      <c r="F39" s="186"/>
      <c r="G39" s="186"/>
      <c r="H39" s="186"/>
      <c r="I39" s="186"/>
      <c r="J39" s="186"/>
    </row>
    <row r="40" spans="1:10" x14ac:dyDescent="0.2">
      <c r="A40" s="187" t="s">
        <v>155</v>
      </c>
      <c r="B40" s="186"/>
      <c r="C40" s="186"/>
      <c r="D40" s="186"/>
      <c r="E40" s="186"/>
      <c r="F40" s="186"/>
      <c r="G40" s="186"/>
      <c r="H40" s="186"/>
      <c r="I40" s="186"/>
      <c r="J40" s="186"/>
    </row>
    <row r="41" spans="1:10" ht="15.75" x14ac:dyDescent="0.25">
      <c r="A41" s="2"/>
    </row>
  </sheetData>
  <mergeCells count="8">
    <mergeCell ref="A39:J39"/>
    <mergeCell ref="A40:J40"/>
    <mergeCell ref="A13:J20"/>
    <mergeCell ref="A33:J33"/>
    <mergeCell ref="A35:J35"/>
    <mergeCell ref="A36:J36"/>
    <mergeCell ref="A37:J37"/>
    <mergeCell ref="A38:J38"/>
  </mergeCells>
  <hyperlinks>
    <hyperlink ref="A39" r:id="rId1"/>
    <hyperlink ref="A40" r:id="rId2" display="mailto:healthstats@health.state.mn.us"/>
  </hyperlinks>
  <pageMargins left="0.75" right="0.75" top="0.5" bottom="0.5" header="0.5" footer="0.5"/>
  <pageSetup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J224"/>
  <sheetViews>
    <sheetView showGridLines="0" zoomScaleNormal="100" zoomScaleSheetLayoutView="70" workbookViewId="0">
      <selection activeCell="I6" sqref="I6"/>
    </sheetView>
  </sheetViews>
  <sheetFormatPr defaultRowHeight="12.75" x14ac:dyDescent="0.2"/>
  <sheetData>
    <row r="2" spans="1:10" ht="18.75" customHeight="1" x14ac:dyDescent="0.2">
      <c r="B2" s="7"/>
      <c r="C2" s="7"/>
      <c r="D2" s="7"/>
      <c r="E2" s="7"/>
      <c r="F2" s="7"/>
      <c r="G2" s="7"/>
      <c r="H2" s="7"/>
    </row>
    <row r="3" spans="1:10" ht="18.75" customHeight="1" x14ac:dyDescent="0.2">
      <c r="B3" s="7"/>
      <c r="C3" s="7"/>
      <c r="D3" s="7"/>
      <c r="E3" s="7"/>
      <c r="F3" s="7"/>
      <c r="G3" s="7"/>
      <c r="H3" s="7"/>
    </row>
    <row r="4" spans="1:10" ht="18.75" customHeight="1" x14ac:dyDescent="0.2">
      <c r="B4" s="7"/>
      <c r="C4" s="7"/>
      <c r="D4" s="7"/>
      <c r="E4" s="7"/>
      <c r="F4" s="7"/>
      <c r="G4" s="7"/>
      <c r="H4" s="7"/>
    </row>
    <row r="5" spans="1:10" ht="18.75" x14ac:dyDescent="0.2">
      <c r="B5" s="7"/>
    </row>
    <row r="7" spans="1:10" ht="15.75" x14ac:dyDescent="0.25">
      <c r="A7" s="3"/>
    </row>
    <row r="8" spans="1:10" s="15" customFormat="1" ht="15.75" x14ac:dyDescent="0.25">
      <c r="A8" s="35" t="s">
        <v>187</v>
      </c>
    </row>
    <row r="9" spans="1:10" ht="15.75" x14ac:dyDescent="0.25">
      <c r="A9" s="4"/>
    </row>
    <row r="10" spans="1:10" ht="15.75" x14ac:dyDescent="0.25">
      <c r="A10" s="4"/>
    </row>
    <row r="11" spans="1:10" ht="15.75" x14ac:dyDescent="0.25">
      <c r="A11" s="4"/>
    </row>
    <row r="12" spans="1:10" ht="15.75" x14ac:dyDescent="0.25">
      <c r="A12" s="4"/>
    </row>
    <row r="13" spans="1:10" ht="15.75" x14ac:dyDescent="0.25">
      <c r="A13" s="4"/>
      <c r="J13" s="11"/>
    </row>
    <row r="14" spans="1:10" ht="15" x14ac:dyDescent="0.2">
      <c r="A14" s="5"/>
    </row>
    <row r="15" spans="1:10" ht="15.75" x14ac:dyDescent="0.25">
      <c r="A15" s="3"/>
    </row>
    <row r="17" spans="1:2" ht="15.75" x14ac:dyDescent="0.25">
      <c r="A17" s="3"/>
    </row>
    <row r="19" spans="1:2" ht="15.75" x14ac:dyDescent="0.25">
      <c r="A19" s="4"/>
    </row>
    <row r="20" spans="1:2" ht="15.75" x14ac:dyDescent="0.25">
      <c r="A20" s="3"/>
    </row>
    <row r="21" spans="1:2" ht="15.75" x14ac:dyDescent="0.2">
      <c r="A21" s="8"/>
      <c r="B21" s="192"/>
    </row>
    <row r="22" spans="1:2" ht="15.75" x14ac:dyDescent="0.2">
      <c r="A22" s="8"/>
      <c r="B22" s="192"/>
    </row>
    <row r="23" spans="1:2" ht="15.75" x14ac:dyDescent="0.2">
      <c r="A23" s="8"/>
      <c r="B23" s="192"/>
    </row>
    <row r="24" spans="1:2" ht="15.75" x14ac:dyDescent="0.2">
      <c r="A24" s="8"/>
      <c r="B24" s="192"/>
    </row>
    <row r="25" spans="1:2" ht="15.75" x14ac:dyDescent="0.2">
      <c r="A25" s="8"/>
      <c r="B25" s="192"/>
    </row>
    <row r="26" spans="1:2" ht="15.75" x14ac:dyDescent="0.25">
      <c r="A26" s="3"/>
    </row>
    <row r="27" spans="1:2" ht="15.75" x14ac:dyDescent="0.25">
      <c r="A27" s="4"/>
    </row>
    <row r="28" spans="1:2" ht="15.75" x14ac:dyDescent="0.25">
      <c r="A28" s="3"/>
    </row>
    <row r="29" spans="1:2" ht="15.75" x14ac:dyDescent="0.25">
      <c r="A29" s="3"/>
    </row>
    <row r="30" spans="1:2" ht="15.75" x14ac:dyDescent="0.25">
      <c r="A30" s="3"/>
    </row>
    <row r="31" spans="1:2" ht="15.75" x14ac:dyDescent="0.25">
      <c r="A31" s="3"/>
    </row>
    <row r="32" spans="1:2" ht="15.75" x14ac:dyDescent="0.25">
      <c r="A32" s="3"/>
    </row>
    <row r="33" spans="1:1" ht="15.75" x14ac:dyDescent="0.25">
      <c r="A33" s="3"/>
    </row>
    <row r="34" spans="1:1" ht="15.75" x14ac:dyDescent="0.25">
      <c r="A34" s="3"/>
    </row>
    <row r="35" spans="1:1" ht="15.75" x14ac:dyDescent="0.25">
      <c r="A35" s="3"/>
    </row>
    <row r="36" spans="1:1" ht="15.75" x14ac:dyDescent="0.25">
      <c r="A36" s="3"/>
    </row>
    <row r="37" spans="1:1" ht="15.75" x14ac:dyDescent="0.25">
      <c r="A37" s="3"/>
    </row>
    <row r="38" spans="1:1" ht="15.75" x14ac:dyDescent="0.25">
      <c r="A38" s="3"/>
    </row>
    <row r="39" spans="1:1" ht="15.75" x14ac:dyDescent="0.25">
      <c r="A39" s="3"/>
    </row>
    <row r="40" spans="1:1" ht="15.75" x14ac:dyDescent="0.25">
      <c r="A40" s="4"/>
    </row>
    <row r="42" spans="1:1" ht="15.75" x14ac:dyDescent="0.25">
      <c r="A42" s="3"/>
    </row>
    <row r="43" spans="1:1" ht="15.75" x14ac:dyDescent="0.25">
      <c r="A43" s="4"/>
    </row>
    <row r="44" spans="1:1" ht="15.75" x14ac:dyDescent="0.25">
      <c r="A44" s="3"/>
    </row>
    <row r="45" spans="1:1" ht="15.75" x14ac:dyDescent="0.25">
      <c r="A45" s="3"/>
    </row>
    <row r="46" spans="1:1" ht="15.75" x14ac:dyDescent="0.25">
      <c r="A46" s="4"/>
    </row>
    <row r="47" spans="1:1" ht="15.75" x14ac:dyDescent="0.25">
      <c r="A47" s="3"/>
    </row>
    <row r="48" spans="1:1" ht="15.75" x14ac:dyDescent="0.25">
      <c r="A48" s="3"/>
    </row>
    <row r="49" spans="1:10" ht="15.75" x14ac:dyDescent="0.25">
      <c r="A49" s="3"/>
    </row>
    <row r="50" spans="1:10" ht="15.75" x14ac:dyDescent="0.25">
      <c r="A50" s="3"/>
    </row>
    <row r="51" spans="1:10" ht="15.75" x14ac:dyDescent="0.25">
      <c r="A51" s="4"/>
    </row>
    <row r="52" spans="1:10" ht="15.75" x14ac:dyDescent="0.25">
      <c r="A52" s="3"/>
    </row>
    <row r="53" spans="1:10" ht="15.75" x14ac:dyDescent="0.25">
      <c r="A53" s="3"/>
    </row>
    <row r="54" spans="1:10" ht="15.75" x14ac:dyDescent="0.25">
      <c r="A54" s="3"/>
    </row>
    <row r="55" spans="1:10" ht="15.75" x14ac:dyDescent="0.2">
      <c r="A55" s="8"/>
      <c r="B55" s="192"/>
      <c r="C55" s="9"/>
      <c r="D55" s="9"/>
    </row>
    <row r="56" spans="1:10" ht="15.75" x14ac:dyDescent="0.2">
      <c r="A56" s="8"/>
      <c r="B56" s="192"/>
      <c r="C56" s="9"/>
      <c r="D56" s="9"/>
    </row>
    <row r="57" spans="1:10" ht="15.75" x14ac:dyDescent="0.2">
      <c r="A57" s="8"/>
      <c r="B57" s="192"/>
      <c r="C57" s="9"/>
      <c r="D57" s="9"/>
    </row>
    <row r="58" spans="1:10" ht="15.75" x14ac:dyDescent="0.2">
      <c r="A58" s="8"/>
      <c r="B58" s="192"/>
      <c r="C58" s="9"/>
      <c r="D58" s="9"/>
    </row>
    <row r="59" spans="1:10" ht="15.75" x14ac:dyDescent="0.2">
      <c r="A59" s="8"/>
      <c r="B59" s="192"/>
      <c r="C59" s="9"/>
      <c r="D59" s="9"/>
      <c r="J59" s="11"/>
    </row>
    <row r="60" spans="1:10" ht="15.75" x14ac:dyDescent="0.25">
      <c r="A60" s="10"/>
      <c r="B60" s="9"/>
      <c r="C60" s="9"/>
      <c r="D60" s="9"/>
    </row>
    <row r="61" spans="1:10" ht="15.75" x14ac:dyDescent="0.25">
      <c r="A61" s="10"/>
      <c r="B61" s="9"/>
      <c r="C61" s="9"/>
      <c r="D61" s="9"/>
    </row>
    <row r="62" spans="1:10" ht="15.75" x14ac:dyDescent="0.25">
      <c r="A62" s="10"/>
      <c r="B62" s="9"/>
      <c r="C62" s="9"/>
      <c r="D62" s="9"/>
    </row>
    <row r="63" spans="1:10" ht="15.75" x14ac:dyDescent="0.2">
      <c r="A63" s="8"/>
      <c r="B63" s="192"/>
      <c r="C63" s="9"/>
      <c r="D63" s="9"/>
    </row>
    <row r="64" spans="1:10" ht="15.75" x14ac:dyDescent="0.2">
      <c r="A64" s="8"/>
      <c r="B64" s="192"/>
      <c r="C64" s="9"/>
      <c r="D64" s="9"/>
    </row>
    <row r="65" spans="1:4" ht="15.75" x14ac:dyDescent="0.2">
      <c r="A65" s="8"/>
      <c r="B65" s="192"/>
      <c r="C65" s="9"/>
      <c r="D65" s="9"/>
    </row>
    <row r="66" spans="1:4" ht="15.75" x14ac:dyDescent="0.2">
      <c r="A66" s="8"/>
      <c r="B66" s="192"/>
      <c r="C66" s="9"/>
      <c r="D66" s="9"/>
    </row>
    <row r="67" spans="1:4" ht="15.75" x14ac:dyDescent="0.2">
      <c r="A67" s="8"/>
      <c r="B67" s="192"/>
      <c r="C67" s="9"/>
      <c r="D67" s="9"/>
    </row>
    <row r="68" spans="1:4" ht="15.75" x14ac:dyDescent="0.2">
      <c r="A68" s="8"/>
      <c r="B68" s="192"/>
      <c r="C68" s="9"/>
      <c r="D68" s="9"/>
    </row>
    <row r="69" spans="1:4" ht="15.75" x14ac:dyDescent="0.25">
      <c r="A69" s="3"/>
    </row>
    <row r="70" spans="1:4" ht="15.75" x14ac:dyDescent="0.25">
      <c r="A70" s="3"/>
    </row>
    <row r="71" spans="1:4" ht="15.75" x14ac:dyDescent="0.25">
      <c r="A71" s="3"/>
    </row>
    <row r="72" spans="1:4" x14ac:dyDescent="0.2">
      <c r="A72" s="6"/>
    </row>
    <row r="73" spans="1:4" x14ac:dyDescent="0.2">
      <c r="A73" s="6"/>
    </row>
    <row r="74" spans="1:4" x14ac:dyDescent="0.2">
      <c r="A74" s="6"/>
    </row>
    <row r="75" spans="1:4" x14ac:dyDescent="0.2">
      <c r="A75" s="6"/>
    </row>
    <row r="76" spans="1:4" x14ac:dyDescent="0.2">
      <c r="A76" s="6"/>
    </row>
    <row r="77" spans="1:4" x14ac:dyDescent="0.2">
      <c r="A77" s="6"/>
    </row>
    <row r="78" spans="1:4" x14ac:dyDescent="0.2">
      <c r="A78" s="6"/>
    </row>
    <row r="79" spans="1:4" x14ac:dyDescent="0.2">
      <c r="A79" s="6"/>
    </row>
    <row r="80" spans="1:4" x14ac:dyDescent="0.2">
      <c r="A80" s="6"/>
    </row>
    <row r="81" spans="1:1" ht="15.75" x14ac:dyDescent="0.2">
      <c r="A81" s="33"/>
    </row>
    <row r="82" spans="1:1" ht="15.75" x14ac:dyDescent="0.2">
      <c r="A82" s="34"/>
    </row>
    <row r="112" spans="10:10" x14ac:dyDescent="0.2">
      <c r="J112" s="11"/>
    </row>
    <row r="116" spans="10:10" x14ac:dyDescent="0.2">
      <c r="J116" s="11"/>
    </row>
    <row r="168" spans="10:10" x14ac:dyDescent="0.2">
      <c r="J168" s="11">
        <v>5</v>
      </c>
    </row>
    <row r="172" spans="10:10" ht="14.25" customHeight="1" x14ac:dyDescent="0.2"/>
    <row r="224" spans="10:10" x14ac:dyDescent="0.2">
      <c r="J224" s="11"/>
    </row>
  </sheetData>
  <mergeCells count="3">
    <mergeCell ref="B63:B68"/>
    <mergeCell ref="B21:B25"/>
    <mergeCell ref="B55:B59"/>
  </mergeCells>
  <phoneticPr fontId="3" type="noConversion"/>
  <pageMargins left="0.75" right="0.75" top="0.5" bottom="0.5" header="0.5" footer="0.5"/>
  <pageSetup orientation="portrait" r:id="rId1"/>
  <headerFooter alignWithMargins="0"/>
  <rowBreaks count="5" manualBreakCount="5">
    <brk id="34" max="16383" man="1"/>
    <brk id="78" max="16383" man="1"/>
    <brk id="132" max="16383" man="1"/>
    <brk id="171" max="16383" man="1"/>
    <brk id="21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4"/>
  </sheetPr>
  <dimension ref="A2:AZ430"/>
  <sheetViews>
    <sheetView showGridLines="0" topLeftCell="A19" zoomScale="145" zoomScaleNormal="145" zoomScaleSheetLayoutView="100" zoomScalePageLayoutView="55" workbookViewId="0">
      <selection activeCell="A16" sqref="A16:E16"/>
    </sheetView>
  </sheetViews>
  <sheetFormatPr defaultRowHeight="12.75" x14ac:dyDescent="0.2"/>
  <cols>
    <col min="1" max="1" width="39.6640625" style="15" customWidth="1"/>
    <col min="2" max="2" width="10.1640625" style="17" customWidth="1"/>
    <col min="3" max="3" width="10" style="17" customWidth="1"/>
    <col min="4" max="4" width="11.6640625" style="17" customWidth="1"/>
    <col min="5" max="5" width="11.1640625" style="17" customWidth="1"/>
    <col min="6" max="6" width="10" style="17" customWidth="1"/>
    <col min="7" max="7" width="1.6640625" style="17" customWidth="1"/>
    <col min="8" max="8" width="10.33203125" style="17" customWidth="1"/>
    <col min="9" max="9" width="11.83203125" style="17" customWidth="1"/>
    <col min="10" max="10" width="9.83203125" style="17" customWidth="1"/>
    <col min="11" max="11" width="9.1640625" style="17" customWidth="1"/>
    <col min="12" max="12" width="8.6640625" style="17" customWidth="1"/>
    <col min="13" max="15" width="9.33203125" style="15"/>
    <col min="16" max="16" width="0" style="15" hidden="1" customWidth="1"/>
    <col min="17" max="17" width="8.1640625" style="15" hidden="1" customWidth="1"/>
    <col min="18" max="18" width="0" hidden="1" customWidth="1"/>
    <col min="19" max="52" width="0" style="15" hidden="1" customWidth="1"/>
    <col min="53" max="16384" width="9.33203125" style="15"/>
  </cols>
  <sheetData>
    <row r="2" spans="1:12" x14ac:dyDescent="0.2">
      <c r="A2" s="199" t="s">
        <v>521</v>
      </c>
      <c r="B2" s="200"/>
      <c r="C2" s="200"/>
      <c r="D2" s="200"/>
      <c r="E2" s="200"/>
      <c r="F2" s="200"/>
      <c r="G2" s="200"/>
      <c r="H2" s="200"/>
      <c r="I2" s="200"/>
      <c r="J2" s="200"/>
      <c r="K2" s="200"/>
      <c r="L2" s="200"/>
    </row>
    <row r="3" spans="1:12" x14ac:dyDescent="0.2">
      <c r="A3" s="200"/>
      <c r="B3" s="200"/>
      <c r="C3" s="200"/>
      <c r="D3" s="200"/>
      <c r="E3" s="200"/>
      <c r="F3" s="200"/>
      <c r="G3" s="200"/>
      <c r="H3" s="200"/>
      <c r="I3" s="200"/>
      <c r="J3" s="200"/>
      <c r="K3" s="200"/>
      <c r="L3" s="200"/>
    </row>
    <row r="4" spans="1:12" x14ac:dyDescent="0.2">
      <c r="A4" s="200"/>
      <c r="B4" s="200"/>
      <c r="C4" s="200"/>
      <c r="D4" s="200"/>
      <c r="E4" s="200"/>
      <c r="F4" s="200"/>
      <c r="G4" s="200"/>
      <c r="H4" s="200"/>
      <c r="I4" s="200"/>
      <c r="J4" s="200"/>
      <c r="K4" s="200"/>
      <c r="L4" s="200"/>
    </row>
    <row r="5" spans="1:12" x14ac:dyDescent="0.2">
      <c r="A5" s="200"/>
      <c r="B5" s="200"/>
      <c r="C5" s="200"/>
      <c r="D5" s="200"/>
      <c r="E5" s="200"/>
      <c r="F5" s="200"/>
      <c r="G5" s="200"/>
      <c r="H5" s="200"/>
      <c r="I5" s="200"/>
      <c r="J5" s="200"/>
      <c r="K5" s="200"/>
      <c r="L5" s="200"/>
    </row>
    <row r="6" spans="1:12" x14ac:dyDescent="0.2">
      <c r="A6" s="200"/>
      <c r="B6" s="200"/>
      <c r="C6" s="200"/>
      <c r="D6" s="200"/>
      <c r="E6" s="200"/>
      <c r="F6" s="200"/>
      <c r="G6" s="200"/>
      <c r="H6" s="200"/>
      <c r="I6" s="200"/>
      <c r="J6" s="200"/>
      <c r="K6" s="200"/>
      <c r="L6" s="200"/>
    </row>
    <row r="7" spans="1:12" x14ac:dyDescent="0.2">
      <c r="A7" s="200"/>
      <c r="B7" s="200"/>
      <c r="C7" s="200"/>
      <c r="D7" s="200"/>
      <c r="E7" s="200"/>
      <c r="F7" s="200"/>
      <c r="G7" s="200"/>
      <c r="H7" s="200"/>
      <c r="I7" s="200"/>
      <c r="J7" s="200"/>
      <c r="K7" s="200"/>
      <c r="L7" s="200"/>
    </row>
    <row r="8" spans="1:12" x14ac:dyDescent="0.2">
      <c r="A8" s="200"/>
      <c r="B8" s="200"/>
      <c r="C8" s="200"/>
      <c r="D8" s="200"/>
      <c r="E8" s="200"/>
      <c r="F8" s="200"/>
      <c r="G8" s="200"/>
      <c r="H8" s="200"/>
      <c r="I8" s="200"/>
      <c r="J8" s="200"/>
      <c r="K8" s="200"/>
      <c r="L8" s="200"/>
    </row>
    <row r="9" spans="1:12" x14ac:dyDescent="0.2">
      <c r="A9" s="200"/>
      <c r="B9" s="200"/>
      <c r="C9" s="200"/>
      <c r="D9" s="200"/>
      <c r="E9" s="200"/>
      <c r="F9" s="200"/>
      <c r="G9" s="200"/>
      <c r="H9" s="200"/>
      <c r="I9" s="200"/>
      <c r="J9" s="200"/>
      <c r="K9" s="200"/>
      <c r="L9" s="200"/>
    </row>
    <row r="10" spans="1:12" x14ac:dyDescent="0.2">
      <c r="A10" s="200"/>
      <c r="B10" s="200"/>
      <c r="C10" s="200"/>
      <c r="D10" s="200"/>
      <c r="E10" s="200"/>
      <c r="F10" s="200"/>
      <c r="G10" s="200"/>
      <c r="H10" s="200"/>
      <c r="I10" s="200"/>
      <c r="J10" s="200"/>
      <c r="K10" s="200"/>
      <c r="L10" s="200"/>
    </row>
    <row r="11" spans="1:12" x14ac:dyDescent="0.2">
      <c r="A11" s="201"/>
      <c r="B11" s="201"/>
      <c r="C11" s="201"/>
      <c r="D11" s="201"/>
      <c r="E11" s="201"/>
      <c r="F11" s="201"/>
      <c r="G11" s="201"/>
      <c r="H11" s="201"/>
      <c r="I11" s="201"/>
      <c r="J11" s="201"/>
      <c r="K11" s="201"/>
      <c r="L11" s="201"/>
    </row>
    <row r="12" spans="1:12" ht="14.25" customHeight="1" x14ac:dyDescent="0.2">
      <c r="A12" s="26"/>
      <c r="B12" s="26"/>
      <c r="C12" s="26"/>
      <c r="D12" s="26"/>
      <c r="E12" s="26"/>
      <c r="F12" s="26"/>
      <c r="G12" s="26"/>
      <c r="H12" s="26"/>
      <c r="I12" s="26"/>
      <c r="J12" s="26"/>
      <c r="K12" s="26"/>
      <c r="L12" s="26"/>
    </row>
    <row r="13" spans="1:12" ht="26.25" customHeight="1" x14ac:dyDescent="0.2">
      <c r="A13" s="29" t="s">
        <v>507</v>
      </c>
      <c r="B13" s="29"/>
      <c r="C13" s="29"/>
      <c r="D13" s="29"/>
      <c r="E13" s="32"/>
    </row>
    <row r="14" spans="1:12" ht="12.75" customHeight="1" x14ac:dyDescent="0.3">
      <c r="B14" s="30"/>
    </row>
    <row r="15" spans="1:12" ht="15.75" customHeight="1" x14ac:dyDescent="0.3">
      <c r="B15" s="28"/>
    </row>
    <row r="16" spans="1:12" ht="20.25" customHeight="1" x14ac:dyDescent="0.25">
      <c r="A16" s="202" t="s">
        <v>168</v>
      </c>
      <c r="B16" s="205"/>
      <c r="C16" s="205"/>
      <c r="D16" s="205"/>
      <c r="E16" s="206"/>
    </row>
    <row r="17" spans="1:11" ht="6.75" customHeight="1" x14ac:dyDescent="0.2">
      <c r="A17"/>
      <c r="B17"/>
      <c r="C17"/>
      <c r="D17"/>
      <c r="E17"/>
    </row>
    <row r="18" spans="1:11" ht="21.75" customHeight="1" x14ac:dyDescent="0.25">
      <c r="A18" s="202" t="s">
        <v>168</v>
      </c>
      <c r="B18" s="203"/>
      <c r="C18" s="203"/>
      <c r="D18" s="203"/>
      <c r="E18" s="204"/>
    </row>
    <row r="19" spans="1:11" ht="9" customHeight="1" x14ac:dyDescent="0.2">
      <c r="A19"/>
      <c r="B19"/>
      <c r="C19"/>
      <c r="D19"/>
      <c r="E19"/>
    </row>
    <row r="20" spans="1:11" ht="21" customHeight="1" x14ac:dyDescent="0.25">
      <c r="A20" s="202" t="s">
        <v>168</v>
      </c>
      <c r="B20" s="203"/>
      <c r="C20" s="203"/>
      <c r="D20" s="203"/>
      <c r="E20" s="204"/>
    </row>
    <row r="21" spans="1:11" ht="7.5" customHeight="1" x14ac:dyDescent="0.2">
      <c r="A21"/>
      <c r="B21"/>
      <c r="C21"/>
      <c r="D21"/>
      <c r="E21"/>
    </row>
    <row r="22" spans="1:11" ht="20.25" customHeight="1" x14ac:dyDescent="0.25">
      <c r="A22" s="202" t="s">
        <v>168</v>
      </c>
      <c r="B22" s="203"/>
      <c r="C22" s="203"/>
      <c r="D22" s="203"/>
      <c r="E22" s="204"/>
      <c r="F22"/>
      <c r="G22"/>
      <c r="H22"/>
      <c r="I22"/>
      <c r="J22"/>
      <c r="K22"/>
    </row>
    <row r="23" spans="1:11" x14ac:dyDescent="0.2">
      <c r="A23"/>
      <c r="B23"/>
      <c r="C23"/>
      <c r="D23"/>
      <c r="E23"/>
      <c r="F23"/>
      <c r="G23"/>
      <c r="H23"/>
      <c r="I23"/>
      <c r="J23"/>
      <c r="K23"/>
    </row>
    <row r="24" spans="1:11" ht="21.75" customHeight="1" x14ac:dyDescent="0.25">
      <c r="A24" s="202" t="s">
        <v>168</v>
      </c>
      <c r="B24" s="203"/>
      <c r="C24" s="203"/>
      <c r="D24" s="203"/>
      <c r="E24" s="204"/>
      <c r="F24" s="31"/>
      <c r="G24" s="31"/>
      <c r="H24" s="31"/>
      <c r="I24" s="31"/>
      <c r="J24" s="31"/>
      <c r="K24" s="31"/>
    </row>
    <row r="25" spans="1:11" x14ac:dyDescent="0.2">
      <c r="A25"/>
      <c r="B25"/>
      <c r="C25"/>
      <c r="D25"/>
      <c r="E25"/>
      <c r="F25" s="31"/>
      <c r="G25" s="31"/>
      <c r="H25" s="31"/>
      <c r="I25" s="31"/>
      <c r="J25" s="31"/>
      <c r="K25" s="31"/>
    </row>
    <row r="26" spans="1:11" ht="23.25" customHeight="1" x14ac:dyDescent="0.25">
      <c r="A26" s="202" t="s">
        <v>168</v>
      </c>
      <c r="B26" s="203"/>
      <c r="C26" s="203"/>
      <c r="D26" s="203"/>
      <c r="E26" s="204"/>
      <c r="F26" s="31"/>
      <c r="G26" s="31"/>
      <c r="H26" s="31"/>
      <c r="I26" s="31"/>
      <c r="J26" s="31"/>
      <c r="K26" s="31"/>
    </row>
    <row r="27" spans="1:11" ht="15.75" customHeight="1" x14ac:dyDescent="0.3">
      <c r="B27" s="30"/>
      <c r="F27" s="31"/>
      <c r="G27" s="31"/>
      <c r="H27" s="31"/>
      <c r="I27" s="31"/>
      <c r="J27" s="31"/>
      <c r="K27" s="31"/>
    </row>
    <row r="28" spans="1:11" ht="11.25" customHeight="1" x14ac:dyDescent="0.3">
      <c r="A28" s="30"/>
      <c r="B28" s="30"/>
      <c r="F28" s="31"/>
      <c r="G28" s="31"/>
      <c r="H28" s="31"/>
      <c r="I28" s="31"/>
      <c r="J28" s="31"/>
      <c r="K28" s="31"/>
    </row>
    <row r="29" spans="1:11" ht="20.25" x14ac:dyDescent="0.3">
      <c r="A29" s="25"/>
      <c r="B29" s="25"/>
      <c r="F29" s="31"/>
      <c r="G29" s="31"/>
      <c r="H29" s="31"/>
      <c r="I29" s="31"/>
      <c r="J29" s="31"/>
      <c r="K29" s="31"/>
    </row>
    <row r="30" spans="1:11" ht="20.25" x14ac:dyDescent="0.3">
      <c r="B30" s="30"/>
    </row>
    <row r="31" spans="1:11" ht="20.25" x14ac:dyDescent="0.3">
      <c r="A31" s="30"/>
      <c r="B31" s="30"/>
      <c r="H31" s="146" t="s">
        <v>471</v>
      </c>
    </row>
    <row r="32" spans="1:11" ht="13.5" customHeight="1" x14ac:dyDescent="0.3">
      <c r="A32" s="25"/>
      <c r="B32" s="25"/>
      <c r="H32" s="32" t="s">
        <v>148</v>
      </c>
    </row>
    <row r="33" spans="1:24" ht="15.75" customHeight="1" x14ac:dyDescent="0.3">
      <c r="B33" s="30"/>
      <c r="C33" s="30"/>
      <c r="D33" s="30"/>
      <c r="E33" s="30"/>
      <c r="H33" s="32" t="s">
        <v>173</v>
      </c>
    </row>
    <row r="34" spans="1:24" ht="12.75" customHeight="1" x14ac:dyDescent="0.2">
      <c r="A34" s="198" t="s">
        <v>52</v>
      </c>
      <c r="B34" s="198"/>
      <c r="C34" s="198"/>
      <c r="D34" s="198"/>
      <c r="E34" s="198"/>
      <c r="F34" s="198"/>
      <c r="G34" s="198"/>
      <c r="H34" s="198"/>
      <c r="I34" s="198"/>
      <c r="J34" s="198"/>
      <c r="K34" s="198"/>
      <c r="L34" s="198"/>
    </row>
    <row r="35" spans="1:24" ht="14.25" x14ac:dyDescent="0.2">
      <c r="A35" s="93"/>
      <c r="B35" s="195" t="s">
        <v>472</v>
      </c>
      <c r="C35" s="195"/>
      <c r="D35" s="195"/>
      <c r="E35" s="195"/>
      <c r="F35" s="195"/>
      <c r="G35" s="95"/>
      <c r="H35" s="195" t="s">
        <v>508</v>
      </c>
      <c r="I35" s="195"/>
      <c r="J35" s="195"/>
      <c r="K35" s="195"/>
      <c r="L35" s="195"/>
    </row>
    <row r="36" spans="1:24" ht="24" x14ac:dyDescent="0.2">
      <c r="A36" s="94"/>
      <c r="B36" s="96">
        <v>2008</v>
      </c>
      <c r="C36" s="96">
        <v>2009</v>
      </c>
      <c r="D36" s="96">
        <v>2010</v>
      </c>
      <c r="E36" s="96">
        <v>2011</v>
      </c>
      <c r="F36" s="96">
        <v>2012</v>
      </c>
      <c r="G36" s="96"/>
      <c r="H36" s="97" t="s">
        <v>32</v>
      </c>
      <c r="I36" s="97" t="s">
        <v>43</v>
      </c>
      <c r="J36" s="97" t="s">
        <v>44</v>
      </c>
      <c r="K36" s="97" t="s">
        <v>35</v>
      </c>
      <c r="L36" s="97" t="s">
        <v>56</v>
      </c>
    </row>
    <row r="37" spans="1:24" ht="15.75" customHeight="1" x14ac:dyDescent="0.2">
      <c r="A37" s="93" t="s">
        <v>29</v>
      </c>
      <c r="B37" s="98">
        <f>'Template IF 2'!C3</f>
        <v>5220393</v>
      </c>
      <c r="C37" s="98">
        <f>'Template IF 2'!D3</f>
        <v>5266214</v>
      </c>
      <c r="D37" s="98">
        <f>'Template IF 2'!E3</f>
        <v>5303925</v>
      </c>
      <c r="E37" s="98">
        <f>'Template IF 2'!F3</f>
        <v>5344861</v>
      </c>
      <c r="F37" s="98">
        <f>'Template IF 2'!G3</f>
        <v>5379139</v>
      </c>
      <c r="G37" s="95"/>
      <c r="H37" s="99">
        <f>'Template IF 2'!H3</f>
        <v>4654134</v>
      </c>
      <c r="I37" s="99">
        <f>'Template IF 2'!I3</f>
        <v>297962</v>
      </c>
      <c r="J37" s="99">
        <f>'Template IF 2'!J3</f>
        <v>68961</v>
      </c>
      <c r="K37" s="99">
        <f>'Template IF 2'!K3</f>
        <v>238326</v>
      </c>
      <c r="L37" s="99">
        <f>'Template IF 2'!L3</f>
        <v>264359</v>
      </c>
    </row>
    <row r="38" spans="1:24" ht="15.75" customHeight="1" x14ac:dyDescent="0.2">
      <c r="A38" s="93" t="str">
        <f>A16</f>
        <v>None</v>
      </c>
      <c r="B38" s="98" t="e">
        <f>VLOOKUP($A16,'Template IF 2'!$B$3:$HH$112,2,FALSE)</f>
        <v>#N/A</v>
      </c>
      <c r="C38" s="100" t="e">
        <f>VLOOKUP($A16,'Template IF 2'!$B$3:$HH$112,3,FALSE)</f>
        <v>#N/A</v>
      </c>
      <c r="D38" s="100" t="e">
        <f>VLOOKUP($A16,'Template IF 2'!$B$3:$HH$112,4,FALSE)</f>
        <v>#N/A</v>
      </c>
      <c r="E38" s="100" t="e">
        <f>VLOOKUP($A16,'Template IF 2'!$B$3:$HH$112,5,FALSE)</f>
        <v>#N/A</v>
      </c>
      <c r="F38" s="100" t="e">
        <f>VLOOKUP($A16,'Template IF 2'!$B$3:$HH$112,6,FALSE)</f>
        <v>#N/A</v>
      </c>
      <c r="G38" s="95"/>
      <c r="H38" s="100" t="e">
        <f>VLOOKUP($A16,'Template IF 2'!$B$3:$HH$112,7,FALSE)</f>
        <v>#N/A</v>
      </c>
      <c r="I38" s="100" t="e">
        <f>VLOOKUP($A16,'Template IF 2'!$B$3:$HH$112,8,FALSE)</f>
        <v>#N/A</v>
      </c>
      <c r="J38" s="100" t="e">
        <f>VLOOKUP($A16,'Template IF 2'!$B$3:$HH$112,9,FALSE)</f>
        <v>#N/A</v>
      </c>
      <c r="K38" s="100" t="e">
        <f>VLOOKUP($A16,'Template IF 2'!$B$3:$HH$112,10,FALSE)</f>
        <v>#N/A</v>
      </c>
      <c r="L38" s="100" t="e">
        <f>VLOOKUP($A16,'Template IF 2'!$B$3:$HH$112,11,FALSE)</f>
        <v>#N/A</v>
      </c>
    </row>
    <row r="39" spans="1:24" ht="15.75" customHeight="1" x14ac:dyDescent="0.2">
      <c r="A39" s="93" t="str">
        <f>A18</f>
        <v>None</v>
      </c>
      <c r="B39" s="98" t="e">
        <f>VLOOKUP($A18,'Template IF 2'!$B$3:$HH$112,2,FALSE)</f>
        <v>#N/A</v>
      </c>
      <c r="C39" s="100" t="e">
        <f>VLOOKUP($A18,'Template IF 2'!$B$3:$HH$112,3,FALSE)</f>
        <v>#N/A</v>
      </c>
      <c r="D39" s="100" t="e">
        <f>VLOOKUP($A18,'Template IF 2'!$B$3:$HH$112,4,FALSE)</f>
        <v>#N/A</v>
      </c>
      <c r="E39" s="100" t="e">
        <f>VLOOKUP($A18,'Template IF 2'!$B$3:$HH$112,5,FALSE)</f>
        <v>#N/A</v>
      </c>
      <c r="F39" s="100" t="e">
        <f>VLOOKUP($A18,'Template IF 2'!$B$3:$HH$112,6,FALSE)</f>
        <v>#N/A</v>
      </c>
      <c r="G39" s="95"/>
      <c r="H39" s="100" t="e">
        <f>VLOOKUP($A18,'Template IF 2'!$B$3:$HH$112,7,FALSE)</f>
        <v>#N/A</v>
      </c>
      <c r="I39" s="100" t="e">
        <f>VLOOKUP($A18,'Template IF 2'!$B$3:$HH$112,8,FALSE)</f>
        <v>#N/A</v>
      </c>
      <c r="J39" s="100" t="e">
        <f>VLOOKUP($A18,'Template IF 2'!$B$3:$HH$112,9,FALSE)</f>
        <v>#N/A</v>
      </c>
      <c r="K39" s="100" t="e">
        <f>VLOOKUP($A18,'Template IF 2'!$B$3:$HH$112,10,FALSE)</f>
        <v>#N/A</v>
      </c>
      <c r="L39" s="100" t="e">
        <f>VLOOKUP($A18,'Template IF 2'!$B$3:$HH$112,11,FALSE)</f>
        <v>#N/A</v>
      </c>
    </row>
    <row r="40" spans="1:24" ht="15.75" customHeight="1" x14ac:dyDescent="0.2">
      <c r="A40" s="93" t="str">
        <f>A20</f>
        <v>None</v>
      </c>
      <c r="B40" s="98" t="e">
        <f>VLOOKUP($A20,'Template IF 2'!$B$3:$HH$112,2,FALSE)</f>
        <v>#N/A</v>
      </c>
      <c r="C40" s="100" t="e">
        <f>VLOOKUP($A20,'Template IF 2'!$B$3:$HH$112,3,FALSE)</f>
        <v>#N/A</v>
      </c>
      <c r="D40" s="100" t="e">
        <f>VLOOKUP($A20,'Template IF 2'!$B$3:$HH$112,4,FALSE)</f>
        <v>#N/A</v>
      </c>
      <c r="E40" s="100" t="e">
        <f>VLOOKUP($A20,'Template IF 2'!$B$3:$HH$112,5,FALSE)</f>
        <v>#N/A</v>
      </c>
      <c r="F40" s="100" t="e">
        <f>VLOOKUP($A20,'Template IF 2'!$B$3:$HH$112,6,FALSE)</f>
        <v>#N/A</v>
      </c>
      <c r="G40" s="95"/>
      <c r="H40" s="100" t="e">
        <f>VLOOKUP($A20,'Template IF 2'!$B$3:$HH$112,7,FALSE)</f>
        <v>#N/A</v>
      </c>
      <c r="I40" s="100" t="e">
        <f>VLOOKUP($A20,'Template IF 2'!$B$3:$HH$112,8,FALSE)</f>
        <v>#N/A</v>
      </c>
      <c r="J40" s="100" t="e">
        <f>VLOOKUP($A20,'Template IF 2'!$B$3:$HH$112,9,FALSE)</f>
        <v>#N/A</v>
      </c>
      <c r="K40" s="100" t="e">
        <f>VLOOKUP($A20,'Template IF 2'!$B$3:$HH$112,10,FALSE)</f>
        <v>#N/A</v>
      </c>
      <c r="L40" s="100" t="e">
        <f>VLOOKUP($A20,'Template IF 2'!$B$3:$HH$112,11,FALSE)</f>
        <v>#N/A</v>
      </c>
    </row>
    <row r="41" spans="1:24" ht="15.75" customHeight="1" x14ac:dyDescent="0.2">
      <c r="A41" s="93" t="str">
        <f>A22</f>
        <v>None</v>
      </c>
      <c r="B41" s="98" t="e">
        <f>VLOOKUP($A22,'Template IF 2'!$B$3:$HH$112,2,FALSE)</f>
        <v>#N/A</v>
      </c>
      <c r="C41" s="100" t="e">
        <f>VLOOKUP($A22,'Template IF 2'!$B$3:$HH$112,3,FALSE)</f>
        <v>#N/A</v>
      </c>
      <c r="D41" s="100" t="e">
        <f>VLOOKUP($A22,'Template IF 2'!$B$3:$HH$112,4,FALSE)</f>
        <v>#N/A</v>
      </c>
      <c r="E41" s="100" t="e">
        <f>VLOOKUP($A22,'Template IF 2'!$B$3:$HH$112,5,FALSE)</f>
        <v>#N/A</v>
      </c>
      <c r="F41" s="100" t="e">
        <f>VLOOKUP($A22,'Template IF 2'!$B$3:$HH$112,6,FALSE)</f>
        <v>#N/A</v>
      </c>
      <c r="G41" s="95"/>
      <c r="H41" s="100" t="e">
        <f>VLOOKUP($A22,'Template IF 2'!$B$3:$HH$112,7,FALSE)</f>
        <v>#N/A</v>
      </c>
      <c r="I41" s="100" t="e">
        <f>VLOOKUP($A22,'Template IF 2'!$B$3:$HH$112,8,FALSE)</f>
        <v>#N/A</v>
      </c>
      <c r="J41" s="100" t="e">
        <f>VLOOKUP($A22,'Template IF 2'!$B$3:$HH$112,9,FALSE)</f>
        <v>#N/A</v>
      </c>
      <c r="K41" s="100" t="e">
        <f>VLOOKUP($A22,'Template IF 2'!$B$3:$HH$112,10,FALSE)</f>
        <v>#N/A</v>
      </c>
      <c r="L41" s="100" t="e">
        <f>VLOOKUP($A22,'Template IF 2'!$B$3:$HH$112,11,FALSE)</f>
        <v>#N/A</v>
      </c>
    </row>
    <row r="42" spans="1:24" ht="15.75" customHeight="1" x14ac:dyDescent="0.2">
      <c r="A42" s="93" t="str">
        <f>A24</f>
        <v>None</v>
      </c>
      <c r="B42" s="98" t="e">
        <f>VLOOKUP($A24,'Template IF 2'!$B$3:$HH$112,2,FALSE)</f>
        <v>#N/A</v>
      </c>
      <c r="C42" s="100" t="e">
        <f>VLOOKUP($A24,'Template IF 2'!$B$3:$HH$112,3,FALSE)</f>
        <v>#N/A</v>
      </c>
      <c r="D42" s="100" t="e">
        <f>VLOOKUP($A24,'Template IF 2'!$B$3:$HH$112,4,FALSE)</f>
        <v>#N/A</v>
      </c>
      <c r="E42" s="100" t="e">
        <f>VLOOKUP($A24,'Template IF 2'!$B$3:$HH$112,5,FALSE)</f>
        <v>#N/A</v>
      </c>
      <c r="F42" s="100" t="e">
        <f>VLOOKUP($A24,'Template IF 2'!$B$3:$HH$112,6,FALSE)</f>
        <v>#N/A</v>
      </c>
      <c r="G42" s="95"/>
      <c r="H42" s="100" t="e">
        <f>VLOOKUP($A24,'Template IF 2'!$B$3:$HH$112,7,FALSE)</f>
        <v>#N/A</v>
      </c>
      <c r="I42" s="100" t="e">
        <f>VLOOKUP($A24,'Template IF 2'!$B$3:$HH$112,8,FALSE)</f>
        <v>#N/A</v>
      </c>
      <c r="J42" s="100" t="e">
        <f>VLOOKUP($A24,'Template IF 2'!$B$3:$HH$112,9,FALSE)</f>
        <v>#N/A</v>
      </c>
      <c r="K42" s="100" t="e">
        <f>VLOOKUP($A24,'Template IF 2'!$B$3:$HH$112,10,FALSE)</f>
        <v>#N/A</v>
      </c>
      <c r="L42" s="100" t="e">
        <f>VLOOKUP($A24,'Template IF 2'!$B$3:$HH$112,11,FALSE)</f>
        <v>#N/A</v>
      </c>
    </row>
    <row r="43" spans="1:24" ht="15.75" customHeight="1" x14ac:dyDescent="0.2">
      <c r="A43" s="94" t="str">
        <f>A26</f>
        <v>None</v>
      </c>
      <c r="B43" s="101" t="e">
        <f>VLOOKUP($A26,'Template IF 2'!$B$3:$HH$112,2,FALSE)</f>
        <v>#N/A</v>
      </c>
      <c r="C43" s="102" t="e">
        <f>VLOOKUP($A26,'Template IF 2'!$B$3:$HH$112,3,FALSE)</f>
        <v>#N/A</v>
      </c>
      <c r="D43" s="102" t="e">
        <f>VLOOKUP($A26,'Template IF 2'!$B$3:$HH$112,4,FALSE)</f>
        <v>#N/A</v>
      </c>
      <c r="E43" s="102" t="e">
        <f>VLOOKUP($A26,'Template IF 2'!$B$3:$HH$112,5,FALSE)</f>
        <v>#N/A</v>
      </c>
      <c r="F43" s="102" t="e">
        <f>VLOOKUP($A26,'Template IF 2'!$B$3:$HH$112,6,FALSE)</f>
        <v>#N/A</v>
      </c>
      <c r="G43" s="96"/>
      <c r="H43" s="102" t="e">
        <f>VLOOKUP($A26,'Template IF 2'!$B$3:$HH$112,7,FALSE)</f>
        <v>#N/A</v>
      </c>
      <c r="I43" s="102" t="e">
        <f>VLOOKUP($A26,'Template IF 2'!$B$3:$HH$112,8,FALSE)</f>
        <v>#N/A</v>
      </c>
      <c r="J43" s="102" t="e">
        <f>VLOOKUP($A26,'Template IF 2'!$B$3:$HH$112,9,FALSE)</f>
        <v>#N/A</v>
      </c>
      <c r="K43" s="102" t="e">
        <f>VLOOKUP($A26,'Template IF 2'!$B$3:$HH$112,10,FALSE)</f>
        <v>#N/A</v>
      </c>
      <c r="L43" s="102" t="e">
        <f>VLOOKUP($A26,'Template IF 2'!$B$3:$HH$112,11,FALSE)</f>
        <v>#N/A</v>
      </c>
    </row>
    <row r="44" spans="1:24" ht="15.75" customHeight="1" x14ac:dyDescent="0.2">
      <c r="A44" s="93"/>
      <c r="B44" s="95"/>
      <c r="C44" s="95"/>
      <c r="D44" s="95"/>
      <c r="E44" s="95"/>
      <c r="F44" s="95"/>
      <c r="G44" s="95"/>
      <c r="H44" s="103"/>
      <c r="I44" s="95"/>
      <c r="J44" s="95"/>
      <c r="K44" s="95" t="s">
        <v>57</v>
      </c>
      <c r="L44" s="95"/>
    </row>
    <row r="45" spans="1:24" ht="15.75" customHeight="1" x14ac:dyDescent="0.2">
      <c r="A45" s="93"/>
      <c r="B45" s="95"/>
      <c r="C45" s="95"/>
      <c r="D45" s="95"/>
      <c r="E45" s="95"/>
      <c r="F45" s="95"/>
      <c r="G45" s="95"/>
      <c r="H45" s="193" t="s">
        <v>473</v>
      </c>
      <c r="I45" s="193"/>
      <c r="J45" s="193"/>
      <c r="K45" s="193"/>
      <c r="L45" s="193"/>
    </row>
    <row r="46" spans="1:24" ht="15.75" customHeight="1" x14ac:dyDescent="0.2">
      <c r="A46" s="93"/>
      <c r="B46" s="195" t="s">
        <v>474</v>
      </c>
      <c r="C46" s="195"/>
      <c r="D46" s="195"/>
      <c r="E46" s="195"/>
      <c r="F46" s="195"/>
      <c r="G46" s="95"/>
      <c r="H46" s="196"/>
      <c r="I46" s="196"/>
      <c r="J46" s="196"/>
      <c r="K46" s="196"/>
      <c r="L46" s="196"/>
    </row>
    <row r="47" spans="1:24" ht="15.75" customHeight="1" x14ac:dyDescent="0.2">
      <c r="A47" s="94"/>
      <c r="B47" s="96">
        <v>2008</v>
      </c>
      <c r="C47" s="96">
        <v>2009</v>
      </c>
      <c r="D47" s="96">
        <v>2010</v>
      </c>
      <c r="E47" s="96">
        <v>2011</v>
      </c>
      <c r="F47" s="96">
        <v>2012</v>
      </c>
      <c r="G47" s="96"/>
      <c r="H47" s="96">
        <v>2008</v>
      </c>
      <c r="I47" s="96">
        <v>2009</v>
      </c>
      <c r="J47" s="96">
        <v>2010</v>
      </c>
      <c r="K47" s="96">
        <v>2011</v>
      </c>
      <c r="L47" s="96">
        <v>2012</v>
      </c>
      <c r="X47"/>
    </row>
    <row r="48" spans="1:24" ht="15.75" customHeight="1" x14ac:dyDescent="0.2">
      <c r="A48" s="93" t="s">
        <v>29</v>
      </c>
      <c r="B48" s="99">
        <f>'Template IF 2'!M3</f>
        <v>2095574</v>
      </c>
      <c r="C48" s="99">
        <f>'Template IF 2'!N3</f>
        <v>2108843</v>
      </c>
      <c r="D48" s="99">
        <f>'Template IF 2'!O3</f>
        <v>2087227</v>
      </c>
      <c r="E48" s="99">
        <f>'Template IF 2'!P3</f>
        <v>2101295</v>
      </c>
      <c r="F48" s="99">
        <f>'Template IF 2'!Q3</f>
        <v>2110877</v>
      </c>
      <c r="G48" s="95"/>
      <c r="H48" s="104">
        <f>'Template IF 2'!R3</f>
        <v>18.405817030301797</v>
      </c>
      <c r="I48" s="104">
        <f>'Template IF 2'!S3</f>
        <v>18.90554594234591</v>
      </c>
      <c r="J48" s="104">
        <f>'Template IF 2'!T3</f>
        <v>19.202697908766517</v>
      </c>
      <c r="K48" s="104">
        <f>'Template IF 2'!U3</f>
        <v>19.592109307625496</v>
      </c>
      <c r="L48" s="104">
        <f>'Template IF 2'!V3</f>
        <v>20.342424933392131</v>
      </c>
      <c r="M48" s="24"/>
      <c r="N48" s="24"/>
      <c r="O48" s="24"/>
      <c r="P48" s="24"/>
      <c r="Q48" s="24"/>
      <c r="S48" s="24"/>
      <c r="T48" s="24"/>
      <c r="U48" s="24"/>
      <c r="V48" s="24"/>
      <c r="W48" s="24"/>
    </row>
    <row r="49" spans="1:24" ht="15.75" customHeight="1" x14ac:dyDescent="0.2">
      <c r="A49" s="93" t="str">
        <f>A16</f>
        <v>None</v>
      </c>
      <c r="B49" s="100" t="e">
        <f>VLOOKUP($A16,'Template IF 2'!$B$3:$HH$112,12,FALSE)</f>
        <v>#N/A</v>
      </c>
      <c r="C49" s="100" t="e">
        <f>VLOOKUP($A16,'Template IF 2'!$B$3:$HH$112,13,FALSE)</f>
        <v>#N/A</v>
      </c>
      <c r="D49" s="100" t="e">
        <f>VLOOKUP($A16,'Template IF 2'!$B$3:$HH$112,14,FALSE)</f>
        <v>#N/A</v>
      </c>
      <c r="E49" s="100" t="e">
        <f>VLOOKUP($A16,'Template IF 2'!$B$3:$HH$112,15,FALSE)</f>
        <v>#N/A</v>
      </c>
      <c r="F49" s="100" t="e">
        <f>VLOOKUP($A16,'Template IF 2'!$B$3:$HH$112,16,FALSE)</f>
        <v>#N/A</v>
      </c>
      <c r="G49" s="95"/>
      <c r="H49" s="105" t="e">
        <f>VLOOKUP($A16,'Template IF 2'!$B$3:$HH$112,17,FALSE)</f>
        <v>#N/A</v>
      </c>
      <c r="I49" s="105" t="e">
        <f>VLOOKUP($A16,'Template IF 2'!$B$3:$HH$112,18,FALSE)</f>
        <v>#N/A</v>
      </c>
      <c r="J49" s="105" t="e">
        <f>VLOOKUP($A16,'Template IF 2'!$B$3:$HH$112,19,FALSE)</f>
        <v>#N/A</v>
      </c>
      <c r="K49" s="105" t="e">
        <f>VLOOKUP($A16,'Template IF 2'!$B$3:$HH$112,20,FALSE)</f>
        <v>#N/A</v>
      </c>
      <c r="L49" s="105" t="e">
        <f>VLOOKUP($A16,'Template IF 2'!$B$3:$HH$112,21,FALSE)</f>
        <v>#N/A</v>
      </c>
      <c r="M49" s="24"/>
      <c r="N49" s="24"/>
      <c r="O49" s="24"/>
      <c r="P49" s="24"/>
      <c r="Q49" s="24"/>
      <c r="S49" s="24"/>
      <c r="T49" s="24"/>
      <c r="U49" s="24"/>
      <c r="V49" s="24"/>
      <c r="W49" s="24"/>
      <c r="X49" s="24"/>
    </row>
    <row r="50" spans="1:24" ht="15.75" customHeight="1" x14ac:dyDescent="0.2">
      <c r="A50" s="93" t="str">
        <f>A18</f>
        <v>None</v>
      </c>
      <c r="B50" s="100" t="e">
        <f>VLOOKUP($A18,'Template IF 2'!$B$3:$HH$112,12,FALSE)</f>
        <v>#N/A</v>
      </c>
      <c r="C50" s="100" t="e">
        <f>VLOOKUP($A18,'Template IF 2'!$B$3:$HH$112,13,FALSE)</f>
        <v>#N/A</v>
      </c>
      <c r="D50" s="100" t="e">
        <f>VLOOKUP($A18,'Template IF 2'!$B$3:$HH$112,14,FALSE)</f>
        <v>#N/A</v>
      </c>
      <c r="E50" s="100" t="e">
        <f>VLOOKUP($A18,'Template IF 2'!$B$3:$HH$112,15,FALSE)</f>
        <v>#N/A</v>
      </c>
      <c r="F50" s="100" t="e">
        <f>VLOOKUP($A18,'Template IF 2'!$B$3:$HH$112,16,FALSE)</f>
        <v>#N/A</v>
      </c>
      <c r="G50" s="95"/>
      <c r="H50" s="105" t="e">
        <f>VLOOKUP($A18,'Template IF 2'!$B$3:$HH$112,17,FALSE)</f>
        <v>#N/A</v>
      </c>
      <c r="I50" s="105" t="e">
        <f>VLOOKUP($A18,'Template IF 2'!$B$3:$HH$112,18,FALSE)</f>
        <v>#N/A</v>
      </c>
      <c r="J50" s="105" t="e">
        <f>VLOOKUP($A18,'Template IF 2'!$B$3:$HH$112,19,FALSE)</f>
        <v>#N/A</v>
      </c>
      <c r="K50" s="105" t="e">
        <f>VLOOKUP($A18,'Template IF 2'!$B$3:$HH$112,20,FALSE)</f>
        <v>#N/A</v>
      </c>
      <c r="L50" s="105" t="e">
        <f>VLOOKUP($A18,'Template IF 2'!$B$3:$HH$112,21,FALSE)</f>
        <v>#N/A</v>
      </c>
    </row>
    <row r="51" spans="1:24" ht="15.75" customHeight="1" x14ac:dyDescent="0.2">
      <c r="A51" s="93" t="str">
        <f>A20</f>
        <v>None</v>
      </c>
      <c r="B51" s="100" t="e">
        <f>VLOOKUP($A20,'Template IF 2'!$B$3:$HH$112,12,FALSE)</f>
        <v>#N/A</v>
      </c>
      <c r="C51" s="100" t="e">
        <f>VLOOKUP($A20,'Template IF 2'!$B$3:$HH$112,13,FALSE)</f>
        <v>#N/A</v>
      </c>
      <c r="D51" s="100" t="e">
        <f>VLOOKUP($A20,'Template IF 2'!$B$3:$HH$112,14,FALSE)</f>
        <v>#N/A</v>
      </c>
      <c r="E51" s="100" t="e">
        <f>VLOOKUP($A20,'Template IF 2'!$B$3:$HH$112,15,FALSE)</f>
        <v>#N/A</v>
      </c>
      <c r="F51" s="100" t="e">
        <f>VLOOKUP($A20,'Template IF 2'!$B$3:$HH$112,16,FALSE)</f>
        <v>#N/A</v>
      </c>
      <c r="G51" s="95"/>
      <c r="H51" s="105" t="e">
        <f>VLOOKUP($A20,'Template IF 2'!$B$3:$HH$112,17,FALSE)</f>
        <v>#N/A</v>
      </c>
      <c r="I51" s="105" t="e">
        <f>VLOOKUP($A20,'Template IF 2'!$B$3:$HH$112,18,FALSE)</f>
        <v>#N/A</v>
      </c>
      <c r="J51" s="105" t="e">
        <f>VLOOKUP($A20,'Template IF 2'!$B$3:$HH$112,19,FALSE)</f>
        <v>#N/A</v>
      </c>
      <c r="K51" s="105" t="e">
        <f>VLOOKUP($A20,'Template IF 2'!$B$3:$HH$112,20,FALSE)</f>
        <v>#N/A</v>
      </c>
      <c r="L51" s="105" t="e">
        <f>VLOOKUP($A20,'Template IF 2'!$B$3:$HH$112,21,FALSE)</f>
        <v>#N/A</v>
      </c>
    </row>
    <row r="52" spans="1:24" ht="15.75" customHeight="1" x14ac:dyDescent="0.2">
      <c r="A52" s="93" t="str">
        <f>A22</f>
        <v>None</v>
      </c>
      <c r="B52" s="100" t="e">
        <f>VLOOKUP($A22,'Template IF 2'!$B$3:$HH$112,12,FALSE)</f>
        <v>#N/A</v>
      </c>
      <c r="C52" s="100" t="e">
        <f>VLOOKUP($A22,'Template IF 2'!$B$3:$HH$112,13,FALSE)</f>
        <v>#N/A</v>
      </c>
      <c r="D52" s="100" t="e">
        <f>VLOOKUP($A22,'Template IF 2'!$B$3:$HH$112,14,FALSE)</f>
        <v>#N/A</v>
      </c>
      <c r="E52" s="100" t="e">
        <f>VLOOKUP($A22,'Template IF 2'!$B$3:$HH$112,15,FALSE)</f>
        <v>#N/A</v>
      </c>
      <c r="F52" s="100" t="e">
        <f>VLOOKUP($A22,'Template IF 2'!$B$3:$HH$112,16,FALSE)</f>
        <v>#N/A</v>
      </c>
      <c r="G52" s="95"/>
      <c r="H52" s="105" t="e">
        <f>VLOOKUP($A22,'Template IF 2'!$B$3:$HH$112,17,FALSE)</f>
        <v>#N/A</v>
      </c>
      <c r="I52" s="105" t="e">
        <f>VLOOKUP($A22,'Template IF 2'!$B$3:$HH$112,18,FALSE)</f>
        <v>#N/A</v>
      </c>
      <c r="J52" s="105" t="e">
        <f>VLOOKUP($A22,'Template IF 2'!$B$3:$HH$112,19,FALSE)</f>
        <v>#N/A</v>
      </c>
      <c r="K52" s="105" t="e">
        <f>VLOOKUP($A22,'Template IF 2'!$B$3:$HH$112,20,FALSE)</f>
        <v>#N/A</v>
      </c>
      <c r="L52" s="105" t="e">
        <f>VLOOKUP($A22,'Template IF 2'!$B$3:$HH$112,21,FALSE)</f>
        <v>#N/A</v>
      </c>
    </row>
    <row r="53" spans="1:24" ht="15.75" customHeight="1" x14ac:dyDescent="0.2">
      <c r="A53" s="93" t="str">
        <f>A24</f>
        <v>None</v>
      </c>
      <c r="B53" s="100" t="e">
        <f>VLOOKUP($A24,'Template IF 2'!$B$3:$HH$112,12,FALSE)</f>
        <v>#N/A</v>
      </c>
      <c r="C53" s="100" t="e">
        <f>VLOOKUP($A24,'Template IF 2'!$B$3:$HH$112,13,FALSE)</f>
        <v>#N/A</v>
      </c>
      <c r="D53" s="100" t="e">
        <f>VLOOKUP($A24,'Template IF 2'!$B$3:$HH$112,14,FALSE)</f>
        <v>#N/A</v>
      </c>
      <c r="E53" s="100" t="e">
        <f>VLOOKUP($A24,'Template IF 2'!$B$3:$HH$112,15,FALSE)</f>
        <v>#N/A</v>
      </c>
      <c r="F53" s="100" t="e">
        <f>VLOOKUP($A24,'Template IF 2'!$B$3:$HH$112,16,FALSE)</f>
        <v>#N/A</v>
      </c>
      <c r="G53" s="95"/>
      <c r="H53" s="105" t="e">
        <f>VLOOKUP($A24,'Template IF 2'!$B$3:$HH$112,17,FALSE)</f>
        <v>#N/A</v>
      </c>
      <c r="I53" s="105" t="e">
        <f>VLOOKUP($A24,'Template IF 2'!$B$3:$HH$112,18,FALSE)</f>
        <v>#N/A</v>
      </c>
      <c r="J53" s="105" t="e">
        <f>VLOOKUP($A24,'Template IF 2'!$B$3:$HH$112,19,FALSE)</f>
        <v>#N/A</v>
      </c>
      <c r="K53" s="105" t="e">
        <f>VLOOKUP($A24,'Template IF 2'!$B$3:$HH$112,20,FALSE)</f>
        <v>#N/A</v>
      </c>
      <c r="L53" s="105" t="e">
        <f>VLOOKUP($A24,'Template IF 2'!$B$3:$HH$112,21,FALSE)</f>
        <v>#N/A</v>
      </c>
    </row>
    <row r="54" spans="1:24" ht="15.75" customHeight="1" x14ac:dyDescent="0.2">
      <c r="A54" s="94" t="str">
        <f>A26</f>
        <v>None</v>
      </c>
      <c r="B54" s="102" t="e">
        <f>VLOOKUP($A26,'Template IF 2'!$B$3:$HH$112,12,FALSE)</f>
        <v>#N/A</v>
      </c>
      <c r="C54" s="102" t="e">
        <f>VLOOKUP($A26,'Template IF 2'!$B$3:$HH$112,13,FALSE)</f>
        <v>#N/A</v>
      </c>
      <c r="D54" s="102" t="e">
        <f>VLOOKUP($A26,'Template IF 2'!$B$3:$HH$112,14,FALSE)</f>
        <v>#N/A</v>
      </c>
      <c r="E54" s="102" t="e">
        <f>VLOOKUP($A26,'Template IF 2'!$B$3:$HH$112,15,FALSE)</f>
        <v>#N/A</v>
      </c>
      <c r="F54" s="102" t="e">
        <f>VLOOKUP($A26,'Template IF 2'!$B$3:$HH$112,16,FALSE)</f>
        <v>#N/A</v>
      </c>
      <c r="G54" s="96"/>
      <c r="H54" s="106" t="e">
        <f>VLOOKUP($A26,'Template IF 2'!$B$3:$HH$112,17,FALSE)</f>
        <v>#N/A</v>
      </c>
      <c r="I54" s="106" t="e">
        <f>VLOOKUP($A26,'Template IF 2'!$B$3:$HH$112,18,FALSE)</f>
        <v>#N/A</v>
      </c>
      <c r="J54" s="106" t="e">
        <f>VLOOKUP($A26,'Template IF 2'!$B$3:$HH$112,19,FALSE)</f>
        <v>#N/A</v>
      </c>
      <c r="K54" s="106" t="e">
        <f>VLOOKUP($A26,'Template IF 2'!$B$3:$HH$112,20,FALSE)</f>
        <v>#N/A</v>
      </c>
      <c r="L54" s="106" t="e">
        <f>VLOOKUP($A26,'Template IF 2'!$B$3:$HH$112,21,FALSE)</f>
        <v>#N/A</v>
      </c>
    </row>
    <row r="55" spans="1:24" ht="15.75" customHeight="1" x14ac:dyDescent="0.2">
      <c r="A55" s="107"/>
      <c r="B55" s="95"/>
      <c r="C55" s="95"/>
      <c r="D55" s="95"/>
      <c r="E55" s="95"/>
      <c r="F55" s="95"/>
      <c r="G55" s="95"/>
      <c r="H55" s="108"/>
      <c r="I55" s="108"/>
      <c r="J55" s="108"/>
      <c r="K55" s="108"/>
      <c r="L55" s="108"/>
    </row>
    <row r="56" spans="1:24" ht="15.75" customHeight="1" x14ac:dyDescent="0.2">
      <c r="A56" s="93"/>
      <c r="B56" s="193" t="s">
        <v>475</v>
      </c>
      <c r="C56" s="193"/>
      <c r="D56" s="193"/>
      <c r="E56" s="193"/>
      <c r="F56" s="193"/>
      <c r="G56" s="95"/>
      <c r="H56" s="193" t="s">
        <v>476</v>
      </c>
      <c r="I56" s="193"/>
      <c r="J56" s="193"/>
      <c r="K56" s="193"/>
      <c r="L56" s="193"/>
    </row>
    <row r="57" spans="1:24" ht="15.75" customHeight="1" x14ac:dyDescent="0.2">
      <c r="A57" s="93"/>
      <c r="B57" s="196"/>
      <c r="C57" s="196"/>
      <c r="D57" s="196"/>
      <c r="E57" s="196"/>
      <c r="F57" s="196"/>
      <c r="G57" s="95"/>
      <c r="H57" s="196"/>
      <c r="I57" s="196"/>
      <c r="J57" s="196"/>
      <c r="K57" s="196"/>
      <c r="L57" s="196"/>
    </row>
    <row r="58" spans="1:24" ht="15.75" customHeight="1" x14ac:dyDescent="0.2">
      <c r="A58" s="94"/>
      <c r="B58" s="96">
        <v>2008</v>
      </c>
      <c r="C58" s="96">
        <v>2009</v>
      </c>
      <c r="D58" s="96">
        <v>2010</v>
      </c>
      <c r="E58" s="96">
        <v>2011</v>
      </c>
      <c r="F58" s="96">
        <v>2012</v>
      </c>
      <c r="G58" s="96"/>
      <c r="H58" s="96">
        <v>2008</v>
      </c>
      <c r="I58" s="96">
        <v>2009</v>
      </c>
      <c r="J58" s="96">
        <v>2010</v>
      </c>
      <c r="K58" s="96">
        <v>2011</v>
      </c>
      <c r="L58" s="96">
        <v>2012</v>
      </c>
    </row>
    <row r="59" spans="1:24" ht="15.75" customHeight="1" x14ac:dyDescent="0.2">
      <c r="A59" s="93" t="s">
        <v>29</v>
      </c>
      <c r="B59" s="104">
        <f>'Template IF 2'!W3</f>
        <v>29.300242876124123</v>
      </c>
      <c r="C59" s="104">
        <f>'Template IF 2'!X3</f>
        <v>29.458821686574556</v>
      </c>
      <c r="D59" s="104">
        <f>'Template IF 2'!Y3</f>
        <v>29.891927356383359</v>
      </c>
      <c r="E59" s="104">
        <f>'Template IF 2'!Z3</f>
        <v>29.626864692420845</v>
      </c>
      <c r="F59" s="104">
        <f>'Template IF 2'!AA3</f>
        <v>29.602326355419251</v>
      </c>
      <c r="G59" s="95"/>
      <c r="H59" s="104">
        <f>'Template IF 2'!AB3</f>
        <v>47.706059906425921</v>
      </c>
      <c r="I59" s="104">
        <f>'Template IF 2'!AC3</f>
        <v>48.364367628920469</v>
      </c>
      <c r="J59" s="104">
        <f>'Template IF 2'!AD3</f>
        <v>49.094625265149872</v>
      </c>
      <c r="K59" s="104">
        <f>'Template IF 2'!AE3</f>
        <v>49.218974000046344</v>
      </c>
      <c r="L59" s="104">
        <f>'Template IF 2'!AF3</f>
        <v>49.944751288811382</v>
      </c>
      <c r="M59" s="24"/>
      <c r="N59" s="24"/>
      <c r="O59" s="24"/>
      <c r="P59" s="24"/>
      <c r="Q59" s="24"/>
      <c r="S59" s="24"/>
      <c r="T59" s="24"/>
      <c r="U59" s="24"/>
      <c r="V59" s="24"/>
      <c r="W59" s="24"/>
    </row>
    <row r="60" spans="1:24" ht="15.75" customHeight="1" x14ac:dyDescent="0.2">
      <c r="A60" s="93" t="str">
        <f>A16</f>
        <v>None</v>
      </c>
      <c r="B60" s="105" t="e">
        <f>VLOOKUP($A16,'Template IF 2'!$B$3:$HH$112,22,FALSE)</f>
        <v>#N/A</v>
      </c>
      <c r="C60" s="105" t="e">
        <f>VLOOKUP($A16,'Template IF 2'!$B$3:$HH$112,23,FALSE)</f>
        <v>#N/A</v>
      </c>
      <c r="D60" s="105" t="e">
        <f>VLOOKUP($A16,'Template IF 2'!$B$3:$HH$112,24,FALSE)</f>
        <v>#N/A</v>
      </c>
      <c r="E60" s="105" t="e">
        <f>VLOOKUP($A16,'Template IF 2'!$B$3:$HH$112,25,FALSE)</f>
        <v>#N/A</v>
      </c>
      <c r="F60" s="105" t="e">
        <f>VLOOKUP($A16,'Template IF 2'!$B$3:$HH$112,26,FALSE)</f>
        <v>#N/A</v>
      </c>
      <c r="G60" s="95"/>
      <c r="H60" s="105" t="e">
        <f>VLOOKUP($A16,'Template IF 2'!$B$3:$HH$112,27,FALSE)</f>
        <v>#N/A</v>
      </c>
      <c r="I60" s="105" t="e">
        <f>VLOOKUP($A16,'Template IF 2'!$B$3:$HH$112,28,FALSE)</f>
        <v>#N/A</v>
      </c>
      <c r="J60" s="105" t="e">
        <f>VLOOKUP($A16,'Template IF 2'!$B$3:$HH$112,29,FALSE)</f>
        <v>#N/A</v>
      </c>
      <c r="K60" s="105" t="e">
        <f>VLOOKUP($A16,'Template IF 2'!$B$3:$HH$112,30,FALSE)</f>
        <v>#N/A</v>
      </c>
      <c r="L60" s="105" t="e">
        <f>VLOOKUP($A16,'Template IF 2'!$B$3:$HH$112,31,FALSE)</f>
        <v>#N/A</v>
      </c>
      <c r="M60" s="24"/>
      <c r="N60" s="24"/>
      <c r="O60" s="24"/>
      <c r="P60" s="24"/>
      <c r="Q60" s="24"/>
      <c r="S60" s="24"/>
      <c r="T60" s="24"/>
      <c r="U60" s="24"/>
      <c r="V60" s="24"/>
      <c r="X60" s="24"/>
    </row>
    <row r="61" spans="1:24" ht="15.75" customHeight="1" x14ac:dyDescent="0.2">
      <c r="A61" s="93" t="str">
        <f>A18</f>
        <v>None</v>
      </c>
      <c r="B61" s="105" t="e">
        <f>VLOOKUP($A18,'Template IF 2'!$B$3:$HH$112,22,FALSE)</f>
        <v>#N/A</v>
      </c>
      <c r="C61" s="105" t="e">
        <f>VLOOKUP($A18,'Template IF 2'!$B$3:$HH$112,23,FALSE)</f>
        <v>#N/A</v>
      </c>
      <c r="D61" s="105" t="e">
        <f>VLOOKUP($A18,'Template IF 2'!$B$3:$HH$112,24,FALSE)</f>
        <v>#N/A</v>
      </c>
      <c r="E61" s="105" t="e">
        <f>VLOOKUP($A18,'Template IF 2'!$B$3:$HH$112,25,FALSE)</f>
        <v>#N/A</v>
      </c>
      <c r="F61" s="105" t="e">
        <f>VLOOKUP($A18,'Template IF 2'!$B$3:$HH$112,26,FALSE)</f>
        <v>#N/A</v>
      </c>
      <c r="G61" s="95"/>
      <c r="H61" s="105" t="e">
        <f>VLOOKUP($A18,'Template IF 2'!$B$3:$HH$112,27,FALSE)</f>
        <v>#N/A</v>
      </c>
      <c r="I61" s="105" t="e">
        <f>VLOOKUP($A18,'Template IF 2'!$B$3:$HH$112,28,FALSE)</f>
        <v>#N/A</v>
      </c>
      <c r="J61" s="105" t="e">
        <f>VLOOKUP($A18,'Template IF 2'!$B$3:$HH$112,29,FALSE)</f>
        <v>#N/A</v>
      </c>
      <c r="K61" s="105" t="e">
        <f>VLOOKUP($A18,'Template IF 2'!$B$3:$HH$112,30,FALSE)</f>
        <v>#N/A</v>
      </c>
      <c r="L61" s="105" t="e">
        <f>VLOOKUP($A18,'Template IF 2'!$B$3:$HH$112,31,FALSE)</f>
        <v>#N/A</v>
      </c>
    </row>
    <row r="62" spans="1:24" ht="15.75" customHeight="1" x14ac:dyDescent="0.2">
      <c r="A62" s="93" t="str">
        <f>A20</f>
        <v>None</v>
      </c>
      <c r="B62" s="105" t="e">
        <f>VLOOKUP($A20,'Template IF 2'!$B$3:$HH$112,22,FALSE)</f>
        <v>#N/A</v>
      </c>
      <c r="C62" s="105" t="e">
        <f>VLOOKUP($A20,'Template IF 2'!$B$3:$HH$112,23,FALSE)</f>
        <v>#N/A</v>
      </c>
      <c r="D62" s="105" t="e">
        <f>VLOOKUP($A20,'Template IF 2'!$B$3:$HH$112,24,FALSE)</f>
        <v>#N/A</v>
      </c>
      <c r="E62" s="105" t="e">
        <f>VLOOKUP($A20,'Template IF 2'!$B$3:$HH$112,25,FALSE)</f>
        <v>#N/A</v>
      </c>
      <c r="F62" s="105" t="e">
        <f>VLOOKUP($A20,'Template IF 2'!$B$3:$HH$112,26,FALSE)</f>
        <v>#N/A</v>
      </c>
      <c r="G62" s="95"/>
      <c r="H62" s="105" t="e">
        <f>VLOOKUP($A20,'Template IF 2'!$B$3:$HH$112,27,FALSE)</f>
        <v>#N/A</v>
      </c>
      <c r="I62" s="105" t="e">
        <f>VLOOKUP($A20,'Template IF 2'!$B$3:$HH$112,28,FALSE)</f>
        <v>#N/A</v>
      </c>
      <c r="J62" s="105" t="e">
        <f>VLOOKUP($A20,'Template IF 2'!$B$3:$HH$112,29,FALSE)</f>
        <v>#N/A</v>
      </c>
      <c r="K62" s="105" t="e">
        <f>VLOOKUP($A20,'Template IF 2'!$B$3:$HH$112,30,FALSE)</f>
        <v>#N/A</v>
      </c>
      <c r="L62" s="105" t="e">
        <f>VLOOKUP($A20,'Template IF 2'!$B$3:$HH$112,31,FALSE)</f>
        <v>#N/A</v>
      </c>
    </row>
    <row r="63" spans="1:24" ht="15.75" customHeight="1" x14ac:dyDescent="0.2">
      <c r="A63" s="93" t="str">
        <f>A22</f>
        <v>None</v>
      </c>
      <c r="B63" s="105" t="e">
        <f>VLOOKUP($A22,'Template IF 2'!$B$3:$HH$112,22,FALSE)</f>
        <v>#N/A</v>
      </c>
      <c r="C63" s="105" t="e">
        <f>VLOOKUP($A22,'Template IF 2'!$B$3:$HH$112,23,FALSE)</f>
        <v>#N/A</v>
      </c>
      <c r="D63" s="105" t="e">
        <f>VLOOKUP($A22,'Template IF 2'!$B$3:$HH$112,24,FALSE)</f>
        <v>#N/A</v>
      </c>
      <c r="E63" s="105" t="e">
        <f>VLOOKUP($A22,'Template IF 2'!$B$3:$HH$112,25,FALSE)</f>
        <v>#N/A</v>
      </c>
      <c r="F63" s="105" t="e">
        <f>VLOOKUP($A22,'Template IF 2'!$B$3:$HH$112,26,FALSE)</f>
        <v>#N/A</v>
      </c>
      <c r="G63" s="95"/>
      <c r="H63" s="105" t="e">
        <f>VLOOKUP($A22,'Template IF 2'!$B$3:$HH$112,27,FALSE)</f>
        <v>#N/A</v>
      </c>
      <c r="I63" s="105" t="e">
        <f>VLOOKUP($A22,'Template IF 2'!$B$3:$HH$112,28,FALSE)</f>
        <v>#N/A</v>
      </c>
      <c r="J63" s="105" t="e">
        <f>VLOOKUP($A22,'Template IF 2'!$B$3:$HH$112,29,FALSE)</f>
        <v>#N/A</v>
      </c>
      <c r="K63" s="105" t="e">
        <f>VLOOKUP($A22,'Template IF 2'!$B$3:$HH$112,30,FALSE)</f>
        <v>#N/A</v>
      </c>
      <c r="L63" s="105" t="e">
        <f>VLOOKUP($A22,'Template IF 2'!$B$3:$HH$112,31,FALSE)</f>
        <v>#N/A</v>
      </c>
    </row>
    <row r="64" spans="1:24" ht="15.75" customHeight="1" x14ac:dyDescent="0.2">
      <c r="A64" s="93" t="str">
        <f>A24</f>
        <v>None</v>
      </c>
      <c r="B64" s="105" t="e">
        <f>VLOOKUP($A24,'Template IF 2'!$B$3:$HH$112,22,FALSE)</f>
        <v>#N/A</v>
      </c>
      <c r="C64" s="105" t="e">
        <f>VLOOKUP($A24,'Template IF 2'!$B$3:$HH$112,23,FALSE)</f>
        <v>#N/A</v>
      </c>
      <c r="D64" s="105" t="e">
        <f>VLOOKUP($A24,'Template IF 2'!$B$3:$HH$112,24,FALSE)</f>
        <v>#N/A</v>
      </c>
      <c r="E64" s="105" t="e">
        <f>VLOOKUP($A24,'Template IF 2'!$B$3:$HH$112,25,FALSE)</f>
        <v>#N/A</v>
      </c>
      <c r="F64" s="105" t="e">
        <f>VLOOKUP($A24,'Template IF 2'!$B$3:$HH$112,26,FALSE)</f>
        <v>#N/A</v>
      </c>
      <c r="G64" s="95"/>
      <c r="H64" s="105" t="e">
        <f>VLOOKUP($A24,'Template IF 2'!$B$3:$HH$112,27,FALSE)</f>
        <v>#N/A</v>
      </c>
      <c r="I64" s="105" t="e">
        <f>VLOOKUP($A24,'Template IF 2'!$B$3:$HH$112,28,FALSE)</f>
        <v>#N/A</v>
      </c>
      <c r="J64" s="105" t="e">
        <f>VLOOKUP($A24,'Template IF 2'!$B$3:$HH$112,29,FALSE)</f>
        <v>#N/A</v>
      </c>
      <c r="K64" s="105" t="e">
        <f>VLOOKUP($A24,'Template IF 2'!$B$3:$HH$112,30,FALSE)</f>
        <v>#N/A</v>
      </c>
      <c r="L64" s="105" t="e">
        <f>VLOOKUP($A24,'Template IF 2'!$B$3:$HH$112,31,FALSE)</f>
        <v>#N/A</v>
      </c>
    </row>
    <row r="65" spans="1:12" ht="15.75" customHeight="1" x14ac:dyDescent="0.2">
      <c r="A65" s="94" t="str">
        <f>A26</f>
        <v>None</v>
      </c>
      <c r="B65" s="106" t="e">
        <f>VLOOKUP($A26,'Template IF 2'!$B$3:$HH$112,22,FALSE)</f>
        <v>#N/A</v>
      </c>
      <c r="C65" s="106" t="e">
        <f>VLOOKUP($A26,'Template IF 2'!$B$3:$HH$112,23,FALSE)</f>
        <v>#N/A</v>
      </c>
      <c r="D65" s="106" t="e">
        <f>VLOOKUP($A26,'Template IF 2'!$B$3:$HH$112,24,FALSE)</f>
        <v>#N/A</v>
      </c>
      <c r="E65" s="106" t="e">
        <f>VLOOKUP($A26,'Template IF 2'!$B$3:$HH$112,25,FALSE)</f>
        <v>#N/A</v>
      </c>
      <c r="F65" s="106" t="e">
        <f>VLOOKUP($A26,'Template IF 2'!$B$3:$HH$112,26,FALSE)</f>
        <v>#N/A</v>
      </c>
      <c r="G65" s="96"/>
      <c r="H65" s="106" t="e">
        <f>VLOOKUP($A26,'Template IF 2'!$B$3:$HH$112,27,FALSE)</f>
        <v>#N/A</v>
      </c>
      <c r="I65" s="106" t="e">
        <f>VLOOKUP($A26,'Template IF 2'!$B$3:$HH$112,28,FALSE)</f>
        <v>#N/A</v>
      </c>
      <c r="J65" s="106" t="e">
        <f>VLOOKUP($A26,'Template IF 2'!$B$3:$HH$112,29,FALSE)</f>
        <v>#N/A</v>
      </c>
      <c r="K65" s="106" t="e">
        <f>VLOOKUP($A26,'Template IF 2'!$B$3:$HH$112,30,FALSE)</f>
        <v>#N/A</v>
      </c>
      <c r="L65" s="106" t="e">
        <f>VLOOKUP($A26,'Template IF 2'!$B$3:$HH$112,31,FALSE)</f>
        <v>#N/A</v>
      </c>
    </row>
    <row r="66" spans="1:12" ht="15.75" customHeight="1" x14ac:dyDescent="0.2">
      <c r="A66" s="93"/>
      <c r="B66" s="105"/>
      <c r="C66" s="105"/>
      <c r="D66" s="105"/>
      <c r="E66" s="105"/>
      <c r="F66" s="105"/>
      <c r="G66" s="95"/>
      <c r="H66" s="105"/>
      <c r="I66" s="105"/>
      <c r="J66" s="105"/>
      <c r="K66" s="105"/>
      <c r="L66" s="105"/>
    </row>
    <row r="67" spans="1:12" ht="17.25" customHeight="1" x14ac:dyDescent="0.2">
      <c r="A67" s="198" t="s">
        <v>160</v>
      </c>
      <c r="B67" s="198"/>
      <c r="C67" s="198"/>
      <c r="D67" s="198"/>
      <c r="E67" s="198"/>
      <c r="F67" s="198"/>
      <c r="G67" s="198"/>
      <c r="H67" s="198"/>
      <c r="I67" s="198"/>
      <c r="J67" s="198"/>
      <c r="K67" s="198"/>
      <c r="L67" s="198"/>
    </row>
    <row r="68" spans="1:12" x14ac:dyDescent="0.2">
      <c r="A68" s="93"/>
      <c r="B68" s="109"/>
      <c r="C68" s="109"/>
      <c r="D68" s="109"/>
      <c r="E68" s="109"/>
      <c r="F68" s="109"/>
      <c r="G68" s="95"/>
      <c r="H68" s="95"/>
      <c r="I68" s="95"/>
      <c r="J68" s="95"/>
      <c r="K68" s="95"/>
      <c r="L68" s="95"/>
    </row>
    <row r="69" spans="1:12" x14ac:dyDescent="0.2">
      <c r="A69" s="93"/>
      <c r="B69" s="95"/>
      <c r="C69" s="95"/>
      <c r="D69" s="95"/>
      <c r="E69" s="95"/>
      <c r="F69" s="95"/>
      <c r="G69" s="95"/>
      <c r="H69" s="193" t="s">
        <v>477</v>
      </c>
      <c r="I69" s="194"/>
      <c r="J69" s="194"/>
      <c r="K69" s="194"/>
      <c r="L69" s="194"/>
    </row>
    <row r="70" spans="1:12" ht="15" customHeight="1" x14ac:dyDescent="0.2">
      <c r="A70" s="93"/>
      <c r="B70" s="195" t="s">
        <v>478</v>
      </c>
      <c r="C70" s="195"/>
      <c r="D70" s="195"/>
      <c r="E70" s="195"/>
      <c r="F70" s="195"/>
      <c r="G70" s="95"/>
      <c r="H70" s="195"/>
      <c r="I70" s="195"/>
      <c r="J70" s="195"/>
      <c r="K70" s="195"/>
      <c r="L70" s="195"/>
    </row>
    <row r="71" spans="1:12" ht="15" customHeight="1" x14ac:dyDescent="0.2">
      <c r="A71" s="94"/>
      <c r="B71" s="96">
        <v>2008</v>
      </c>
      <c r="C71" s="96">
        <v>2009</v>
      </c>
      <c r="D71" s="96">
        <v>2010</v>
      </c>
      <c r="E71" s="96">
        <v>2011</v>
      </c>
      <c r="F71" s="96">
        <v>2012</v>
      </c>
      <c r="G71" s="96"/>
      <c r="H71" s="96">
        <v>2008</v>
      </c>
      <c r="I71" s="96">
        <v>2009</v>
      </c>
      <c r="J71" s="96">
        <v>2010</v>
      </c>
      <c r="K71" s="96">
        <v>2011</v>
      </c>
      <c r="L71" s="96">
        <v>2012</v>
      </c>
    </row>
    <row r="72" spans="1:12" ht="15.75" customHeight="1" x14ac:dyDescent="0.2">
      <c r="A72" s="93" t="s">
        <v>29</v>
      </c>
      <c r="B72" s="108">
        <f>'Template IF 2'!AG3</f>
        <v>5.4</v>
      </c>
      <c r="C72" s="108">
        <f>'Template IF 2'!AH3</f>
        <v>8.1</v>
      </c>
      <c r="D72" s="108">
        <f>'Template IF 2'!AI3</f>
        <v>7.3</v>
      </c>
      <c r="E72" s="108">
        <f>'Template IF 2'!AJ3</f>
        <v>6.4</v>
      </c>
      <c r="F72" s="108">
        <f>'Template IF 2'!AK3</f>
        <v>5.6</v>
      </c>
      <c r="G72" s="103"/>
      <c r="H72" s="110">
        <f>'Template IF 2'!AL3</f>
        <v>134859.24999999997</v>
      </c>
      <c r="I72" s="110">
        <f>'Template IF 2'!AM3</f>
        <v>169710.66666666669</v>
      </c>
      <c r="J72" s="110">
        <f>'Template IF 2'!AN3</f>
        <v>134859.24999999997</v>
      </c>
      <c r="K72" s="110">
        <f>'Template IF 2'!AO3</f>
        <v>237131.91666666669</v>
      </c>
      <c r="L72" s="110">
        <f>'Template IF 2'!AP3</f>
        <v>251642.16666666657</v>
      </c>
    </row>
    <row r="73" spans="1:12" ht="15.75" customHeight="1" x14ac:dyDescent="0.2">
      <c r="A73" s="93" t="str">
        <f>A16</f>
        <v>None</v>
      </c>
      <c r="B73" s="111" t="e">
        <f>VLOOKUP($A16,'Template IF 2'!$B$3:$HH$112,32,FALSE)</f>
        <v>#N/A</v>
      </c>
      <c r="C73" s="111" t="e">
        <f>VLOOKUP($A16,'Template IF 2'!$B$3:$HH$112,33,FALSE)</f>
        <v>#N/A</v>
      </c>
      <c r="D73" s="111" t="e">
        <f>VLOOKUP($A16,'Template IF 2'!$B$3:$HH$112,34,FALSE)</f>
        <v>#N/A</v>
      </c>
      <c r="E73" s="111" t="e">
        <f>VLOOKUP($A16,'Template IF 2'!$B$3:$HH$112,35,FALSE)</f>
        <v>#N/A</v>
      </c>
      <c r="F73" s="111" t="e">
        <f>VLOOKUP($A16,'Template IF 2'!$B$3:$HH$112,36,FALSE)</f>
        <v>#N/A</v>
      </c>
      <c r="G73" s="103"/>
      <c r="H73" s="112" t="e">
        <f>VLOOKUP($A16,'Template IF 2'!$B$3:$HH$112,37,FALSE)</f>
        <v>#N/A</v>
      </c>
      <c r="I73" s="112" t="e">
        <f>VLOOKUP($A16,'Template IF 2'!$B$3:$HH$112,38,FALSE)</f>
        <v>#N/A</v>
      </c>
      <c r="J73" s="112" t="e">
        <f>VLOOKUP($A16,'Template IF 2'!$B$3:$HH$112,39,FALSE)</f>
        <v>#N/A</v>
      </c>
      <c r="K73" s="112" t="e">
        <f>VLOOKUP($A16,'Template IF 2'!$B$3:$HH$112,40,FALSE)</f>
        <v>#N/A</v>
      </c>
      <c r="L73" s="112" t="e">
        <f>VLOOKUP($A16,'Template IF 2'!$B$3:$HH$112,41,FALSE)</f>
        <v>#N/A</v>
      </c>
    </row>
    <row r="74" spans="1:12" ht="15.75" customHeight="1" x14ac:dyDescent="0.2">
      <c r="A74" s="93" t="str">
        <f>A18</f>
        <v>None</v>
      </c>
      <c r="B74" s="111" t="e">
        <f>VLOOKUP($A18,'Template IF 2'!$B$3:$HH$112,32,FALSE)</f>
        <v>#N/A</v>
      </c>
      <c r="C74" s="111" t="e">
        <f>VLOOKUP($A18,'Template IF 2'!$B$3:$HH$112,33,FALSE)</f>
        <v>#N/A</v>
      </c>
      <c r="D74" s="111" t="e">
        <f>VLOOKUP($A18,'Template IF 2'!$B$3:$HH$112,34,FALSE)</f>
        <v>#N/A</v>
      </c>
      <c r="E74" s="111" t="e">
        <f>VLOOKUP($A18,'Template IF 2'!$B$3:$HH$112,35,FALSE)</f>
        <v>#N/A</v>
      </c>
      <c r="F74" s="111" t="e">
        <f>VLOOKUP($A18,'Template IF 2'!$B$3:$HH$112,36,FALSE)</f>
        <v>#N/A</v>
      </c>
      <c r="G74" s="95"/>
      <c r="H74" s="112" t="e">
        <f>VLOOKUP($A18,'Template IF 2'!$B$3:$HH$112,37,FALSE)</f>
        <v>#N/A</v>
      </c>
      <c r="I74" s="112" t="e">
        <f>VLOOKUP($A18,'Template IF 2'!$B$3:$HH$112,38,FALSE)</f>
        <v>#N/A</v>
      </c>
      <c r="J74" s="112" t="e">
        <f>VLOOKUP($A18,'Template IF 2'!$B$3:$HH$112,39,FALSE)</f>
        <v>#N/A</v>
      </c>
      <c r="K74" s="112" t="e">
        <f>VLOOKUP($A18,'Template IF 2'!$B$3:$HH$112,40,FALSE)</f>
        <v>#N/A</v>
      </c>
      <c r="L74" s="112" t="e">
        <f>VLOOKUP($A18,'Template IF 2'!$B$3:$HH$112,41,FALSE)</f>
        <v>#N/A</v>
      </c>
    </row>
    <row r="75" spans="1:12" ht="15.75" customHeight="1" x14ac:dyDescent="0.2">
      <c r="A75" s="93" t="str">
        <f>A20</f>
        <v>None</v>
      </c>
      <c r="B75" s="111" t="e">
        <f>VLOOKUP($A20,'Template IF 2'!$B$3:$HH$112,32,FALSE)</f>
        <v>#N/A</v>
      </c>
      <c r="C75" s="111" t="e">
        <f>VLOOKUP($A20,'Template IF 2'!$B$3:$HH$112,33,FALSE)</f>
        <v>#N/A</v>
      </c>
      <c r="D75" s="111" t="e">
        <f>VLOOKUP($A20,'Template IF 2'!$B$3:$HH$112,34,FALSE)</f>
        <v>#N/A</v>
      </c>
      <c r="E75" s="111" t="e">
        <f>VLOOKUP($A20,'Template IF 2'!$B$3:$HH$112,35,FALSE)</f>
        <v>#N/A</v>
      </c>
      <c r="F75" s="111" t="e">
        <f>VLOOKUP($A20,'Template IF 2'!$B$3:$HH$112,36,FALSE)</f>
        <v>#N/A</v>
      </c>
      <c r="G75" s="95"/>
      <c r="H75" s="112" t="e">
        <f>VLOOKUP($A20,'Template IF 2'!$B$3:$HH$112,37,FALSE)</f>
        <v>#N/A</v>
      </c>
      <c r="I75" s="112" t="e">
        <f>VLOOKUP($A20,'Template IF 2'!$B$3:$HH$112,38,FALSE)</f>
        <v>#N/A</v>
      </c>
      <c r="J75" s="112" t="e">
        <f>VLOOKUP($A20,'Template IF 2'!$B$3:$HH$112,39,FALSE)</f>
        <v>#N/A</v>
      </c>
      <c r="K75" s="112" t="e">
        <f>VLOOKUP($A20,'Template IF 2'!$B$3:$HH$112,40,FALSE)</f>
        <v>#N/A</v>
      </c>
      <c r="L75" s="112" t="e">
        <f>VLOOKUP($A20,'Template IF 2'!$B$3:$HH$112,41,FALSE)</f>
        <v>#N/A</v>
      </c>
    </row>
    <row r="76" spans="1:12" ht="15.75" customHeight="1" x14ac:dyDescent="0.2">
      <c r="A76" s="93" t="str">
        <f>A22</f>
        <v>None</v>
      </c>
      <c r="B76" s="111" t="e">
        <f>VLOOKUP($A22,'Template IF 2'!$B$3:$HH$112,32,FALSE)</f>
        <v>#N/A</v>
      </c>
      <c r="C76" s="111" t="e">
        <f>VLOOKUP($A22,'Template IF 2'!$B$3:$HH$112,33,FALSE)</f>
        <v>#N/A</v>
      </c>
      <c r="D76" s="111" t="e">
        <f>VLOOKUP($A22,'Template IF 2'!$B$3:$HH$112,34,FALSE)</f>
        <v>#N/A</v>
      </c>
      <c r="E76" s="111" t="e">
        <f>VLOOKUP($A22,'Template IF 2'!$B$3:$HH$112,35,FALSE)</f>
        <v>#N/A</v>
      </c>
      <c r="F76" s="111" t="e">
        <f>VLOOKUP($A22,'Template IF 2'!$B$3:$HH$112,36,FALSE)</f>
        <v>#N/A</v>
      </c>
      <c r="G76" s="95"/>
      <c r="H76" s="112" t="e">
        <f>VLOOKUP($A22,'Template IF 2'!$B$3:$HH$112,37,FALSE)</f>
        <v>#N/A</v>
      </c>
      <c r="I76" s="112" t="e">
        <f>VLOOKUP($A22,'Template IF 2'!$B$3:$HH$112,38,FALSE)</f>
        <v>#N/A</v>
      </c>
      <c r="J76" s="112" t="e">
        <f>VLOOKUP($A22,'Template IF 2'!$B$3:$HH$112,39,FALSE)</f>
        <v>#N/A</v>
      </c>
      <c r="K76" s="112" t="e">
        <f>VLOOKUP($A22,'Template IF 2'!$B$3:$HH$112,40,FALSE)</f>
        <v>#N/A</v>
      </c>
      <c r="L76" s="112" t="e">
        <f>VLOOKUP($A22,'Template IF 2'!$B$3:$HH$112,41,FALSE)</f>
        <v>#N/A</v>
      </c>
    </row>
    <row r="77" spans="1:12" ht="15.75" customHeight="1" x14ac:dyDescent="0.2">
      <c r="A77" s="93" t="str">
        <f>A24</f>
        <v>None</v>
      </c>
      <c r="B77" s="111" t="e">
        <f>VLOOKUP($A24,'Template IF 2'!$B$3:$HH$112,32,FALSE)</f>
        <v>#N/A</v>
      </c>
      <c r="C77" s="111" t="e">
        <f>VLOOKUP($A24,'Template IF 2'!$B$3:$HH$112,33,FALSE)</f>
        <v>#N/A</v>
      </c>
      <c r="D77" s="111" t="e">
        <f>VLOOKUP($A24,'Template IF 2'!$B$3:$HH$112,34,FALSE)</f>
        <v>#N/A</v>
      </c>
      <c r="E77" s="111" t="e">
        <f>VLOOKUP($A24,'Template IF 2'!$B$3:$HH$112,35,FALSE)</f>
        <v>#N/A</v>
      </c>
      <c r="F77" s="111" t="e">
        <f>VLOOKUP($A24,'Template IF 2'!$B$3:$HH$112,36,FALSE)</f>
        <v>#N/A</v>
      </c>
      <c r="G77" s="95"/>
      <c r="H77" s="112" t="e">
        <f>VLOOKUP($A24,'Template IF 2'!$B$3:$HH$112,37,FALSE)</f>
        <v>#N/A</v>
      </c>
      <c r="I77" s="112" t="e">
        <f>VLOOKUP($A24,'Template IF 2'!$B$3:$HH$112,38,FALSE)</f>
        <v>#N/A</v>
      </c>
      <c r="J77" s="112" t="e">
        <f>VLOOKUP($A24,'Template IF 2'!$B$3:$HH$112,39,FALSE)</f>
        <v>#N/A</v>
      </c>
      <c r="K77" s="112" t="e">
        <f>VLOOKUP($A24,'Template IF 2'!$B$3:$HH$112,40,FALSE)</f>
        <v>#N/A</v>
      </c>
      <c r="L77" s="112" t="e">
        <f>VLOOKUP($A24,'Template IF 2'!$B$3:$HH$112,41,FALSE)</f>
        <v>#N/A</v>
      </c>
    </row>
    <row r="78" spans="1:12" ht="15.75" customHeight="1" x14ac:dyDescent="0.2">
      <c r="A78" s="94" t="str">
        <f>A26</f>
        <v>None</v>
      </c>
      <c r="B78" s="113" t="e">
        <f>VLOOKUP($A26,'Template IF 2'!$B$3:$HH$112,32,FALSE)</f>
        <v>#N/A</v>
      </c>
      <c r="C78" s="113" t="e">
        <f>VLOOKUP($A26,'Template IF 2'!$B$3:$HH$112,33,FALSE)</f>
        <v>#N/A</v>
      </c>
      <c r="D78" s="113" t="e">
        <f>VLOOKUP($A26,'Template IF 2'!$B$3:$HH$112,34,FALSE)</f>
        <v>#N/A</v>
      </c>
      <c r="E78" s="113" t="e">
        <f>VLOOKUP($A26,'Template IF 2'!$B$3:$HH$112,35,FALSE)</f>
        <v>#N/A</v>
      </c>
      <c r="F78" s="113" t="e">
        <f>VLOOKUP($A26,'Template IF 2'!$B$3:$HH$112,36,FALSE)</f>
        <v>#N/A</v>
      </c>
      <c r="G78" s="114"/>
      <c r="H78" s="102" t="e">
        <f>VLOOKUP($A26,'Template IF 2'!$B$3:$HH$112,37,FALSE)</f>
        <v>#N/A</v>
      </c>
      <c r="I78" s="102" t="e">
        <f>VLOOKUP($A26,'Template IF 2'!$B$3:$HH$112,38,FALSE)</f>
        <v>#N/A</v>
      </c>
      <c r="J78" s="102" t="e">
        <f>VLOOKUP($A26,'Template IF 2'!$B$3:$HH$112,39,FALSE)</f>
        <v>#N/A</v>
      </c>
      <c r="K78" s="102" t="e">
        <f>VLOOKUP($A26,'Template IF 2'!$B$3:$HH$112,40,FALSE)</f>
        <v>#N/A</v>
      </c>
      <c r="L78" s="102" t="e">
        <f>VLOOKUP($A26,'Template IF 2'!$B$3:$HH$112,41,FALSE)</f>
        <v>#N/A</v>
      </c>
    </row>
    <row r="79" spans="1:12" ht="15.75" customHeight="1" x14ac:dyDescent="0.2">
      <c r="A79" s="93"/>
      <c r="B79" s="95"/>
      <c r="C79" s="95"/>
      <c r="D79" s="95"/>
      <c r="E79" s="95"/>
      <c r="F79" s="95"/>
      <c r="G79" s="95"/>
      <c r="H79" s="103"/>
      <c r="I79" s="103"/>
      <c r="J79" s="103"/>
      <c r="K79" s="103"/>
      <c r="L79" s="103"/>
    </row>
    <row r="80" spans="1:12" ht="15.75" customHeight="1" x14ac:dyDescent="0.2">
      <c r="A80" s="93"/>
      <c r="B80" s="195" t="s">
        <v>518</v>
      </c>
      <c r="C80" s="195"/>
      <c r="D80" s="195"/>
      <c r="E80" s="195"/>
      <c r="F80" s="195"/>
      <c r="G80" s="95"/>
      <c r="H80" s="195" t="s">
        <v>519</v>
      </c>
      <c r="I80" s="195"/>
      <c r="J80" s="195"/>
      <c r="K80" s="195"/>
      <c r="L80" s="195"/>
    </row>
    <row r="81" spans="1:12" ht="15.75" customHeight="1" x14ac:dyDescent="0.2">
      <c r="A81" s="94"/>
      <c r="B81" s="96">
        <v>2008</v>
      </c>
      <c r="C81" s="96">
        <v>2009</v>
      </c>
      <c r="D81" s="96">
        <v>2010</v>
      </c>
      <c r="E81" s="96">
        <v>2011</v>
      </c>
      <c r="F81" s="96">
        <v>2012</v>
      </c>
      <c r="G81" s="95"/>
      <c r="H81" s="96">
        <v>2008</v>
      </c>
      <c r="I81" s="96">
        <v>2009</v>
      </c>
      <c r="J81" s="96">
        <v>2010</v>
      </c>
      <c r="K81" s="96">
        <v>2011</v>
      </c>
      <c r="L81" s="96">
        <v>2012</v>
      </c>
    </row>
    <row r="82" spans="1:12" ht="15.75" customHeight="1" x14ac:dyDescent="0.2">
      <c r="A82" s="93" t="s">
        <v>29</v>
      </c>
      <c r="B82" s="115">
        <f>'Template IF 2'!AQ3</f>
        <v>45926.69</v>
      </c>
      <c r="C82" s="115">
        <f>'Template IF 2'!AR3</f>
        <v>44093.71</v>
      </c>
      <c r="D82" s="115">
        <f>'Template IF 2'!AS3</f>
        <v>44870.94</v>
      </c>
      <c r="E82" s="115">
        <f>'Template IF 2'!AT3</f>
        <v>46069.05</v>
      </c>
      <c r="F82" s="115">
        <f>'Template IF 2'!AU3</f>
        <v>46924.514499439407</v>
      </c>
      <c r="G82" s="103"/>
      <c r="H82" s="116">
        <f>'Template IF 2'!AV3</f>
        <v>61122.597102515349</v>
      </c>
      <c r="I82" s="116">
        <f>'Template IF 2'!AW3</f>
        <v>59524.9381261499</v>
      </c>
      <c r="J82" s="116">
        <f>'Template IF 2'!AX3</f>
        <v>58355.189129395403</v>
      </c>
      <c r="K82" s="116">
        <f>'Template IF 2'!AY3</f>
        <v>58122.033137713566</v>
      </c>
      <c r="L82" s="116">
        <f>'Template IF 2'!AZ3</f>
        <v>58828</v>
      </c>
    </row>
    <row r="83" spans="1:12" ht="15.75" customHeight="1" x14ac:dyDescent="0.2">
      <c r="A83" s="93" t="str">
        <f>A16</f>
        <v>None</v>
      </c>
      <c r="B83" s="115" t="e">
        <f>VLOOKUP($A16,'Template IF 2'!$B$3:$HH$112,42,FALSE)</f>
        <v>#N/A</v>
      </c>
      <c r="C83" s="115" t="e">
        <f>VLOOKUP($A16,'Template IF 2'!$B$3:$HH$112,43,FALSE)</f>
        <v>#N/A</v>
      </c>
      <c r="D83" s="115" t="e">
        <f>VLOOKUP($A16,'Template IF 2'!$B$3:$HH$112,44,FALSE)</f>
        <v>#N/A</v>
      </c>
      <c r="E83" s="115" t="e">
        <f>VLOOKUP($A16,'Template IF 2'!$B$3:$HH$112,45,FALSE)</f>
        <v>#N/A</v>
      </c>
      <c r="F83" s="115" t="e">
        <f>VLOOKUP($A16,'Template IF 2'!$B$3:$HH$112,46,FALSE)</f>
        <v>#N/A</v>
      </c>
      <c r="G83" s="103"/>
      <c r="H83" s="116" t="e">
        <f>VLOOKUP($A16,'Template IF 2'!$B$3:$HH$112,47,FALSE)</f>
        <v>#N/A</v>
      </c>
      <c r="I83" s="116" t="e">
        <f>VLOOKUP($A16,'Template IF 2'!$B$3:$HH$112,48,FALSE)</f>
        <v>#N/A</v>
      </c>
      <c r="J83" s="116" t="e">
        <f>VLOOKUP($A16,'Template IF 2'!$B$3:$HH$112,49,FALSE)</f>
        <v>#N/A</v>
      </c>
      <c r="K83" s="116" t="e">
        <f>VLOOKUP($A16,'Template IF 2'!$B$3:$HH$112,50,FALSE)</f>
        <v>#N/A</v>
      </c>
      <c r="L83" s="116" t="e">
        <f>VLOOKUP($A16,'Template IF 2'!$B$3:$HH$112,51,FALSE)</f>
        <v>#N/A</v>
      </c>
    </row>
    <row r="84" spans="1:12" ht="15.75" customHeight="1" x14ac:dyDescent="0.2">
      <c r="A84" s="93" t="str">
        <f>A18</f>
        <v>None</v>
      </c>
      <c r="B84" s="115" t="e">
        <f>VLOOKUP($A18,'Template IF 2'!$B$3:$HH$112,42,FALSE)</f>
        <v>#N/A</v>
      </c>
      <c r="C84" s="115" t="e">
        <f>VLOOKUP($A18,'Template IF 2'!$B$3:$HH$112,43,FALSE)</f>
        <v>#N/A</v>
      </c>
      <c r="D84" s="115" t="e">
        <f>VLOOKUP($A18,'Template IF 2'!$B$3:$HH$112,44,FALSE)</f>
        <v>#N/A</v>
      </c>
      <c r="E84" s="115" t="e">
        <f>VLOOKUP($A18,'Template IF 2'!$B$3:$HH$112,45,FALSE)</f>
        <v>#N/A</v>
      </c>
      <c r="F84" s="115" t="e">
        <f>VLOOKUP($A18,'Template IF 2'!$B$3:$HH$112,46,FALSE)</f>
        <v>#N/A</v>
      </c>
      <c r="G84" s="103"/>
      <c r="H84" s="116" t="e">
        <f>VLOOKUP($A18,'Template IF 2'!$B$3:$HH$112,47,FALSE)</f>
        <v>#N/A</v>
      </c>
      <c r="I84" s="116" t="e">
        <f>VLOOKUP($A18,'Template IF 2'!$B$3:$HH$112,48,FALSE)</f>
        <v>#N/A</v>
      </c>
      <c r="J84" s="116" t="e">
        <f>VLOOKUP($A18,'Template IF 2'!$B$3:$HH$112,49,FALSE)</f>
        <v>#N/A</v>
      </c>
      <c r="K84" s="116" t="e">
        <f>VLOOKUP($A18,'Template IF 2'!$B$3:$HH$112,50,FALSE)</f>
        <v>#N/A</v>
      </c>
      <c r="L84" s="116" t="e">
        <f>VLOOKUP($A18,'Template IF 2'!$B$3:$HH$112,51,FALSE)</f>
        <v>#N/A</v>
      </c>
    </row>
    <row r="85" spans="1:12" ht="15.75" customHeight="1" x14ac:dyDescent="0.2">
      <c r="A85" s="93" t="str">
        <f>A20</f>
        <v>None</v>
      </c>
      <c r="B85" s="115" t="e">
        <f>VLOOKUP($A20,'Template IF 2'!$B$3:$HH$112,42,FALSE)</f>
        <v>#N/A</v>
      </c>
      <c r="C85" s="115" t="e">
        <f>VLOOKUP($A20,'Template IF 2'!$B$3:$HH$112,43,FALSE)</f>
        <v>#N/A</v>
      </c>
      <c r="D85" s="115" t="e">
        <f>VLOOKUP($A20,'Template IF 2'!$B$3:$HH$112,44,FALSE)</f>
        <v>#N/A</v>
      </c>
      <c r="E85" s="115" t="e">
        <f>VLOOKUP($A20,'Template IF 2'!$B$3:$HH$112,45,FALSE)</f>
        <v>#N/A</v>
      </c>
      <c r="F85" s="115" t="e">
        <f>VLOOKUP($A20,'Template IF 2'!$B$3:$HH$112,46,FALSE)</f>
        <v>#N/A</v>
      </c>
      <c r="G85" s="103"/>
      <c r="H85" s="116" t="e">
        <f>VLOOKUP($A20,'Template IF 2'!$B$3:$HH$112,47,FALSE)</f>
        <v>#N/A</v>
      </c>
      <c r="I85" s="116" t="e">
        <f>VLOOKUP($A20,'Template IF 2'!$B$3:$HH$112,48,FALSE)</f>
        <v>#N/A</v>
      </c>
      <c r="J85" s="116" t="e">
        <f>VLOOKUP($A20,'Template IF 2'!$B$3:$HH$112,49,FALSE)</f>
        <v>#N/A</v>
      </c>
      <c r="K85" s="116" t="e">
        <f>VLOOKUP($A20,'Template IF 2'!$B$3:$HH$112,50,FALSE)</f>
        <v>#N/A</v>
      </c>
      <c r="L85" s="116" t="e">
        <f>VLOOKUP($A20,'Template IF 2'!$B$3:$HH$112,51,FALSE)</f>
        <v>#N/A</v>
      </c>
    </row>
    <row r="86" spans="1:12" ht="15.75" customHeight="1" x14ac:dyDescent="0.2">
      <c r="A86" s="93" t="str">
        <f>A22</f>
        <v>None</v>
      </c>
      <c r="B86" s="115" t="e">
        <f>VLOOKUP($A22,'Template IF 2'!$B$3:$HH$112,42,FALSE)</f>
        <v>#N/A</v>
      </c>
      <c r="C86" s="115" t="e">
        <f>VLOOKUP($A22,'Template IF 2'!$B$3:$HH$112,43,FALSE)</f>
        <v>#N/A</v>
      </c>
      <c r="D86" s="115" t="e">
        <f>VLOOKUP($A22,'Template IF 2'!$B$3:$HH$112,44,FALSE)</f>
        <v>#N/A</v>
      </c>
      <c r="E86" s="115" t="e">
        <f>VLOOKUP($A22,'Template IF 2'!$B$3:$HH$112,45,FALSE)</f>
        <v>#N/A</v>
      </c>
      <c r="F86" s="115" t="e">
        <f>VLOOKUP($A22,'Template IF 2'!$B$3:$HH$112,46,FALSE)</f>
        <v>#N/A</v>
      </c>
      <c r="G86" s="103"/>
      <c r="H86" s="117" t="e">
        <f>VLOOKUP($A22,'Template IF 2'!$B$3:$HH$112,47,FALSE)</f>
        <v>#N/A</v>
      </c>
      <c r="I86" s="117" t="e">
        <f>VLOOKUP($A22,'Template IF 2'!$B$3:$HH$112,48,FALSE)</f>
        <v>#N/A</v>
      </c>
      <c r="J86" s="116" t="e">
        <f>VLOOKUP($A22,'Template IF 2'!$B$3:$HH$112,49,FALSE)</f>
        <v>#N/A</v>
      </c>
      <c r="K86" s="116" t="e">
        <f>VLOOKUP($A22,'Template IF 2'!$B$3:$HH$112,50,FALSE)</f>
        <v>#N/A</v>
      </c>
      <c r="L86" s="116" t="e">
        <f>VLOOKUP($A22,'Template IF 2'!$B$3:$HH$112,51,FALSE)</f>
        <v>#N/A</v>
      </c>
    </row>
    <row r="87" spans="1:12" ht="15.75" customHeight="1" x14ac:dyDescent="0.2">
      <c r="A87" s="93" t="str">
        <f>A24</f>
        <v>None</v>
      </c>
      <c r="B87" s="115" t="e">
        <f>VLOOKUP($A24,'Template IF 2'!$B$3:$HH$112,42,FALSE)</f>
        <v>#N/A</v>
      </c>
      <c r="C87" s="115" t="e">
        <f>VLOOKUP($A24,'Template IF 2'!$B$3:$HH$112,43,FALSE)</f>
        <v>#N/A</v>
      </c>
      <c r="D87" s="115" t="e">
        <f>VLOOKUP($A24,'Template IF 2'!$B$3:$HH$112,44,FALSE)</f>
        <v>#N/A</v>
      </c>
      <c r="E87" s="115" t="e">
        <f>VLOOKUP($A24,'Template IF 2'!$B$3:$HH$112,45,FALSE)</f>
        <v>#N/A</v>
      </c>
      <c r="F87" s="115" t="e">
        <f>VLOOKUP($A24,'Template IF 2'!$B$3:$HH$112,46,FALSE)</f>
        <v>#N/A</v>
      </c>
      <c r="G87" s="103"/>
      <c r="H87" s="117" t="e">
        <f>VLOOKUP($A24,'Template IF 2'!$B$3:$HH$112,47,FALSE)</f>
        <v>#N/A</v>
      </c>
      <c r="I87" s="117" t="e">
        <f>VLOOKUP($A24,'Template IF 2'!$B$3:$HH$112,48,FALSE)</f>
        <v>#N/A</v>
      </c>
      <c r="J87" s="116" t="e">
        <f>VLOOKUP($A24,'Template IF 2'!$B$3:$HH$112,49,FALSE)</f>
        <v>#N/A</v>
      </c>
      <c r="K87" s="116" t="e">
        <f>VLOOKUP($A24,'Template IF 2'!$B$3:$HH$112,50,FALSE)</f>
        <v>#N/A</v>
      </c>
      <c r="L87" s="116" t="e">
        <f>VLOOKUP($A24,'Template IF 2'!$B$3:$HH$112,51,FALSE)</f>
        <v>#N/A</v>
      </c>
    </row>
    <row r="88" spans="1:12" ht="15.75" customHeight="1" x14ac:dyDescent="0.2">
      <c r="A88" s="94" t="str">
        <f>A26</f>
        <v>None</v>
      </c>
      <c r="B88" s="118" t="e">
        <f>VLOOKUP($A26,'Template IF 2'!$B$3:$HH$112,42,FALSE)</f>
        <v>#N/A</v>
      </c>
      <c r="C88" s="118" t="e">
        <f>VLOOKUP($A26,'Template IF 2'!$B$3:$HH$112,43,FALSE)</f>
        <v>#N/A</v>
      </c>
      <c r="D88" s="118" t="e">
        <f>VLOOKUP($A26,'Template IF 2'!$B$3:$HH$112,44,FALSE)</f>
        <v>#N/A</v>
      </c>
      <c r="E88" s="118" t="e">
        <f>VLOOKUP($A26,'Template IF 2'!$B$3:$HH$112,45,FALSE)</f>
        <v>#N/A</v>
      </c>
      <c r="F88" s="118" t="e">
        <f>VLOOKUP($A26,'Template IF 2'!$B$3:$HH$112,46,FALSE)</f>
        <v>#N/A</v>
      </c>
      <c r="G88" s="103"/>
      <c r="H88" s="101" t="e">
        <f>VLOOKUP($A26,'Template IF 2'!$B$3:$HH$112,47,FALSE)</f>
        <v>#N/A</v>
      </c>
      <c r="I88" s="101" t="e">
        <f>VLOOKUP($A26,'Template IF 2'!$B$3:$HH$112,48,FALSE)</f>
        <v>#N/A</v>
      </c>
      <c r="J88" s="118" t="e">
        <f>VLOOKUP($A26,'Template IF 2'!$B$3:$HH$112,49,FALSE)</f>
        <v>#N/A</v>
      </c>
      <c r="K88" s="118" t="e">
        <f>VLOOKUP($A26,'Template IF 2'!$B$3:$HH$112,50,FALSE)</f>
        <v>#N/A</v>
      </c>
      <c r="L88" s="118" t="e">
        <f>VLOOKUP($A26,'Template IF 2'!$B$3:$HH$112,51,FALSE)</f>
        <v>#N/A</v>
      </c>
    </row>
    <row r="89" spans="1:12" ht="12.75" customHeight="1" x14ac:dyDescent="0.2">
      <c r="A89" s="107"/>
      <c r="B89" s="110"/>
      <c r="C89" s="110"/>
      <c r="D89" s="110"/>
      <c r="E89" s="110"/>
      <c r="F89" s="110"/>
      <c r="G89" s="95"/>
      <c r="H89" s="93" t="s">
        <v>176</v>
      </c>
      <c r="I89" s="110"/>
      <c r="J89" s="110"/>
      <c r="K89" s="110"/>
      <c r="L89" s="110"/>
    </row>
    <row r="90" spans="1:12" ht="14.25" x14ac:dyDescent="0.2">
      <c r="A90" s="93"/>
      <c r="B90" s="195" t="s">
        <v>479</v>
      </c>
      <c r="C90" s="195"/>
      <c r="D90" s="195"/>
      <c r="E90" s="195"/>
      <c r="F90" s="195"/>
      <c r="G90" s="95"/>
      <c r="H90" s="195" t="s">
        <v>480</v>
      </c>
      <c r="I90" s="195"/>
      <c r="J90" s="195"/>
      <c r="K90" s="195"/>
      <c r="L90" s="195"/>
    </row>
    <row r="91" spans="1:12" x14ac:dyDescent="0.2">
      <c r="A91" s="94"/>
      <c r="B91" s="96">
        <v>2008</v>
      </c>
      <c r="C91" s="96">
        <v>2009</v>
      </c>
      <c r="D91" s="96">
        <v>2010</v>
      </c>
      <c r="E91" s="96">
        <v>2011</v>
      </c>
      <c r="F91" s="96">
        <v>2012</v>
      </c>
      <c r="G91" s="95"/>
      <c r="H91" s="96">
        <v>2008</v>
      </c>
      <c r="I91" s="96">
        <v>2009</v>
      </c>
      <c r="J91" s="96">
        <v>2010</v>
      </c>
      <c r="K91" s="96">
        <v>2011</v>
      </c>
      <c r="L91" s="96">
        <v>2012</v>
      </c>
    </row>
    <row r="92" spans="1:12" ht="15.75" customHeight="1" x14ac:dyDescent="0.2">
      <c r="A92" s="93" t="s">
        <v>29</v>
      </c>
      <c r="B92" s="119">
        <f>'Template IF 2'!BA3</f>
        <v>9.62031204909146</v>
      </c>
      <c r="C92" s="119">
        <f>'Template IF 2'!BB3</f>
        <v>10.873109199822638</v>
      </c>
      <c r="D92" s="119">
        <f>'Template IF 2'!BC3</f>
        <v>11.47544174337067</v>
      </c>
      <c r="E92" s="119">
        <f>'Template IF 2'!BD3</f>
        <v>11.81764463946117</v>
      </c>
      <c r="F92" s="119">
        <f>'Template IF 2'!BE3</f>
        <v>11.365086683477063</v>
      </c>
      <c r="G92" s="105"/>
      <c r="H92" s="119">
        <f>'Template IF 2'!BF3</f>
        <v>11.402595156967484</v>
      </c>
      <c r="I92" s="119">
        <f>'Template IF 2'!BG3</f>
        <v>13.880229458334476</v>
      </c>
      <c r="J92" s="120">
        <f>'Template IF 2'!BH3</f>
        <v>15.017250168944953</v>
      </c>
      <c r="K92" s="120">
        <f>'Template IF 2'!BI3</f>
        <v>15.262407516987487</v>
      </c>
      <c r="L92" s="120">
        <f>'Template IF 2'!BJ3</f>
        <v>14.577464341407795</v>
      </c>
    </row>
    <row r="93" spans="1:12" ht="15.75" customHeight="1" x14ac:dyDescent="0.2">
      <c r="A93" s="93" t="str">
        <f>A16</f>
        <v>None</v>
      </c>
      <c r="B93" s="119" t="e">
        <f>VLOOKUP($A16,'Template IF 2'!$B$3:$HH$112,52,FALSE)</f>
        <v>#N/A</v>
      </c>
      <c r="C93" s="119" t="e">
        <f>VLOOKUP($A16,'Template IF 2'!$B$3:$HH$112,53,FALSE)</f>
        <v>#N/A</v>
      </c>
      <c r="D93" s="119" t="e">
        <f>VLOOKUP($A16,'Template IF 2'!$B$3:$HH$112,54,FALSE)</f>
        <v>#N/A</v>
      </c>
      <c r="E93" s="119" t="e">
        <f>VLOOKUP($A16,'Template IF 2'!$B$3:$HH$112,55,FALSE)</f>
        <v>#N/A</v>
      </c>
      <c r="F93" s="119" t="e">
        <f>VLOOKUP($A16,'Template IF 2'!$B$3:$HH$112,56,FALSE)</f>
        <v>#N/A</v>
      </c>
      <c r="G93" s="105"/>
      <c r="H93" s="119" t="e">
        <f>VLOOKUP($A16,'Template IF 2'!$B$3:$HH$112,57,FALSE)</f>
        <v>#N/A</v>
      </c>
      <c r="I93" s="119" t="e">
        <f>VLOOKUP($A16,'Template IF 2'!$B$3:$HH$112,58,FALSE)</f>
        <v>#N/A</v>
      </c>
      <c r="J93" s="105" t="e">
        <f>VLOOKUP($A16,'Template IF 2'!$B$3:$HH$112,59,FALSE)</f>
        <v>#N/A</v>
      </c>
      <c r="K93" s="105" t="e">
        <f>VLOOKUP($A16,'Template IF 2'!$B$3:$HH$112,60,FALSE)</f>
        <v>#N/A</v>
      </c>
      <c r="L93" s="105" t="e">
        <f>VLOOKUP($A16,'Template IF 2'!$B$3:$HH$112,61,FALSE)</f>
        <v>#N/A</v>
      </c>
    </row>
    <row r="94" spans="1:12" ht="15.75" customHeight="1" x14ac:dyDescent="0.2">
      <c r="A94" s="93" t="str">
        <f>A18</f>
        <v>None</v>
      </c>
      <c r="B94" s="119" t="e">
        <f>VLOOKUP($A18,'Template IF 2'!$B$3:$HH$112,52,FALSE)</f>
        <v>#N/A</v>
      </c>
      <c r="C94" s="119" t="e">
        <f>VLOOKUP($A18,'Template IF 2'!$B$3:$HH$112,53,FALSE)</f>
        <v>#N/A</v>
      </c>
      <c r="D94" s="119" t="e">
        <f>VLOOKUP($A18,'Template IF 2'!$B$3:$HH$112,54,FALSE)</f>
        <v>#N/A</v>
      </c>
      <c r="E94" s="119" t="e">
        <f>VLOOKUP($A18,'Template IF 2'!$B$3:$HH$112,55,FALSE)</f>
        <v>#N/A</v>
      </c>
      <c r="F94" s="119" t="e">
        <f>VLOOKUP($A18,'Template IF 2'!$B$3:$HH$112,56,FALSE)</f>
        <v>#N/A</v>
      </c>
      <c r="G94" s="105"/>
      <c r="H94" s="119" t="e">
        <f>VLOOKUP($A18,'Template IF 2'!$B$3:$HH$112,57,FALSE)</f>
        <v>#N/A</v>
      </c>
      <c r="I94" s="119" t="e">
        <f>VLOOKUP($A18,'Template IF 2'!$B$3:$HH$112,58,FALSE)</f>
        <v>#N/A</v>
      </c>
      <c r="J94" s="105" t="e">
        <f>VLOOKUP($A18,'Template IF 2'!$B$3:$HH$112,59,FALSE)</f>
        <v>#N/A</v>
      </c>
      <c r="K94" s="105" t="e">
        <f>VLOOKUP($A18,'Template IF 2'!$B$3:$HH$112,60,FALSE)</f>
        <v>#N/A</v>
      </c>
      <c r="L94" s="105" t="e">
        <f>VLOOKUP($A18,'Template IF 2'!$B$3:$HH$112,61,FALSE)</f>
        <v>#N/A</v>
      </c>
    </row>
    <row r="95" spans="1:12" ht="15.75" customHeight="1" x14ac:dyDescent="0.2">
      <c r="A95" s="93" t="str">
        <f>A20</f>
        <v>None</v>
      </c>
      <c r="B95" s="119" t="e">
        <f>VLOOKUP($A20,'Template IF 2'!$B$3:$HH$112,52,FALSE)</f>
        <v>#N/A</v>
      </c>
      <c r="C95" s="119" t="e">
        <f>VLOOKUP($A20,'Template IF 2'!$B$3:$HH$112,53,FALSE)</f>
        <v>#N/A</v>
      </c>
      <c r="D95" s="119" t="e">
        <f>VLOOKUP($A20,'Template IF 2'!$B$3:$HH$112,54,FALSE)</f>
        <v>#N/A</v>
      </c>
      <c r="E95" s="119" t="e">
        <f>VLOOKUP($A20,'Template IF 2'!$B$3:$HH$112,55,FALSE)</f>
        <v>#N/A</v>
      </c>
      <c r="F95" s="119" t="e">
        <f>VLOOKUP($A20,'Template IF 2'!$B$3:$HH$112,56,FALSE)</f>
        <v>#N/A</v>
      </c>
      <c r="G95" s="105"/>
      <c r="H95" s="119" t="e">
        <f>VLOOKUP($A20,'Template IF 2'!$B$3:$HH$112,57,FALSE)</f>
        <v>#N/A</v>
      </c>
      <c r="I95" s="119" t="e">
        <f>VLOOKUP($A20,'Template IF 2'!$B$3:$HH$112,58,FALSE)</f>
        <v>#N/A</v>
      </c>
      <c r="J95" s="105" t="e">
        <f>VLOOKUP($A20,'Template IF 2'!$B$3:$HH$112,59,FALSE)</f>
        <v>#N/A</v>
      </c>
      <c r="K95" s="105" t="e">
        <f>VLOOKUP($A20,'Template IF 2'!$B$3:$HH$112,60,FALSE)</f>
        <v>#N/A</v>
      </c>
      <c r="L95" s="105" t="e">
        <f>VLOOKUP($A20,'Template IF 2'!$B$3:$HH$112,61,FALSE)</f>
        <v>#N/A</v>
      </c>
    </row>
    <row r="96" spans="1:12" ht="15.75" customHeight="1" x14ac:dyDescent="0.2">
      <c r="A96" s="93" t="str">
        <f>A22</f>
        <v>None</v>
      </c>
      <c r="B96" s="119" t="e">
        <f>VLOOKUP($A22,'Template IF 2'!$B$3:$HH$112,52,FALSE)</f>
        <v>#N/A</v>
      </c>
      <c r="C96" s="119" t="e">
        <f>VLOOKUP($A22,'Template IF 2'!$B$3:$HH$112,53,FALSE)</f>
        <v>#N/A</v>
      </c>
      <c r="D96" s="119" t="e">
        <f>VLOOKUP($A22,'Template IF 2'!$B$3:$HH$112,54,FALSE)</f>
        <v>#N/A</v>
      </c>
      <c r="E96" s="119" t="e">
        <f>VLOOKUP($A22,'Template IF 2'!$B$3:$HH$112,55,FALSE)</f>
        <v>#N/A</v>
      </c>
      <c r="F96" s="119" t="e">
        <f>VLOOKUP($A22,'Template IF 2'!$B$3:$HH$112,56,FALSE)</f>
        <v>#N/A</v>
      </c>
      <c r="G96" s="105"/>
      <c r="H96" s="119" t="e">
        <f>VLOOKUP($A22,'Template IF 2'!$B$3:$HH$112,57,FALSE)</f>
        <v>#N/A</v>
      </c>
      <c r="I96" s="119" t="e">
        <f>VLOOKUP($A22,'Template IF 2'!$B$3:$HH$112,58,FALSE)</f>
        <v>#N/A</v>
      </c>
      <c r="J96" s="105" t="e">
        <f>VLOOKUP($A22,'Template IF 2'!$B$3:$HH$112,59,FALSE)</f>
        <v>#N/A</v>
      </c>
      <c r="K96" s="105" t="e">
        <f>VLOOKUP($A22,'Template IF 2'!$B$3:$HH$112,60,FALSE)</f>
        <v>#N/A</v>
      </c>
      <c r="L96" s="105" t="e">
        <f>VLOOKUP($A22,'Template IF 2'!$B$3:$HH$112,61,FALSE)</f>
        <v>#N/A</v>
      </c>
    </row>
    <row r="97" spans="1:27" ht="15.75" customHeight="1" x14ac:dyDescent="0.2">
      <c r="A97" s="93" t="str">
        <f>A24</f>
        <v>None</v>
      </c>
      <c r="B97" s="119" t="e">
        <f>VLOOKUP($A24,'Template IF 2'!$B$3:$HH$112,52,FALSE)</f>
        <v>#N/A</v>
      </c>
      <c r="C97" s="119" t="e">
        <f>VLOOKUP($A24,'Template IF 2'!$B$3:$HH$112,53,FALSE)</f>
        <v>#N/A</v>
      </c>
      <c r="D97" s="119" t="e">
        <f>VLOOKUP($A24,'Template IF 2'!$B$3:$HH$112,54,FALSE)</f>
        <v>#N/A</v>
      </c>
      <c r="E97" s="119" t="e">
        <f>VLOOKUP($A24,'Template IF 2'!$B$3:$HH$112,55,FALSE)</f>
        <v>#N/A</v>
      </c>
      <c r="F97" s="119" t="e">
        <f>VLOOKUP($A24,'Template IF 2'!$B$3:$HH$112,56,FALSE)</f>
        <v>#N/A</v>
      </c>
      <c r="G97" s="105"/>
      <c r="H97" s="119" t="e">
        <f>VLOOKUP($A24,'Template IF 2'!$B$3:$HH$112,57,FALSE)</f>
        <v>#N/A</v>
      </c>
      <c r="I97" s="119" t="e">
        <f>VLOOKUP($A24,'Template IF 2'!$B$3:$HH$112,58,FALSE)</f>
        <v>#N/A</v>
      </c>
      <c r="J97" s="105" t="e">
        <f>VLOOKUP($A24,'Template IF 2'!$B$3:$HH$112,59,FALSE)</f>
        <v>#N/A</v>
      </c>
      <c r="K97" s="105" t="e">
        <f>VLOOKUP($A24,'Template IF 2'!$B$3:$HH$112,60,FALSE)</f>
        <v>#N/A</v>
      </c>
      <c r="L97" s="105" t="e">
        <f>VLOOKUP($A24,'Template IF 2'!$B$3:$HH$112,61,FALSE)</f>
        <v>#N/A</v>
      </c>
    </row>
    <row r="98" spans="1:27" ht="15.75" customHeight="1" x14ac:dyDescent="0.2">
      <c r="A98" s="94" t="str">
        <f>A26</f>
        <v>None</v>
      </c>
      <c r="B98" s="121" t="e">
        <f>VLOOKUP($A26,'Template IF 2'!$B$3:$HH$112,52,FALSE)</f>
        <v>#N/A</v>
      </c>
      <c r="C98" s="121" t="e">
        <f>VLOOKUP($A26,'Template IF 2'!$B$3:$HH$112,53,FALSE)</f>
        <v>#N/A</v>
      </c>
      <c r="D98" s="121" t="e">
        <f>VLOOKUP($A26,'Template IF 2'!$B$3:$HH$112,54,FALSE)</f>
        <v>#N/A</v>
      </c>
      <c r="E98" s="121" t="e">
        <f>VLOOKUP($A26,'Template IF 2'!$B$3:$HH$112,55,FALSE)</f>
        <v>#N/A</v>
      </c>
      <c r="F98" s="121" t="e">
        <f>VLOOKUP($A26,'Template IF 2'!$B$3:$HH$112,56,FALSE)</f>
        <v>#N/A</v>
      </c>
      <c r="G98" s="105"/>
      <c r="H98" s="121" t="e">
        <f>VLOOKUP($A26,'Template IF 2'!$B$3:$HH$112,57,FALSE)</f>
        <v>#N/A</v>
      </c>
      <c r="I98" s="121" t="e">
        <f>VLOOKUP($A26,'Template IF 2'!$B$3:$HH$112,58,FALSE)</f>
        <v>#N/A</v>
      </c>
      <c r="J98" s="106" t="e">
        <f>VLOOKUP($A26,'Template IF 2'!$B$3:$HH$112,59,FALSE)</f>
        <v>#N/A</v>
      </c>
      <c r="K98" s="106" t="e">
        <f>VLOOKUP($A26,'Template IF 2'!$B$3:$HH$112,60,FALSE)</f>
        <v>#N/A</v>
      </c>
      <c r="L98" s="106" t="e">
        <f>VLOOKUP($A26,'Template IF 2'!$B$3:$HH$112,61,FALSE)</f>
        <v>#N/A</v>
      </c>
    </row>
    <row r="99" spans="1:27" ht="13.5" customHeight="1" x14ac:dyDescent="0.2">
      <c r="A99" s="93"/>
      <c r="B99" s="95"/>
      <c r="C99" s="95"/>
      <c r="D99" s="95"/>
      <c r="E99" s="95"/>
      <c r="F99" s="95"/>
      <c r="G99" s="95"/>
      <c r="H99" s="95"/>
      <c r="I99" s="95"/>
      <c r="J99" s="95"/>
      <c r="K99" s="95"/>
      <c r="L99" s="95"/>
    </row>
    <row r="100" spans="1:27" ht="14.25" x14ac:dyDescent="0.2">
      <c r="A100" s="197" t="s">
        <v>481</v>
      </c>
      <c r="B100" s="197"/>
      <c r="C100" s="197"/>
      <c r="D100" s="197"/>
      <c r="E100" s="197"/>
      <c r="F100" s="197"/>
      <c r="G100" s="197"/>
      <c r="H100" s="197"/>
      <c r="I100" s="197"/>
      <c r="J100" s="197"/>
      <c r="K100" s="197"/>
      <c r="L100" s="197"/>
    </row>
    <row r="101" spans="1:27" ht="8.25" customHeight="1" x14ac:dyDescent="0.2">
      <c r="A101" s="93"/>
      <c r="B101" s="95"/>
      <c r="C101" s="95"/>
      <c r="D101" s="95"/>
      <c r="E101" s="95"/>
      <c r="F101" s="95"/>
      <c r="G101" s="95"/>
      <c r="H101" s="95"/>
      <c r="I101" s="95"/>
      <c r="J101" s="95"/>
      <c r="K101" s="95"/>
      <c r="L101" s="95"/>
      <c r="S101"/>
      <c r="T101"/>
      <c r="U101"/>
      <c r="V101"/>
      <c r="W101"/>
      <c r="X101"/>
      <c r="Y101"/>
      <c r="Z101"/>
      <c r="AA101"/>
    </row>
    <row r="102" spans="1:27" x14ac:dyDescent="0.2">
      <c r="A102" s="93"/>
      <c r="B102" s="95"/>
      <c r="C102" s="95"/>
      <c r="D102" s="95"/>
      <c r="E102" s="95"/>
      <c r="F102" s="95"/>
      <c r="G102" s="95"/>
      <c r="H102" s="193" t="s">
        <v>161</v>
      </c>
      <c r="I102" s="194"/>
      <c r="J102" s="194"/>
      <c r="K102" s="194"/>
      <c r="L102" s="95"/>
      <c r="S102"/>
      <c r="T102"/>
      <c r="U102"/>
      <c r="V102"/>
      <c r="W102"/>
      <c r="X102"/>
      <c r="Y102"/>
      <c r="Z102"/>
      <c r="AA102"/>
    </row>
    <row r="103" spans="1:27" x14ac:dyDescent="0.2">
      <c r="A103" s="107"/>
      <c r="B103" s="195" t="s">
        <v>162</v>
      </c>
      <c r="C103" s="195"/>
      <c r="D103" s="195"/>
      <c r="E103" s="195"/>
      <c r="F103" s="95"/>
      <c r="G103" s="95"/>
      <c r="H103" s="195"/>
      <c r="I103" s="195"/>
      <c r="J103" s="195"/>
      <c r="K103" s="195"/>
      <c r="L103" s="95"/>
      <c r="S103"/>
      <c r="T103"/>
      <c r="U103"/>
      <c r="V103"/>
      <c r="W103"/>
      <c r="X103"/>
      <c r="Y103"/>
      <c r="Z103"/>
      <c r="AA103"/>
    </row>
    <row r="104" spans="1:27" x14ac:dyDescent="0.2">
      <c r="A104" s="94"/>
      <c r="B104" s="96" t="s">
        <v>156</v>
      </c>
      <c r="C104" s="128" t="s">
        <v>157</v>
      </c>
      <c r="D104" s="128" t="s">
        <v>445</v>
      </c>
      <c r="E104" s="128" t="s">
        <v>509</v>
      </c>
      <c r="F104" s="96"/>
      <c r="G104" s="96"/>
      <c r="H104" s="96" t="s">
        <v>156</v>
      </c>
      <c r="I104" s="128" t="s">
        <v>157</v>
      </c>
      <c r="J104" s="128" t="s">
        <v>445</v>
      </c>
      <c r="K104" s="128" t="s">
        <v>509</v>
      </c>
      <c r="L104" s="95"/>
      <c r="S104"/>
      <c r="T104"/>
      <c r="U104"/>
      <c r="V104"/>
      <c r="W104"/>
      <c r="X104"/>
      <c r="Y104"/>
      <c r="Z104"/>
      <c r="AA104"/>
    </row>
    <row r="105" spans="1:27" ht="15.75" customHeight="1" x14ac:dyDescent="0.2">
      <c r="A105" s="107" t="s">
        <v>29</v>
      </c>
      <c r="B105" s="110">
        <f>'Template IF 2'!BK3</f>
        <v>836630</v>
      </c>
      <c r="C105" s="110">
        <f>'Template IF 2'!BL3</f>
        <v>837640</v>
      </c>
      <c r="D105" s="110">
        <f>'Template IF 2'!BM3</f>
        <v>839426</v>
      </c>
      <c r="E105" s="110">
        <f>'Template IF 2'!BN3</f>
        <v>845177</v>
      </c>
      <c r="F105" s="122"/>
      <c r="G105" s="103"/>
      <c r="H105" s="108">
        <f>'Template IF 2'!BO3</f>
        <v>35.487132902238741</v>
      </c>
      <c r="I105" s="108">
        <f>'Template IF 2'!BP3</f>
        <v>36.566305334033714</v>
      </c>
      <c r="J105" s="108">
        <f>'Template IF 2'!BQ3</f>
        <v>37.152887806667891</v>
      </c>
      <c r="K105" s="108">
        <f>'Template IF 2'!BR3</f>
        <v>38.304875783415781</v>
      </c>
      <c r="L105" s="95"/>
      <c r="S105"/>
      <c r="T105"/>
      <c r="U105"/>
      <c r="V105"/>
      <c r="W105"/>
      <c r="X105"/>
      <c r="Y105"/>
      <c r="Z105"/>
      <c r="AA105"/>
    </row>
    <row r="106" spans="1:27" ht="15.75" customHeight="1" x14ac:dyDescent="0.2">
      <c r="A106" s="107" t="str">
        <f>A16</f>
        <v>None</v>
      </c>
      <c r="B106" s="110" t="e">
        <f>VLOOKUP($A16,'Template IF 2'!$B$3:$HH$112,62,FALSE)</f>
        <v>#N/A</v>
      </c>
      <c r="C106" s="110" t="e">
        <f>VLOOKUP($A16,'Template IF 2'!$B$3:$HH$112,63,FALSE)</f>
        <v>#N/A</v>
      </c>
      <c r="D106" s="110" t="e">
        <f>VLOOKUP($A16,'Template IF 2'!$B$3:$HH$112,64,FALSE)</f>
        <v>#N/A</v>
      </c>
      <c r="E106" s="110" t="e">
        <f>VLOOKUP($A16,'Template IF 2'!$B$3:$HH$112,65,FALSE)</f>
        <v>#N/A</v>
      </c>
      <c r="F106" s="122"/>
      <c r="G106" s="103"/>
      <c r="H106" s="123" t="e">
        <f>VLOOKUP($A16,'Template IF 2'!$B$3:$HH$112,66,FALSE)</f>
        <v>#N/A</v>
      </c>
      <c r="I106" s="123" t="e">
        <f>VLOOKUP($A16,'Template IF 2'!$B$3:$HH$112,67,FALSE)</f>
        <v>#N/A</v>
      </c>
      <c r="J106" s="123" t="e">
        <f>VLOOKUP($A16,'Template IF 2'!$B$3:$HH$112,68,FALSE)</f>
        <v>#N/A</v>
      </c>
      <c r="K106" s="124" t="e">
        <f>VLOOKUP($A16,'Template IF 2'!$B$3:$HH$112,69,FALSE)</f>
        <v>#N/A</v>
      </c>
      <c r="L106" s="95"/>
      <c r="S106"/>
      <c r="T106"/>
      <c r="U106"/>
      <c r="V106"/>
      <c r="W106"/>
      <c r="X106"/>
      <c r="Y106"/>
      <c r="Z106"/>
      <c r="AA106"/>
    </row>
    <row r="107" spans="1:27" ht="15.75" customHeight="1" x14ac:dyDescent="0.2">
      <c r="A107" s="107" t="str">
        <f>A18</f>
        <v>None</v>
      </c>
      <c r="B107" s="110" t="e">
        <f>VLOOKUP($A18,'Template IF 2'!$B$3:$HH$112,62,FALSE)</f>
        <v>#N/A</v>
      </c>
      <c r="C107" s="110" t="e">
        <f>VLOOKUP($A18,'Template IF 2'!$B$3:$HH$112,63,FALSE)</f>
        <v>#N/A</v>
      </c>
      <c r="D107" s="110" t="e">
        <f>VLOOKUP($A18,'Template IF 2'!$B$3:$HH$112,64,FALSE)</f>
        <v>#N/A</v>
      </c>
      <c r="E107" s="110" t="e">
        <f>VLOOKUP($A18,'Template IF 2'!$B$3:$HH$112,65,FALSE)</f>
        <v>#N/A</v>
      </c>
      <c r="F107" s="122"/>
      <c r="G107" s="103"/>
      <c r="H107" s="123" t="e">
        <f>VLOOKUP($A18,'Template IF 2'!$B$3:$HH$112,66,FALSE)</f>
        <v>#N/A</v>
      </c>
      <c r="I107" s="123" t="e">
        <f>VLOOKUP($A18,'Template IF 2'!$B$3:$HH$112,67,FALSE)</f>
        <v>#N/A</v>
      </c>
      <c r="J107" s="123" t="e">
        <f>VLOOKUP($A18,'Template IF 2'!$B$3:$HH$112,68,FALSE)</f>
        <v>#N/A</v>
      </c>
      <c r="K107" s="124" t="e">
        <f>VLOOKUP($A18,'Template IF 2'!$B$3:$HH$112,69,FALSE)</f>
        <v>#N/A</v>
      </c>
      <c r="L107" s="95"/>
      <c r="S107"/>
      <c r="T107"/>
      <c r="U107"/>
      <c r="V107"/>
      <c r="W107"/>
      <c r="X107"/>
      <c r="Y107"/>
      <c r="Z107"/>
      <c r="AA107"/>
    </row>
    <row r="108" spans="1:27" ht="15.75" customHeight="1" x14ac:dyDescent="0.2">
      <c r="A108" s="107" t="str">
        <f>A20</f>
        <v>None</v>
      </c>
      <c r="B108" s="110" t="e">
        <f>VLOOKUP($A20,'Template IF 2'!$B$3:$HH$112,62,FALSE)</f>
        <v>#N/A</v>
      </c>
      <c r="C108" s="110" t="e">
        <f>VLOOKUP($A20,'Template IF 2'!$B$3:$HH$112,63,FALSE)</f>
        <v>#N/A</v>
      </c>
      <c r="D108" s="110" t="e">
        <f>VLOOKUP($A20,'Template IF 2'!$B$3:$HH$112,64,FALSE)</f>
        <v>#N/A</v>
      </c>
      <c r="E108" s="110" t="e">
        <f>VLOOKUP($A20,'Template IF 2'!$B$3:$HH$112,65,FALSE)</f>
        <v>#N/A</v>
      </c>
      <c r="F108" s="122"/>
      <c r="G108" s="103"/>
      <c r="H108" s="123" t="e">
        <f>VLOOKUP($A20,'Template IF 2'!$B$3:$HH$112,66,FALSE)</f>
        <v>#N/A</v>
      </c>
      <c r="I108" s="123" t="e">
        <f>VLOOKUP($A20,'Template IF 2'!$B$3:$HH$112,67,FALSE)</f>
        <v>#N/A</v>
      </c>
      <c r="J108" s="123" t="e">
        <f>VLOOKUP($A20,'Template IF 2'!$B$3:$HH$112,68,FALSE)</f>
        <v>#N/A</v>
      </c>
      <c r="K108" s="124" t="e">
        <f>VLOOKUP($A20,'Template IF 2'!$B$3:$HH$112,69,FALSE)</f>
        <v>#N/A</v>
      </c>
      <c r="L108" s="95"/>
      <c r="S108"/>
      <c r="T108"/>
      <c r="U108"/>
      <c r="V108"/>
      <c r="W108"/>
      <c r="X108"/>
      <c r="Y108"/>
      <c r="Z108"/>
      <c r="AA108"/>
    </row>
    <row r="109" spans="1:27" ht="15.75" customHeight="1" x14ac:dyDescent="0.2">
      <c r="A109" s="107" t="str">
        <f>A22</f>
        <v>None</v>
      </c>
      <c r="B109" s="110" t="e">
        <f>VLOOKUP($A22,'Template IF 2'!$B$3:$HH$112,62,FALSE)</f>
        <v>#N/A</v>
      </c>
      <c r="C109" s="110" t="e">
        <f>VLOOKUP($A22,'Template IF 2'!$B$3:$HH$112,63,FALSE)</f>
        <v>#N/A</v>
      </c>
      <c r="D109" s="110" t="e">
        <f>VLOOKUP($A22,'Template IF 2'!$B$3:$HH$112,64,FALSE)</f>
        <v>#N/A</v>
      </c>
      <c r="E109" s="110" t="e">
        <f>VLOOKUP($A22,'Template IF 2'!$B$3:$HH$112,65,FALSE)</f>
        <v>#N/A</v>
      </c>
      <c r="F109" s="122"/>
      <c r="G109" s="103"/>
      <c r="H109" s="123" t="e">
        <f>VLOOKUP($A22,'Template IF 2'!$B$3:$HH$112,66,FALSE)</f>
        <v>#N/A</v>
      </c>
      <c r="I109" s="123" t="e">
        <f>VLOOKUP($A22,'Template IF 2'!$B$3:$HH$112,67,FALSE)</f>
        <v>#N/A</v>
      </c>
      <c r="J109" s="123" t="e">
        <f>VLOOKUP($A22,'Template IF 2'!$B$3:$HH$112,68,FALSE)</f>
        <v>#N/A</v>
      </c>
      <c r="K109" s="124" t="e">
        <f>VLOOKUP($A22,'Template IF 2'!$B$3:$HH$112,69,FALSE)</f>
        <v>#N/A</v>
      </c>
      <c r="L109" s="95"/>
      <c r="S109"/>
      <c r="T109"/>
      <c r="U109"/>
      <c r="V109"/>
      <c r="W109"/>
      <c r="X109"/>
      <c r="Y109"/>
      <c r="Z109"/>
      <c r="AA109"/>
    </row>
    <row r="110" spans="1:27" ht="15.75" customHeight="1" x14ac:dyDescent="0.2">
      <c r="A110" s="107" t="str">
        <f>A24</f>
        <v>None</v>
      </c>
      <c r="B110" s="110" t="e">
        <f>VLOOKUP($A24,'Template IF 2'!$B$3:$HH$112,62,FALSE)</f>
        <v>#N/A</v>
      </c>
      <c r="C110" s="110" t="e">
        <f>VLOOKUP($A24,'Template IF 2'!$B$3:$HH$112,63,FALSE)</f>
        <v>#N/A</v>
      </c>
      <c r="D110" s="110" t="e">
        <f>VLOOKUP($A24,'Template IF 2'!$B$3:$HH$112,64,FALSE)</f>
        <v>#N/A</v>
      </c>
      <c r="E110" s="110" t="e">
        <f>VLOOKUP($A24,'Template IF 2'!$B$3:$HH$112,65,FALSE)</f>
        <v>#N/A</v>
      </c>
      <c r="F110" s="122"/>
      <c r="G110" s="103"/>
      <c r="H110" s="123" t="e">
        <f>VLOOKUP($A24,'Template IF 2'!$B$3:$HH$112,66,FALSE)</f>
        <v>#N/A</v>
      </c>
      <c r="I110" s="123" t="e">
        <f>VLOOKUP($A24,'Template IF 2'!$B$3:$HH$112,67,FALSE)</f>
        <v>#N/A</v>
      </c>
      <c r="J110" s="123" t="e">
        <f>VLOOKUP($A24,'Template IF 2'!$B$3:$HH$112,68,FALSE)</f>
        <v>#N/A</v>
      </c>
      <c r="K110" s="124" t="e">
        <f>VLOOKUP($A24,'Template IF 2'!$B$3:$HH$112,69,FALSE)</f>
        <v>#N/A</v>
      </c>
      <c r="L110" s="95"/>
      <c r="S110"/>
      <c r="T110"/>
      <c r="U110"/>
      <c r="V110"/>
      <c r="W110"/>
      <c r="X110"/>
      <c r="Y110"/>
      <c r="Z110"/>
      <c r="AA110"/>
    </row>
    <row r="111" spans="1:27" ht="15.75" customHeight="1" x14ac:dyDescent="0.2">
      <c r="A111" s="94" t="str">
        <f>A26</f>
        <v>None</v>
      </c>
      <c r="B111" s="125" t="e">
        <f>VLOOKUP($A26,'Template IF 2'!$B$3:$HH$112,62,FALSE)</f>
        <v>#N/A</v>
      </c>
      <c r="C111" s="125" t="e">
        <f>VLOOKUP($A26,'Template IF 2'!$B$3:$HH$112,63,FALSE)</f>
        <v>#N/A</v>
      </c>
      <c r="D111" s="125" t="e">
        <f>VLOOKUP($A26,'Template IF 2'!$B$3:$HH$112,64,FALSE)</f>
        <v>#N/A</v>
      </c>
      <c r="E111" s="125" t="e">
        <f>VLOOKUP($A26,'Template IF 2'!$B$3:$HH$112,65,FALSE)</f>
        <v>#N/A</v>
      </c>
      <c r="F111" s="122"/>
      <c r="G111" s="103"/>
      <c r="H111" s="106" t="e">
        <f>VLOOKUP($A26,'Template IF 2'!$B$3:$HH$112,66,FALSE)</f>
        <v>#N/A</v>
      </c>
      <c r="I111" s="106" t="e">
        <f>VLOOKUP($A26,'Template IF 2'!$B$3:$HH$112,67,FALSE)</f>
        <v>#N/A</v>
      </c>
      <c r="J111" s="106" t="e">
        <f>VLOOKUP($A26,'Template IF 2'!$B$3:$HH$112,68,FALSE)</f>
        <v>#N/A</v>
      </c>
      <c r="K111" s="126" t="e">
        <f>VLOOKUP($A26,'Template IF 2'!$B$3:$HH$112,69,FALSE)</f>
        <v>#N/A</v>
      </c>
      <c r="L111" s="95"/>
      <c r="S111"/>
      <c r="T111"/>
      <c r="U111"/>
      <c r="V111"/>
      <c r="W111"/>
      <c r="X111"/>
      <c r="Y111"/>
      <c r="Z111"/>
      <c r="AA111"/>
    </row>
    <row r="112" spans="1:27" ht="3.75" customHeight="1" x14ac:dyDescent="0.2">
      <c r="A112" s="93"/>
      <c r="B112" s="99"/>
      <c r="C112" s="99"/>
      <c r="D112" s="99"/>
      <c r="E112" s="99"/>
      <c r="F112" s="95"/>
      <c r="G112" s="95"/>
      <c r="H112" s="95"/>
      <c r="I112" s="95"/>
      <c r="J112" s="95"/>
      <c r="K112" s="95"/>
      <c r="L112" s="95"/>
      <c r="S112"/>
      <c r="T112"/>
      <c r="U112"/>
      <c r="V112"/>
      <c r="W112"/>
      <c r="X112"/>
      <c r="Y112"/>
      <c r="Z112"/>
      <c r="AA112"/>
    </row>
    <row r="113" spans="1:27" ht="15.75" customHeight="1" x14ac:dyDescent="0.2">
      <c r="A113" s="93"/>
      <c r="B113" s="193" t="s">
        <v>163</v>
      </c>
      <c r="C113" s="194"/>
      <c r="D113" s="194"/>
      <c r="E113" s="194"/>
      <c r="F113" s="95"/>
      <c r="G113" s="95"/>
      <c r="H113" s="193" t="s">
        <v>164</v>
      </c>
      <c r="I113" s="194"/>
      <c r="J113" s="194"/>
      <c r="K113" s="194"/>
      <c r="L113" s="95"/>
      <c r="S113"/>
      <c r="T113"/>
      <c r="U113"/>
      <c r="V113"/>
      <c r="W113"/>
      <c r="X113"/>
      <c r="Y113"/>
      <c r="Z113"/>
      <c r="AA113"/>
    </row>
    <row r="114" spans="1:27" ht="15.75" customHeight="1" x14ac:dyDescent="0.2">
      <c r="A114" s="107"/>
      <c r="B114" s="195"/>
      <c r="C114" s="195"/>
      <c r="D114" s="195"/>
      <c r="E114" s="195"/>
      <c r="F114" s="95"/>
      <c r="G114" s="95"/>
      <c r="H114" s="195"/>
      <c r="I114" s="195"/>
      <c r="J114" s="195"/>
      <c r="K114" s="195"/>
      <c r="L114" s="95"/>
      <c r="S114"/>
      <c r="T114"/>
      <c r="U114"/>
      <c r="V114"/>
      <c r="W114"/>
      <c r="X114"/>
      <c r="Y114"/>
      <c r="Z114"/>
      <c r="AA114"/>
    </row>
    <row r="115" spans="1:27" ht="16.5" customHeight="1" x14ac:dyDescent="0.2">
      <c r="A115" s="94"/>
      <c r="B115" s="96" t="s">
        <v>156</v>
      </c>
      <c r="C115" s="128" t="s">
        <v>157</v>
      </c>
      <c r="D115" s="128" t="s">
        <v>445</v>
      </c>
      <c r="E115" s="128" t="s">
        <v>509</v>
      </c>
      <c r="F115" s="96"/>
      <c r="G115" s="96"/>
      <c r="H115" s="96" t="s">
        <v>156</v>
      </c>
      <c r="I115" s="128" t="s">
        <v>157</v>
      </c>
      <c r="J115" s="128" t="s">
        <v>445</v>
      </c>
      <c r="K115" s="128" t="s">
        <v>509</v>
      </c>
      <c r="L115" s="95"/>
      <c r="S115"/>
      <c r="T115"/>
      <c r="U115"/>
      <c r="V115"/>
      <c r="W115"/>
      <c r="X115"/>
      <c r="Y115"/>
      <c r="Z115"/>
      <c r="AA115"/>
    </row>
    <row r="116" spans="1:27" ht="15.75" customHeight="1" x14ac:dyDescent="0.2">
      <c r="A116" s="107" t="s">
        <v>29</v>
      </c>
      <c r="B116" s="108">
        <f>'Template IF 2'!BS3</f>
        <v>7.5757503316878427</v>
      </c>
      <c r="C116" s="108">
        <f>'Template IF 2'!BT3</f>
        <v>7.6561530012893364</v>
      </c>
      <c r="D116" s="108">
        <f>'Template IF 2'!BU3</f>
        <v>7.6984749102362802</v>
      </c>
      <c r="E116" s="108">
        <f>'Template IF 2'!BV3</f>
        <v>7.7722181270905386</v>
      </c>
      <c r="F116" s="103"/>
      <c r="G116" s="103"/>
      <c r="H116" s="108">
        <f>'Template IF 2'!BW3</f>
        <v>14.608488818235061</v>
      </c>
      <c r="I116" s="108">
        <f>'Template IF 2'!BX3</f>
        <v>14.839071677570317</v>
      </c>
      <c r="J116" s="108">
        <f>'Template IF 2'!BY3</f>
        <v>14.906853016227755</v>
      </c>
      <c r="K116" s="108">
        <f>'Template IF 2'!BZ3</f>
        <v>14.897471180592941</v>
      </c>
      <c r="L116" s="95"/>
      <c r="S116"/>
      <c r="T116"/>
      <c r="U116"/>
      <c r="V116"/>
      <c r="W116"/>
      <c r="X116"/>
      <c r="Y116"/>
      <c r="Z116"/>
      <c r="AA116"/>
    </row>
    <row r="117" spans="1:27" ht="15.75" customHeight="1" x14ac:dyDescent="0.2">
      <c r="A117" s="107" t="str">
        <f>A16</f>
        <v>None</v>
      </c>
      <c r="B117" s="124" t="e">
        <f>VLOOKUP($A16,'Template IF 2'!$B$3:$HH$112,70,FALSE)</f>
        <v>#N/A</v>
      </c>
      <c r="C117" s="124" t="e">
        <f>VLOOKUP($A16,'Template IF 2'!$B$3:$HH$112,71,FALSE)</f>
        <v>#N/A</v>
      </c>
      <c r="D117" s="124" t="e">
        <f>VLOOKUP($A16,'Template IF 2'!$B$3:$HH$112,72,FALSE)</f>
        <v>#N/A</v>
      </c>
      <c r="E117" s="127" t="e">
        <f>VLOOKUP($A16,'Template IF 2'!$B$3:$HH$112,73,FALSE)</f>
        <v>#N/A</v>
      </c>
      <c r="F117" s="103"/>
      <c r="G117" s="103"/>
      <c r="H117" s="105" t="e">
        <f>VLOOKUP($A16,'Template IF 2'!$B$3:$HH$112,74,FALSE)</f>
        <v>#N/A</v>
      </c>
      <c r="I117" s="105" t="e">
        <f>VLOOKUP($A16,'Template IF 2'!$B$3:$HH$112,75,FALSE)</f>
        <v>#N/A</v>
      </c>
      <c r="J117" s="105" t="e">
        <f>VLOOKUP($A16,'Template IF 2'!$B$3:$HH$112,76,FALSE)</f>
        <v>#N/A</v>
      </c>
      <c r="K117" s="105" t="e">
        <f>VLOOKUP($A16,'Template IF 2'!$B$3:$HH$112,77,FALSE)</f>
        <v>#N/A</v>
      </c>
      <c r="L117" s="95"/>
      <c r="M117" s="24"/>
      <c r="S117"/>
      <c r="T117"/>
      <c r="U117"/>
      <c r="V117"/>
      <c r="W117"/>
      <c r="X117"/>
      <c r="Y117"/>
      <c r="Z117"/>
      <c r="AA117"/>
    </row>
    <row r="118" spans="1:27" ht="15.75" customHeight="1" x14ac:dyDescent="0.2">
      <c r="A118" s="107" t="str">
        <f>A18</f>
        <v>None</v>
      </c>
      <c r="B118" s="124" t="e">
        <f>VLOOKUP($A18,'Template IF 2'!$B$3:$HH$112,70,FALSE)</f>
        <v>#N/A</v>
      </c>
      <c r="C118" s="124" t="e">
        <f>VLOOKUP($A18,'Template IF 2'!$B$3:$HH$112,71,FALSE)</f>
        <v>#N/A</v>
      </c>
      <c r="D118" s="124" t="e">
        <f>VLOOKUP($A18,'Template IF 2'!$B$3:$HH$112,72,FALSE)</f>
        <v>#N/A</v>
      </c>
      <c r="E118" s="127" t="e">
        <f>VLOOKUP($A18,'Template IF 2'!$B$3:$HH$112,73,FALSE)</f>
        <v>#N/A</v>
      </c>
      <c r="F118" s="103"/>
      <c r="G118" s="103"/>
      <c r="H118" s="105" t="e">
        <f>VLOOKUP($A18,'Template IF 2'!$B$3:$HH$112,74,FALSE)</f>
        <v>#N/A</v>
      </c>
      <c r="I118" s="105" t="e">
        <f>VLOOKUP($A18,'Template IF 2'!$B$3:$HH$112,75,FALSE)</f>
        <v>#N/A</v>
      </c>
      <c r="J118" s="105" t="e">
        <f>VLOOKUP($A18,'Template IF 2'!$B$3:$HH$112,76,FALSE)</f>
        <v>#N/A</v>
      </c>
      <c r="K118" s="105" t="e">
        <f>VLOOKUP($A18,'Template IF 2'!$B$3:$HH$112,77,FALSE)</f>
        <v>#N/A</v>
      </c>
      <c r="L118" s="95"/>
      <c r="M118" s="24"/>
      <c r="S118"/>
      <c r="T118"/>
      <c r="U118"/>
      <c r="V118"/>
      <c r="W118"/>
      <c r="X118"/>
      <c r="Y118"/>
      <c r="Z118"/>
      <c r="AA118"/>
    </row>
    <row r="119" spans="1:27" ht="15.75" customHeight="1" x14ac:dyDescent="0.2">
      <c r="A119" s="107" t="str">
        <f>A20</f>
        <v>None</v>
      </c>
      <c r="B119" s="124" t="e">
        <f>VLOOKUP($A20,'Template IF 2'!$B$3:$HH$112,70,FALSE)</f>
        <v>#N/A</v>
      </c>
      <c r="C119" s="124" t="e">
        <f>VLOOKUP($A20,'Template IF 2'!$B$3:$HH$112,71,FALSE)</f>
        <v>#N/A</v>
      </c>
      <c r="D119" s="124" t="e">
        <f>VLOOKUP($A20,'Template IF 2'!$B$3:$HH$112,72,FALSE)</f>
        <v>#N/A</v>
      </c>
      <c r="E119" s="127" t="e">
        <f>VLOOKUP($A20,'Template IF 2'!$B$3:$HH$112,73,FALSE)</f>
        <v>#N/A</v>
      </c>
      <c r="F119" s="103"/>
      <c r="G119" s="103"/>
      <c r="H119" s="105" t="e">
        <f>VLOOKUP($A20,'Template IF 2'!$B$3:$HH$112,74,FALSE)</f>
        <v>#N/A</v>
      </c>
      <c r="I119" s="105" t="e">
        <f>VLOOKUP($A20,'Template IF 2'!$B$3:$HH$112,75,FALSE)</f>
        <v>#N/A</v>
      </c>
      <c r="J119" s="105" t="e">
        <f>VLOOKUP($A20,'Template IF 2'!$B$3:$HH$112,76,FALSE)</f>
        <v>#N/A</v>
      </c>
      <c r="K119" s="105" t="e">
        <f>VLOOKUP($A20,'Template IF 2'!$B$3:$HH$112,77,FALSE)</f>
        <v>#N/A</v>
      </c>
      <c r="L119" s="95"/>
      <c r="S119"/>
      <c r="T119"/>
      <c r="U119"/>
      <c r="V119"/>
      <c r="W119"/>
      <c r="X119"/>
      <c r="Y119"/>
      <c r="Z119"/>
      <c r="AA119"/>
    </row>
    <row r="120" spans="1:27" ht="15.75" customHeight="1" x14ac:dyDescent="0.2">
      <c r="A120" s="107" t="str">
        <f>A22</f>
        <v>None</v>
      </c>
      <c r="B120" s="124" t="e">
        <f>VLOOKUP($A22,'Template IF 2'!$B$3:$HH$112,70,FALSE)</f>
        <v>#N/A</v>
      </c>
      <c r="C120" s="124" t="e">
        <f>VLOOKUP($A22,'Template IF 2'!$B$3:$HH$112,71,FALSE)</f>
        <v>#N/A</v>
      </c>
      <c r="D120" s="124" t="e">
        <f>VLOOKUP($A22,'Template IF 2'!$B$3:$HH$112,72,FALSE)</f>
        <v>#N/A</v>
      </c>
      <c r="E120" s="127" t="e">
        <f>VLOOKUP($A22,'Template IF 2'!$B$3:$HH$112,73,FALSE)</f>
        <v>#N/A</v>
      </c>
      <c r="F120" s="103"/>
      <c r="G120" s="103"/>
      <c r="H120" s="105" t="e">
        <f>VLOOKUP($A22,'Template IF 2'!$B$3:$HH$112,74,FALSE)</f>
        <v>#N/A</v>
      </c>
      <c r="I120" s="105" t="e">
        <f>VLOOKUP($A22,'Template IF 2'!$B$3:$HH$112,75,FALSE)</f>
        <v>#N/A</v>
      </c>
      <c r="J120" s="105" t="e">
        <f>VLOOKUP($A22,'Template IF 2'!$B$3:$HH$112,76,FALSE)</f>
        <v>#N/A</v>
      </c>
      <c r="K120" s="105" t="e">
        <f>VLOOKUP($A22,'Template IF 2'!$B$3:$HH$112,77,FALSE)</f>
        <v>#N/A</v>
      </c>
      <c r="L120" s="95"/>
      <c r="S120"/>
      <c r="T120"/>
      <c r="U120"/>
      <c r="V120"/>
      <c r="W120"/>
      <c r="X120"/>
      <c r="Y120"/>
      <c r="Z120"/>
      <c r="AA120"/>
    </row>
    <row r="121" spans="1:27" ht="15.75" customHeight="1" x14ac:dyDescent="0.2">
      <c r="A121" s="107" t="str">
        <f>A24</f>
        <v>None</v>
      </c>
      <c r="B121" s="124" t="e">
        <f>VLOOKUP($A24,'Template IF 2'!$B$3:$HH$112,70,FALSE)</f>
        <v>#N/A</v>
      </c>
      <c r="C121" s="124" t="e">
        <f>VLOOKUP($A24,'Template IF 2'!$B$3:$HH$112,71,FALSE)</f>
        <v>#N/A</v>
      </c>
      <c r="D121" s="124" t="e">
        <f>VLOOKUP($A24,'Template IF 2'!$B$3:$HH$112,72,FALSE)</f>
        <v>#N/A</v>
      </c>
      <c r="E121" s="127" t="e">
        <f>VLOOKUP($A24,'Template IF 2'!$B$3:$HH$112,73,FALSE)</f>
        <v>#N/A</v>
      </c>
      <c r="F121" s="103"/>
      <c r="G121" s="103"/>
      <c r="H121" s="105" t="e">
        <f>VLOOKUP($A24,'Template IF 2'!$B$3:$HH$112,74,FALSE)</f>
        <v>#N/A</v>
      </c>
      <c r="I121" s="105" t="e">
        <f>VLOOKUP($A24,'Template IF 2'!$B$3:$HH$112,75,FALSE)</f>
        <v>#N/A</v>
      </c>
      <c r="J121" s="105" t="e">
        <f>VLOOKUP($A24,'Template IF 2'!$B$3:$HH$112,76,FALSE)</f>
        <v>#N/A</v>
      </c>
      <c r="K121" s="105" t="e">
        <f>VLOOKUP($A24,'Template IF 2'!$B$3:$HH$112,77,FALSE)</f>
        <v>#N/A</v>
      </c>
      <c r="L121" s="95"/>
      <c r="S121"/>
      <c r="T121"/>
      <c r="U121"/>
      <c r="V121"/>
      <c r="W121"/>
      <c r="X121"/>
      <c r="Y121"/>
      <c r="Z121"/>
      <c r="AA121"/>
    </row>
    <row r="122" spans="1:27" ht="15.75" customHeight="1" x14ac:dyDescent="0.2">
      <c r="A122" s="94" t="str">
        <f>A26</f>
        <v>None</v>
      </c>
      <c r="B122" s="126" t="e">
        <f>VLOOKUP($A26,'Template IF 2'!$B$3:$HH$112,70,FALSE)</f>
        <v>#N/A</v>
      </c>
      <c r="C122" s="126" t="e">
        <f>VLOOKUP($A26,'Template IF 2'!$B$3:$HH$112,71,FALSE)</f>
        <v>#N/A</v>
      </c>
      <c r="D122" s="126" t="e">
        <f>VLOOKUP($A26,'Template IF 2'!$B$3:$HH$112,72,FALSE)</f>
        <v>#N/A</v>
      </c>
      <c r="E122" s="113" t="e">
        <f>VLOOKUP($A26,'Template IF 2'!$B$3:$HH$112,73,FALSE)</f>
        <v>#N/A</v>
      </c>
      <c r="F122" s="103"/>
      <c r="G122" s="103"/>
      <c r="H122" s="106" t="e">
        <f>VLOOKUP($A26,'Template IF 2'!$B$3:$HH$112,74,FALSE)</f>
        <v>#N/A</v>
      </c>
      <c r="I122" s="106" t="e">
        <f>VLOOKUP($A26,'Template IF 2'!$B$3:$HH$112,75,FALSE)</f>
        <v>#N/A</v>
      </c>
      <c r="J122" s="106" t="e">
        <f>VLOOKUP($A26,'Template IF 2'!$B$3:$HH$112,76,FALSE)</f>
        <v>#N/A</v>
      </c>
      <c r="K122" s="106" t="e">
        <f>VLOOKUP($A26,'Template IF 2'!$B$3:$HH$112,77,FALSE)</f>
        <v>#N/A</v>
      </c>
      <c r="L122" s="95"/>
      <c r="S122"/>
      <c r="T122"/>
      <c r="U122"/>
      <c r="V122"/>
      <c r="W122"/>
      <c r="X122"/>
      <c r="Y122"/>
      <c r="Z122"/>
      <c r="AA122"/>
    </row>
    <row r="123" spans="1:27" x14ac:dyDescent="0.2">
      <c r="A123" s="93"/>
      <c r="B123" s="193" t="s">
        <v>184</v>
      </c>
      <c r="C123" s="194"/>
      <c r="D123" s="194"/>
      <c r="E123" s="194"/>
      <c r="F123" s="95"/>
      <c r="G123" s="95"/>
      <c r="H123" s="193" t="s">
        <v>183</v>
      </c>
      <c r="I123" s="194"/>
      <c r="J123" s="194"/>
      <c r="K123" s="194"/>
      <c r="L123" s="95"/>
      <c r="S123"/>
      <c r="T123"/>
      <c r="U123"/>
      <c r="V123"/>
      <c r="W123"/>
      <c r="X123"/>
      <c r="Y123"/>
      <c r="Z123"/>
      <c r="AA123"/>
    </row>
    <row r="124" spans="1:27" x14ac:dyDescent="0.2">
      <c r="A124" s="107"/>
      <c r="B124" s="195"/>
      <c r="C124" s="195"/>
      <c r="D124" s="195"/>
      <c r="E124" s="195"/>
      <c r="F124" s="95"/>
      <c r="G124" s="95"/>
      <c r="H124" s="195"/>
      <c r="I124" s="195"/>
      <c r="J124" s="195"/>
      <c r="K124" s="195"/>
      <c r="L124" s="95"/>
      <c r="S124"/>
      <c r="T124"/>
      <c r="U124"/>
      <c r="V124"/>
      <c r="W124"/>
      <c r="X124"/>
      <c r="Y124"/>
      <c r="Z124"/>
      <c r="AA124"/>
    </row>
    <row r="125" spans="1:27" x14ac:dyDescent="0.2">
      <c r="A125" s="94"/>
      <c r="B125" s="96" t="s">
        <v>156</v>
      </c>
      <c r="C125" s="128" t="s">
        <v>157</v>
      </c>
      <c r="D125" s="128" t="s">
        <v>445</v>
      </c>
      <c r="E125" s="128" t="s">
        <v>509</v>
      </c>
      <c r="F125" s="95"/>
      <c r="G125" s="95"/>
      <c r="H125" s="96" t="s">
        <v>156</v>
      </c>
      <c r="I125" s="128" t="s">
        <v>157</v>
      </c>
      <c r="J125" s="128" t="s">
        <v>445</v>
      </c>
      <c r="K125" s="128" t="s">
        <v>509</v>
      </c>
      <c r="L125" s="95"/>
      <c r="S125"/>
      <c r="T125"/>
      <c r="U125"/>
      <c r="V125"/>
      <c r="W125"/>
      <c r="X125"/>
      <c r="Y125"/>
      <c r="Z125"/>
      <c r="AA125"/>
    </row>
    <row r="126" spans="1:27" ht="15.75" customHeight="1" x14ac:dyDescent="0.2">
      <c r="A126" s="107" t="s">
        <v>29</v>
      </c>
      <c r="B126" s="108">
        <f>'Template IF 2'!CA3</f>
        <v>75.848097788765273</v>
      </c>
      <c r="C126" s="108">
        <f>'Template IF 2'!CB3</f>
        <v>76.821750059683467</v>
      </c>
      <c r="D126" s="129">
        <f>'Template IF 2'!CC3</f>
        <v>77.55</v>
      </c>
      <c r="E126" s="129">
        <f>'Template IF 2'!CD3</f>
        <v>78.400000000000006</v>
      </c>
      <c r="F126" s="95"/>
      <c r="G126" s="95"/>
      <c r="H126" s="108">
        <f>'Template IF 2'!CE3</f>
        <v>4.8605960719681365</v>
      </c>
      <c r="I126" s="108">
        <f>'Template IF 2'!CF3</f>
        <v>4.7760816750691628</v>
      </c>
      <c r="J126" s="129">
        <f>'Template IF 2'!CG3</f>
        <v>5.07</v>
      </c>
      <c r="K126" s="130">
        <f>'Template IF 2'!CH3</f>
        <v>4.32</v>
      </c>
      <c r="L126" s="95"/>
      <c r="S126"/>
      <c r="T126"/>
      <c r="U126"/>
      <c r="V126"/>
      <c r="W126"/>
      <c r="X126"/>
      <c r="Y126"/>
      <c r="Z126"/>
      <c r="AA126"/>
    </row>
    <row r="127" spans="1:27" ht="15.75" customHeight="1" x14ac:dyDescent="0.2">
      <c r="A127" s="107" t="str">
        <f>A16</f>
        <v>None</v>
      </c>
      <c r="B127" s="105" t="e">
        <f>VLOOKUP($A16,'Template IF 2'!$B$3:$HH$112,78,FALSE)</f>
        <v>#N/A</v>
      </c>
      <c r="C127" s="105" t="e">
        <f>VLOOKUP($A16,'Template IF 2'!$B$3:$HH$112,79,FALSE)</f>
        <v>#N/A</v>
      </c>
      <c r="D127" s="131" t="e">
        <f>VLOOKUP($A16,'Template IF 2'!$B$3:$HH$112,80,FALSE)</f>
        <v>#N/A</v>
      </c>
      <c r="E127" s="131" t="e">
        <f>VLOOKUP($A16,'Template IF 2'!$B$3:$HH$112,81,FALSE)</f>
        <v>#N/A</v>
      </c>
      <c r="F127" s="123"/>
      <c r="G127" s="123"/>
      <c r="H127" s="105" t="e">
        <f>VLOOKUP($A16,'Template IF 2'!$B$3:$HH$112,82,FALSE)</f>
        <v>#N/A</v>
      </c>
      <c r="I127" s="105" t="e">
        <f>VLOOKUP($A16,'Template IF 2'!$B$3:$HH$112,83,FALSE)</f>
        <v>#N/A</v>
      </c>
      <c r="J127" s="131" t="e">
        <f>VLOOKUP($A16,'Template IF 2'!$B$3:$HH$112,84,FALSE)</f>
        <v>#N/A</v>
      </c>
      <c r="K127" s="130" t="e">
        <f>VLOOKUP($A16,'Template IF 2'!$B$3:$HH$112,85,FALSE)</f>
        <v>#N/A</v>
      </c>
      <c r="L127" s="95"/>
      <c r="S127"/>
      <c r="T127"/>
      <c r="U127"/>
      <c r="V127"/>
      <c r="W127"/>
      <c r="X127"/>
      <c r="Y127"/>
      <c r="Z127"/>
      <c r="AA127"/>
    </row>
    <row r="128" spans="1:27" ht="15.75" customHeight="1" x14ac:dyDescent="0.2">
      <c r="A128" s="107" t="str">
        <f>A18</f>
        <v>None</v>
      </c>
      <c r="B128" s="105" t="e">
        <f>VLOOKUP($A18,'Template IF 2'!$B$3:$HH$112,78,FALSE)</f>
        <v>#N/A</v>
      </c>
      <c r="C128" s="105" t="e">
        <f>VLOOKUP($A18,'Template IF 2'!$B$3:$HH$112,79,FALSE)</f>
        <v>#N/A</v>
      </c>
      <c r="D128" s="131" t="e">
        <f>VLOOKUP($A18,'Template IF 2'!$B$3:$HH$112,80,FALSE)</f>
        <v>#N/A</v>
      </c>
      <c r="E128" s="131" t="e">
        <f>VLOOKUP($A18,'Template IF 2'!$B$3:$HH$112,81,FALSE)</f>
        <v>#N/A</v>
      </c>
      <c r="F128" s="95"/>
      <c r="G128" s="95"/>
      <c r="H128" s="105" t="e">
        <f>VLOOKUP($A18,'Template IF 2'!$B$3:$HH$112,82,FALSE)</f>
        <v>#N/A</v>
      </c>
      <c r="I128" s="105" t="e">
        <f>VLOOKUP($A18,'Template IF 2'!$B$3:$HH$112,83,FALSE)</f>
        <v>#N/A</v>
      </c>
      <c r="J128" s="131" t="e">
        <f>VLOOKUP($A18,'Template IF 2'!$B$3:$HH$112,84,FALSE)</f>
        <v>#N/A</v>
      </c>
      <c r="K128" s="130" t="e">
        <f>VLOOKUP($A18,'Template IF 2'!$B$3:$HH$112,85,FALSE)</f>
        <v>#N/A</v>
      </c>
      <c r="L128" s="95"/>
      <c r="S128"/>
      <c r="T128"/>
      <c r="U128"/>
      <c r="V128"/>
      <c r="W128"/>
      <c r="X128"/>
      <c r="Y128"/>
      <c r="Z128"/>
      <c r="AA128"/>
    </row>
    <row r="129" spans="1:27" ht="15.75" customHeight="1" x14ac:dyDescent="0.2">
      <c r="A129" s="107" t="str">
        <f>A20</f>
        <v>None</v>
      </c>
      <c r="B129" s="105" t="e">
        <f>VLOOKUP($A20,'Template IF 2'!$B$3:$HH$112,78,FALSE)</f>
        <v>#N/A</v>
      </c>
      <c r="C129" s="105" t="e">
        <f>VLOOKUP($A20,'Template IF 2'!$B$3:$HH$112,79,FALSE)</f>
        <v>#N/A</v>
      </c>
      <c r="D129" s="131" t="e">
        <f>VLOOKUP($A20,'Template IF 2'!$B$3:$HH$112,80,FALSE)</f>
        <v>#N/A</v>
      </c>
      <c r="E129" s="131" t="e">
        <f>VLOOKUP($A20,'Template IF 2'!$B$3:$HH$112,81,FALSE)</f>
        <v>#N/A</v>
      </c>
      <c r="F129" s="95"/>
      <c r="G129" s="95"/>
      <c r="H129" s="105" t="e">
        <f>VLOOKUP($A20,'Template IF 2'!$B$3:$HH$112,82,FALSE)</f>
        <v>#N/A</v>
      </c>
      <c r="I129" s="105" t="e">
        <f>VLOOKUP($A20,'Template IF 2'!$B$3:$HH$112,83,FALSE)</f>
        <v>#N/A</v>
      </c>
      <c r="J129" s="131" t="e">
        <f>VLOOKUP($A20,'Template IF 2'!$B$3:$HH$112,84,FALSE)</f>
        <v>#N/A</v>
      </c>
      <c r="K129" s="130" t="e">
        <f>VLOOKUP($A20,'Template IF 2'!$B$3:$HH$112,85,FALSE)</f>
        <v>#N/A</v>
      </c>
      <c r="L129" s="95"/>
      <c r="S129"/>
      <c r="T129"/>
      <c r="U129"/>
      <c r="V129"/>
      <c r="W129"/>
      <c r="X129"/>
      <c r="Y129"/>
      <c r="Z129"/>
      <c r="AA129"/>
    </row>
    <row r="130" spans="1:27" ht="15.75" customHeight="1" x14ac:dyDescent="0.2">
      <c r="A130" s="107" t="str">
        <f>A22</f>
        <v>None</v>
      </c>
      <c r="B130" s="105" t="e">
        <f>VLOOKUP($A22,'Template IF 2'!$B$3:$HH$112,78,FALSE)</f>
        <v>#N/A</v>
      </c>
      <c r="C130" s="105" t="e">
        <f>VLOOKUP($A22,'Template IF 2'!$B$3:$HH$112,79,FALSE)</f>
        <v>#N/A</v>
      </c>
      <c r="D130" s="131" t="e">
        <f>VLOOKUP($A22,'Template IF 2'!$B$3:$HH$112,80,FALSE)</f>
        <v>#N/A</v>
      </c>
      <c r="E130" s="131" t="e">
        <f>VLOOKUP($A22,'Template IF 2'!$B$3:$HH$112,81,FALSE)</f>
        <v>#N/A</v>
      </c>
      <c r="F130" s="95"/>
      <c r="G130" s="95"/>
      <c r="H130" s="105" t="e">
        <f>VLOOKUP($A22,'Template IF 2'!$B$3:$HH$112,82,FALSE)</f>
        <v>#N/A</v>
      </c>
      <c r="I130" s="105" t="e">
        <f>VLOOKUP($A22,'Template IF 2'!$B$3:$HH$112,83,FALSE)</f>
        <v>#N/A</v>
      </c>
      <c r="J130" s="131" t="e">
        <f>VLOOKUP($A22,'Template IF 2'!$B$3:$HH$112,84,FALSE)</f>
        <v>#N/A</v>
      </c>
      <c r="K130" s="130" t="e">
        <f>VLOOKUP($A22,'Template IF 2'!$B$3:$HH$112,85,FALSE)</f>
        <v>#N/A</v>
      </c>
      <c r="L130" s="95"/>
      <c r="S130"/>
      <c r="T130"/>
      <c r="U130"/>
      <c r="V130"/>
      <c r="W130"/>
      <c r="X130"/>
      <c r="Y130"/>
      <c r="Z130"/>
      <c r="AA130"/>
    </row>
    <row r="131" spans="1:27" ht="15.75" customHeight="1" x14ac:dyDescent="0.2">
      <c r="A131" s="107" t="str">
        <f>A24</f>
        <v>None</v>
      </c>
      <c r="B131" s="105" t="e">
        <f>VLOOKUP($A24,'Template IF 2'!$B$3:$HH$112,78,FALSE)</f>
        <v>#N/A</v>
      </c>
      <c r="C131" s="105" t="e">
        <f>VLOOKUP($A24,'Template IF 2'!$B$3:$HH$112,79,FALSE)</f>
        <v>#N/A</v>
      </c>
      <c r="D131" s="131" t="e">
        <f>VLOOKUP($A24,'Template IF 2'!$B$3:$HH$112,80,FALSE)</f>
        <v>#N/A</v>
      </c>
      <c r="E131" s="131" t="e">
        <f>VLOOKUP($A24,'Template IF 2'!$B$3:$HH$112,81,FALSE)</f>
        <v>#N/A</v>
      </c>
      <c r="F131" s="95"/>
      <c r="G131" s="95"/>
      <c r="H131" s="105" t="e">
        <f>VLOOKUP($A24,'Template IF 2'!$B$3:$HH$112,82,FALSE)</f>
        <v>#N/A</v>
      </c>
      <c r="I131" s="105" t="e">
        <f>VLOOKUP($A24,'Template IF 2'!$B$3:$HH$112,83,FALSE)</f>
        <v>#N/A</v>
      </c>
      <c r="J131" s="131" t="e">
        <f>VLOOKUP($A24,'Template IF 2'!$B$3:$HH$112,84,FALSE)</f>
        <v>#N/A</v>
      </c>
      <c r="K131" s="130" t="e">
        <f>VLOOKUP($A24,'Template IF 2'!$B$3:$HH$112,85,FALSE)</f>
        <v>#N/A</v>
      </c>
      <c r="L131" s="95"/>
      <c r="S131"/>
      <c r="T131"/>
      <c r="U131"/>
      <c r="V131"/>
      <c r="W131"/>
      <c r="X131"/>
      <c r="Y131"/>
      <c r="Z131"/>
      <c r="AA131"/>
    </row>
    <row r="132" spans="1:27" ht="15.75" customHeight="1" x14ac:dyDescent="0.2">
      <c r="A132" s="94" t="str">
        <f>A26</f>
        <v>None</v>
      </c>
      <c r="B132" s="106" t="e">
        <f>VLOOKUP($A26,'Template IF 2'!$B$3:$HH$112,78,FALSE)</f>
        <v>#N/A</v>
      </c>
      <c r="C132" s="106" t="e">
        <f>VLOOKUP($A26,'Template IF 2'!$B$3:$HH$112,79,FALSE)</f>
        <v>#N/A</v>
      </c>
      <c r="D132" s="132" t="e">
        <f>VLOOKUP($A26,'Template IF 2'!$B$3:$HH$112,80,FALSE)</f>
        <v>#N/A</v>
      </c>
      <c r="E132" s="132" t="e">
        <f>VLOOKUP($A26,'Template IF 2'!$B$3:$HH$112,81,FALSE)</f>
        <v>#N/A</v>
      </c>
      <c r="F132" s="96"/>
      <c r="G132" s="96"/>
      <c r="H132" s="106" t="e">
        <f>VLOOKUP($A26,'Template IF 2'!$B$3:$HH$112,82,FALSE)</f>
        <v>#N/A</v>
      </c>
      <c r="I132" s="106" t="e">
        <f>VLOOKUP($A26,'Template IF 2'!$B$3:$HH$112,83,FALSE)</f>
        <v>#N/A</v>
      </c>
      <c r="J132" s="132" t="e">
        <f>VLOOKUP($A26,'Template IF 2'!$B$3:$HH$112,84,FALSE)</f>
        <v>#N/A</v>
      </c>
      <c r="K132" s="132" t="e">
        <f>VLOOKUP($A26,'Template IF 2'!$B$3:$HH$112,85,FALSE)</f>
        <v>#N/A</v>
      </c>
      <c r="L132" s="95"/>
      <c r="S132"/>
      <c r="T132"/>
      <c r="U132"/>
      <c r="V132"/>
      <c r="W132"/>
      <c r="X132"/>
      <c r="Y132"/>
      <c r="Z132"/>
      <c r="AA132"/>
    </row>
    <row r="133" spans="1:27" x14ac:dyDescent="0.2">
      <c r="A133" s="93" t="s">
        <v>176</v>
      </c>
      <c r="B133" s="95"/>
      <c r="C133" s="95"/>
      <c r="D133" s="95"/>
      <c r="E133" s="95"/>
      <c r="F133" s="95"/>
      <c r="G133" s="95"/>
      <c r="H133" s="95"/>
      <c r="I133" s="95"/>
      <c r="J133" s="95"/>
      <c r="K133" s="95"/>
      <c r="L133" s="95"/>
      <c r="S133"/>
      <c r="T133"/>
      <c r="U133"/>
      <c r="V133"/>
      <c r="W133"/>
      <c r="X133"/>
      <c r="Y133"/>
      <c r="Z133"/>
      <c r="AA133"/>
    </row>
    <row r="134" spans="1:27" ht="14.25" x14ac:dyDescent="0.2">
      <c r="A134" s="197" t="s">
        <v>482</v>
      </c>
      <c r="B134" s="197"/>
      <c r="C134" s="197"/>
      <c r="D134" s="197"/>
      <c r="E134" s="197"/>
      <c r="F134" s="197"/>
      <c r="G134" s="197"/>
      <c r="H134" s="197"/>
      <c r="I134" s="197"/>
      <c r="J134" s="197"/>
      <c r="K134" s="197"/>
      <c r="L134" s="197"/>
      <c r="S134"/>
      <c r="T134"/>
      <c r="U134"/>
      <c r="V134"/>
      <c r="W134"/>
      <c r="X134"/>
      <c r="Y134"/>
      <c r="Z134"/>
      <c r="AA134"/>
    </row>
    <row r="135" spans="1:27" x14ac:dyDescent="0.2">
      <c r="A135" s="93"/>
      <c r="B135" s="95"/>
      <c r="C135" s="95"/>
      <c r="D135" s="95"/>
      <c r="E135" s="95"/>
      <c r="F135" s="95"/>
      <c r="G135" s="95"/>
      <c r="H135" s="95"/>
      <c r="I135" s="95"/>
      <c r="J135" s="95"/>
      <c r="K135" s="95"/>
      <c r="L135" s="95"/>
      <c r="S135"/>
      <c r="T135"/>
      <c r="U135"/>
      <c r="V135"/>
      <c r="W135"/>
      <c r="X135"/>
      <c r="Y135"/>
      <c r="Z135"/>
      <c r="AA135"/>
    </row>
    <row r="136" spans="1:27" x14ac:dyDescent="0.2">
      <c r="A136" s="93"/>
      <c r="B136" s="95"/>
      <c r="C136" s="95"/>
      <c r="D136" s="95"/>
      <c r="E136" s="95"/>
      <c r="F136" s="95"/>
      <c r="G136" s="95"/>
      <c r="H136" s="95"/>
      <c r="I136" s="95"/>
      <c r="J136" s="95"/>
      <c r="K136" s="95"/>
      <c r="L136" s="95"/>
      <c r="S136"/>
      <c r="T136"/>
      <c r="U136"/>
      <c r="V136"/>
      <c r="W136"/>
      <c r="X136"/>
      <c r="Y136"/>
      <c r="Z136"/>
      <c r="AA136"/>
    </row>
    <row r="137" spans="1:27" x14ac:dyDescent="0.2">
      <c r="A137" s="93"/>
      <c r="B137" s="95"/>
      <c r="C137" s="95"/>
      <c r="D137" s="95"/>
      <c r="E137" s="95"/>
      <c r="F137" s="95"/>
      <c r="G137" s="95"/>
      <c r="H137" s="95"/>
      <c r="I137" s="95"/>
      <c r="J137" s="95"/>
      <c r="K137" s="95"/>
      <c r="L137" s="95"/>
      <c r="S137"/>
      <c r="T137"/>
      <c r="U137"/>
      <c r="V137"/>
      <c r="W137"/>
      <c r="X137"/>
      <c r="Y137"/>
      <c r="Z137"/>
      <c r="AA137"/>
    </row>
    <row r="138" spans="1:27" x14ac:dyDescent="0.2">
      <c r="A138" s="107"/>
      <c r="B138" s="195" t="s">
        <v>45</v>
      </c>
      <c r="C138" s="195"/>
      <c r="D138" s="195"/>
      <c r="E138" s="195"/>
      <c r="F138" s="133"/>
      <c r="G138" s="95"/>
      <c r="H138" s="195" t="s">
        <v>46</v>
      </c>
      <c r="I138" s="195"/>
      <c r="J138" s="195"/>
      <c r="K138" s="195"/>
      <c r="L138" s="133"/>
      <c r="S138"/>
      <c r="T138"/>
      <c r="U138"/>
      <c r="V138"/>
      <c r="W138"/>
      <c r="X138"/>
      <c r="Y138"/>
      <c r="Z138"/>
      <c r="AA138"/>
    </row>
    <row r="139" spans="1:27" x14ac:dyDescent="0.2">
      <c r="A139" s="94"/>
      <c r="B139" s="134" t="s">
        <v>510</v>
      </c>
      <c r="C139" s="134" t="s">
        <v>511</v>
      </c>
      <c r="D139" s="134" t="s">
        <v>512</v>
      </c>
      <c r="E139" s="134" t="s">
        <v>513</v>
      </c>
      <c r="F139" s="96"/>
      <c r="G139" s="96"/>
      <c r="H139" s="134" t="s">
        <v>510</v>
      </c>
      <c r="I139" s="134" t="s">
        <v>511</v>
      </c>
      <c r="J139" s="134" t="s">
        <v>512</v>
      </c>
      <c r="K139" s="134" t="s">
        <v>513</v>
      </c>
      <c r="L139" s="27"/>
      <c r="N139"/>
      <c r="O139"/>
      <c r="S139"/>
      <c r="T139"/>
      <c r="U139"/>
      <c r="V139"/>
      <c r="W139"/>
      <c r="X139"/>
      <c r="Y139"/>
      <c r="Z139"/>
      <c r="AA139"/>
    </row>
    <row r="140" spans="1:27" ht="14.1" customHeight="1" x14ac:dyDescent="0.2">
      <c r="A140" s="107" t="s">
        <v>29</v>
      </c>
      <c r="B140" s="110">
        <f>'Template IF 2'!CI3</f>
        <v>320355</v>
      </c>
      <c r="C140" s="110">
        <f>'Template IF 2'!CJ3</f>
        <v>333265</v>
      </c>
      <c r="D140" s="110">
        <f>'Template IF 2'!CK3</f>
        <v>358777</v>
      </c>
      <c r="E140" s="110">
        <f>'Template IF 2'!CL3</f>
        <v>348605</v>
      </c>
      <c r="F140" s="103"/>
      <c r="G140" s="103"/>
      <c r="H140" s="108">
        <f>'Template IF 2'!CM3</f>
        <v>13.9</v>
      </c>
      <c r="I140" s="108">
        <f>'Template IF 2'!CN3</f>
        <v>13.6</v>
      </c>
      <c r="J140" s="108">
        <f>'Template IF 2'!CO3</f>
        <v>14</v>
      </c>
      <c r="K140" s="108">
        <f>'Template IF 2'!CP3</f>
        <v>13.1</v>
      </c>
      <c r="L140" s="103"/>
      <c r="N140"/>
      <c r="O140"/>
      <c r="S140"/>
      <c r="T140"/>
      <c r="U140"/>
      <c r="V140"/>
      <c r="W140"/>
      <c r="X140"/>
      <c r="Y140"/>
      <c r="Z140"/>
      <c r="AA140"/>
    </row>
    <row r="141" spans="1:27" ht="14.1" customHeight="1" x14ac:dyDescent="0.2">
      <c r="A141" s="107" t="str">
        <f>A16</f>
        <v>None</v>
      </c>
      <c r="B141" s="110" t="e">
        <f>VLOOKUP($A16,'Template IF 2'!$B$3:$HH$112,86,FALSE)</f>
        <v>#N/A</v>
      </c>
      <c r="C141" s="110" t="e">
        <f>VLOOKUP($A16,'Template IF 2'!$B$3:$HH$112,87,FALSE)</f>
        <v>#N/A</v>
      </c>
      <c r="D141" s="110" t="e">
        <f>VLOOKUP($A16,'Template IF 2'!$B$3:$HH$112,88,FALSE)</f>
        <v>#N/A</v>
      </c>
      <c r="E141" s="110" t="e">
        <f>VLOOKUP($A16,'Template IF 2'!$B$3:$HH$112,89,FALSE)</f>
        <v>#N/A</v>
      </c>
      <c r="F141" s="103"/>
      <c r="G141" s="103"/>
      <c r="H141" s="124" t="e">
        <f>VLOOKUP($A16,'Template IF 2'!$B$3:$HH$112,90,FALSE)</f>
        <v>#N/A</v>
      </c>
      <c r="I141" s="124" t="e">
        <f>VLOOKUP($A16,'Template IF 2'!$B$3:$HH$112,91,FALSE)</f>
        <v>#N/A</v>
      </c>
      <c r="J141" s="124" t="e">
        <f>VLOOKUP($A16,'Template IF 2'!$B$3:$HH$112,92,FALSE)</f>
        <v>#N/A</v>
      </c>
      <c r="K141" s="124" t="e">
        <f>VLOOKUP($A16,'Template IF 2'!$B$3:$HH$112,93,FALSE)</f>
        <v>#N/A</v>
      </c>
      <c r="L141" s="103"/>
      <c r="S141"/>
      <c r="T141"/>
      <c r="U141"/>
      <c r="V141"/>
      <c r="W141"/>
      <c r="X141"/>
      <c r="Y141"/>
      <c r="Z141"/>
      <c r="AA141"/>
    </row>
    <row r="142" spans="1:27" ht="14.1" customHeight="1" x14ac:dyDescent="0.2">
      <c r="A142" s="107" t="str">
        <f>A18</f>
        <v>None</v>
      </c>
      <c r="B142" s="110" t="e">
        <f>VLOOKUP($A18,'Template IF 2'!$B$3:$HH$112,86,FALSE)</f>
        <v>#N/A</v>
      </c>
      <c r="C142" s="110" t="e">
        <f>VLOOKUP($A18,'Template IF 2'!$B$3:$HH$112,87,FALSE)</f>
        <v>#N/A</v>
      </c>
      <c r="D142" s="110" t="e">
        <f>VLOOKUP($A18,'Template IF 2'!$B$3:$HH$112,88,FALSE)</f>
        <v>#N/A</v>
      </c>
      <c r="E142" s="110" t="e">
        <f>VLOOKUP($A18,'Template IF 2'!$B$3:$HH$112,89,FALSE)</f>
        <v>#N/A</v>
      </c>
      <c r="F142" s="103"/>
      <c r="G142" s="103"/>
      <c r="H142" s="124" t="e">
        <f>VLOOKUP($A18,'Template IF 2'!$B$3:$HH$112,90,FALSE)</f>
        <v>#N/A</v>
      </c>
      <c r="I142" s="124" t="e">
        <f>VLOOKUP($A18,'Template IF 2'!$B$3:$HH$112,91,FALSE)</f>
        <v>#N/A</v>
      </c>
      <c r="J142" s="124" t="e">
        <f>VLOOKUP($A18,'Template IF 2'!$B$3:$HH$112,92,FALSE)</f>
        <v>#N/A</v>
      </c>
      <c r="K142" s="124" t="e">
        <f>VLOOKUP($A18,'Template IF 2'!$B$3:$HH$112,93,FALSE)</f>
        <v>#N/A</v>
      </c>
      <c r="L142" s="103"/>
      <c r="S142"/>
      <c r="T142"/>
      <c r="U142"/>
      <c r="V142"/>
      <c r="W142"/>
      <c r="X142"/>
      <c r="Y142"/>
      <c r="Z142"/>
      <c r="AA142"/>
    </row>
    <row r="143" spans="1:27" ht="14.1" customHeight="1" x14ac:dyDescent="0.2">
      <c r="A143" s="107" t="str">
        <f>A20</f>
        <v>None</v>
      </c>
      <c r="B143" s="110" t="e">
        <f>VLOOKUP($A20,'Template IF 2'!$B$3:$HH$112,86,FALSE)</f>
        <v>#N/A</v>
      </c>
      <c r="C143" s="110" t="e">
        <f>VLOOKUP($A20,'Template IF 2'!$B$3:$HH$112,87,FALSE)</f>
        <v>#N/A</v>
      </c>
      <c r="D143" s="110" t="e">
        <f>VLOOKUP($A20,'Template IF 2'!$B$3:$HH$112,88,FALSE)</f>
        <v>#N/A</v>
      </c>
      <c r="E143" s="110" t="e">
        <f>VLOOKUP($A20,'Template IF 2'!$B$3:$HH$112,89,FALSE)</f>
        <v>#N/A</v>
      </c>
      <c r="F143" s="103"/>
      <c r="G143" s="103"/>
      <c r="H143" s="124" t="e">
        <f>VLOOKUP($A20,'Template IF 2'!$B$3:$HH$112,90,FALSE)</f>
        <v>#N/A</v>
      </c>
      <c r="I143" s="124" t="e">
        <f>VLOOKUP($A20,'Template IF 2'!$B$3:$HH$112,91,FALSE)</f>
        <v>#N/A</v>
      </c>
      <c r="J143" s="124" t="e">
        <f>VLOOKUP($A20,'Template IF 2'!$B$3:$HH$112,92,FALSE)</f>
        <v>#N/A</v>
      </c>
      <c r="K143" s="124" t="e">
        <f>VLOOKUP($A20,'Template IF 2'!$B$3:$HH$112,93,FALSE)</f>
        <v>#N/A</v>
      </c>
      <c r="L143" s="103"/>
      <c r="S143"/>
      <c r="T143"/>
      <c r="U143"/>
      <c r="V143"/>
      <c r="W143"/>
      <c r="X143"/>
      <c r="Y143"/>
      <c r="Z143"/>
      <c r="AA143"/>
    </row>
    <row r="144" spans="1:27" ht="14.1" customHeight="1" x14ac:dyDescent="0.2">
      <c r="A144" s="107" t="str">
        <f>A22</f>
        <v>None</v>
      </c>
      <c r="B144" s="110" t="e">
        <f>VLOOKUP($A22,'Template IF 2'!$B$3:$HH$112,86,FALSE)</f>
        <v>#N/A</v>
      </c>
      <c r="C144" s="110" t="e">
        <f>VLOOKUP($A22,'Template IF 2'!$B$3:$HH$112,87,FALSE)</f>
        <v>#N/A</v>
      </c>
      <c r="D144" s="110" t="e">
        <f>VLOOKUP($A22,'Template IF 2'!$B$3:$HH$112,88,FALSE)</f>
        <v>#N/A</v>
      </c>
      <c r="E144" s="110" t="e">
        <f>VLOOKUP($A22,'Template IF 2'!$B$3:$HH$112,89,FALSE)</f>
        <v>#N/A</v>
      </c>
      <c r="F144" s="103"/>
      <c r="G144" s="103"/>
      <c r="H144" s="124" t="e">
        <f>VLOOKUP($A22,'Template IF 2'!$B$3:$HH$112,90,FALSE)</f>
        <v>#N/A</v>
      </c>
      <c r="I144" s="124" t="e">
        <f>VLOOKUP($A22,'Template IF 2'!$B$3:$HH$112,91,FALSE)</f>
        <v>#N/A</v>
      </c>
      <c r="J144" s="124" t="e">
        <f>VLOOKUP($A22,'Template IF 2'!$B$3:$HH$112,92,FALSE)</f>
        <v>#N/A</v>
      </c>
      <c r="K144" s="124" t="e">
        <f>VLOOKUP($A22,'Template IF 2'!$B$3:$HH$112,93,FALSE)</f>
        <v>#N/A</v>
      </c>
      <c r="L144" s="103"/>
      <c r="S144"/>
      <c r="T144"/>
      <c r="U144"/>
      <c r="V144"/>
      <c r="W144"/>
      <c r="X144"/>
      <c r="Y144"/>
      <c r="Z144"/>
      <c r="AA144"/>
    </row>
    <row r="145" spans="1:27" ht="14.1" customHeight="1" x14ac:dyDescent="0.2">
      <c r="A145" s="107" t="str">
        <f>A24</f>
        <v>None</v>
      </c>
      <c r="B145" s="110" t="e">
        <f>VLOOKUP($A24,'Template IF 2'!$B$3:$HH$112,86,FALSE)</f>
        <v>#N/A</v>
      </c>
      <c r="C145" s="110" t="e">
        <f>VLOOKUP($A24,'Template IF 2'!$B$3:$HH$112,87,FALSE)</f>
        <v>#N/A</v>
      </c>
      <c r="D145" s="110" t="e">
        <f>VLOOKUP($A24,'Template IF 2'!$B$3:$HH$112,88,FALSE)</f>
        <v>#N/A</v>
      </c>
      <c r="E145" s="110" t="e">
        <f>VLOOKUP($A24,'Template IF 2'!$B$3:$HH$112,89,FALSE)</f>
        <v>#N/A</v>
      </c>
      <c r="F145" s="103"/>
      <c r="G145" s="103"/>
      <c r="H145" s="124" t="e">
        <f>VLOOKUP($A24,'Template IF 2'!$B$3:$HH$112,90,FALSE)</f>
        <v>#N/A</v>
      </c>
      <c r="I145" s="124" t="e">
        <f>VLOOKUP($A24,'Template IF 2'!$B$3:$HH$112,91,FALSE)</f>
        <v>#N/A</v>
      </c>
      <c r="J145" s="124" t="e">
        <f>VLOOKUP($A24,'Template IF 2'!$B$3:$HH$112,92,FALSE)</f>
        <v>#N/A</v>
      </c>
      <c r="K145" s="124" t="e">
        <f>VLOOKUP($A24,'Template IF 2'!$B$3:$HH$112,93,FALSE)</f>
        <v>#N/A</v>
      </c>
      <c r="L145" s="103"/>
      <c r="S145"/>
      <c r="T145"/>
      <c r="U145"/>
      <c r="V145"/>
      <c r="W145"/>
      <c r="X145"/>
      <c r="Y145"/>
      <c r="Z145"/>
      <c r="AA145"/>
    </row>
    <row r="146" spans="1:27" ht="14.1" customHeight="1" x14ac:dyDescent="0.2">
      <c r="A146" s="94" t="str">
        <f>A26</f>
        <v>None</v>
      </c>
      <c r="B146" s="125" t="e">
        <f>VLOOKUP($A26,'Template IF 2'!$B$3:$HH$112,86,FALSE)</f>
        <v>#N/A</v>
      </c>
      <c r="C146" s="125" t="e">
        <f>VLOOKUP($A26,'Template IF 2'!$B$3:$HH$112,87,FALSE)</f>
        <v>#N/A</v>
      </c>
      <c r="D146" s="125" t="e">
        <f>VLOOKUP($A26,'Template IF 2'!$B$3:$HH$112,88,FALSE)</f>
        <v>#N/A</v>
      </c>
      <c r="E146" s="125" t="e">
        <f>VLOOKUP($A26,'Template IF 2'!$B$3:$HH$112,89,FALSE)</f>
        <v>#N/A</v>
      </c>
      <c r="F146" s="103"/>
      <c r="G146" s="103"/>
      <c r="H146" s="126" t="e">
        <f>VLOOKUP($A26,'Template IF 2'!$B$3:$HH$112,90,FALSE)</f>
        <v>#N/A</v>
      </c>
      <c r="I146" s="126" t="e">
        <f>VLOOKUP($A26,'Template IF 2'!$B$3:$HH$112,91,FALSE)</f>
        <v>#N/A</v>
      </c>
      <c r="J146" s="126" t="e">
        <f>VLOOKUP($A26,'Template IF 2'!$B$3:$HH$112,92,FALSE)</f>
        <v>#N/A</v>
      </c>
      <c r="K146" s="126" t="e">
        <f>VLOOKUP($A26,'Template IF 2'!$B$3:$HH$112,93,FALSE)</f>
        <v>#N/A</v>
      </c>
      <c r="L146" s="103"/>
      <c r="S146"/>
      <c r="T146"/>
      <c r="U146"/>
      <c r="V146"/>
      <c r="W146"/>
      <c r="X146"/>
      <c r="Y146"/>
      <c r="Z146"/>
      <c r="AA146"/>
    </row>
    <row r="147" spans="1:27" x14ac:dyDescent="0.2">
      <c r="A147" s="93"/>
      <c r="B147" s="99"/>
      <c r="C147" s="99"/>
      <c r="D147" s="99"/>
      <c r="E147" s="99"/>
      <c r="F147" s="99"/>
      <c r="G147" s="95"/>
      <c r="H147" s="95"/>
      <c r="I147" s="95"/>
      <c r="J147" s="95"/>
      <c r="K147" s="95"/>
      <c r="L147" s="95"/>
      <c r="S147"/>
      <c r="T147"/>
      <c r="U147"/>
      <c r="V147"/>
      <c r="W147"/>
      <c r="X147"/>
      <c r="Y147"/>
      <c r="Z147"/>
      <c r="AA147"/>
    </row>
    <row r="148" spans="1:27" ht="12.75" customHeight="1" x14ac:dyDescent="0.2">
      <c r="A148" s="107"/>
      <c r="B148" s="193" t="s">
        <v>165</v>
      </c>
      <c r="C148" s="193"/>
      <c r="D148" s="193"/>
      <c r="E148" s="193"/>
      <c r="F148" s="135"/>
      <c r="G148" s="95"/>
      <c r="H148" s="193" t="s">
        <v>180</v>
      </c>
      <c r="I148" s="193"/>
      <c r="J148" s="193"/>
      <c r="K148" s="193"/>
      <c r="L148" s="135"/>
      <c r="N148"/>
      <c r="O148"/>
      <c r="S148"/>
      <c r="T148"/>
      <c r="U148"/>
      <c r="V148"/>
      <c r="W148"/>
      <c r="X148"/>
      <c r="Y148"/>
      <c r="Z148"/>
      <c r="AA148"/>
    </row>
    <row r="149" spans="1:27" x14ac:dyDescent="0.2">
      <c r="A149" s="107"/>
      <c r="B149" s="196"/>
      <c r="C149" s="196"/>
      <c r="D149" s="196"/>
      <c r="E149" s="196"/>
      <c r="F149" s="135"/>
      <c r="G149" s="95"/>
      <c r="H149" s="196"/>
      <c r="I149" s="196"/>
      <c r="J149" s="196"/>
      <c r="K149" s="196"/>
      <c r="L149" s="135"/>
      <c r="N149"/>
      <c r="O149"/>
      <c r="S149"/>
      <c r="T149"/>
      <c r="U149"/>
      <c r="V149"/>
      <c r="W149"/>
      <c r="X149"/>
      <c r="Y149"/>
      <c r="Z149"/>
      <c r="AA149"/>
    </row>
    <row r="150" spans="1:27" x14ac:dyDescent="0.2">
      <c r="A150" s="94"/>
      <c r="B150" s="134" t="s">
        <v>510</v>
      </c>
      <c r="C150" s="134" t="s">
        <v>511</v>
      </c>
      <c r="D150" s="134" t="s">
        <v>512</v>
      </c>
      <c r="E150" s="134" t="s">
        <v>513</v>
      </c>
      <c r="F150" s="114"/>
      <c r="G150" s="96"/>
      <c r="H150" s="134" t="s">
        <v>510</v>
      </c>
      <c r="I150" s="134" t="s">
        <v>511</v>
      </c>
      <c r="J150" s="134" t="s">
        <v>512</v>
      </c>
      <c r="K150" s="134" t="s">
        <v>513</v>
      </c>
      <c r="L150" s="136"/>
      <c r="N150"/>
      <c r="O150"/>
      <c r="S150"/>
      <c r="T150"/>
      <c r="U150"/>
      <c r="V150"/>
      <c r="W150"/>
      <c r="X150"/>
      <c r="Y150"/>
      <c r="Z150"/>
      <c r="AA150"/>
    </row>
    <row r="151" spans="1:27" ht="14.1" customHeight="1" x14ac:dyDescent="0.2">
      <c r="A151" s="107" t="s">
        <v>29</v>
      </c>
      <c r="B151" s="110">
        <f>'Template IF 2'!CQ3</f>
        <v>13694</v>
      </c>
      <c r="C151" s="110">
        <f>'Template IF 2'!CR3</f>
        <v>14570</v>
      </c>
      <c r="D151" s="110">
        <f>'Template IF 2'!CS3</f>
        <v>16822</v>
      </c>
      <c r="E151" s="110">
        <f>'Template IF 2'!CT3</f>
        <v>16148</v>
      </c>
      <c r="F151" s="103"/>
      <c r="G151" s="112"/>
      <c r="H151" s="108">
        <f>'Template IF 2'!CU3</f>
        <v>4.4000000000000004</v>
      </c>
      <c r="I151" s="108">
        <f>'Template IF 2'!CV3</f>
        <v>4.5</v>
      </c>
      <c r="J151" s="108">
        <f>'Template IF 2'!CW3</f>
        <v>4.9000000000000004</v>
      </c>
      <c r="K151" s="108">
        <f>'Template IF 2'!CX3</f>
        <v>4.8</v>
      </c>
      <c r="L151" s="103"/>
      <c r="O151"/>
      <c r="S151"/>
      <c r="T151"/>
      <c r="U151"/>
      <c r="V151"/>
      <c r="W151"/>
      <c r="X151"/>
      <c r="Y151"/>
      <c r="Z151"/>
      <c r="AA151"/>
    </row>
    <row r="152" spans="1:27" ht="14.1" customHeight="1" x14ac:dyDescent="0.2">
      <c r="A152" s="107" t="str">
        <f>A16</f>
        <v>None</v>
      </c>
      <c r="B152" s="110" t="e">
        <f>VLOOKUP($A16,'Template IF 2'!$B$3:$HH$112,94,FALSE)</f>
        <v>#N/A</v>
      </c>
      <c r="C152" s="110" t="e">
        <f>VLOOKUP($A16,'Template IF 2'!$B$3:$HH$112,95,FALSE)</f>
        <v>#N/A</v>
      </c>
      <c r="D152" s="110" t="e">
        <f>VLOOKUP($A16,'Template IF 2'!$B$3:$HH$112,96,FALSE)</f>
        <v>#N/A</v>
      </c>
      <c r="E152" s="110" t="e">
        <f>VLOOKUP($A16,'Template IF 2'!$B$3:$HH$112,97,FALSE)</f>
        <v>#N/A</v>
      </c>
      <c r="F152" s="103"/>
      <c r="G152" s="95"/>
      <c r="H152" s="105" t="e">
        <f>VLOOKUP($A16,'Template IF 2'!$B$3:$HH$112,98,FALSE)</f>
        <v>#N/A</v>
      </c>
      <c r="I152" s="105" t="e">
        <f>VLOOKUP($A16,'Template IF 2'!$B$3:$HH$112,99,FALSE)</f>
        <v>#N/A</v>
      </c>
      <c r="J152" s="105" t="e">
        <f>VLOOKUP($A16,'Template IF 2'!$B$3:$HH$112,100,FALSE)</f>
        <v>#N/A</v>
      </c>
      <c r="K152" s="105" t="e">
        <f>VLOOKUP($A16,'Template IF 2'!$B$3:$HH$112,101,FALSE)</f>
        <v>#N/A</v>
      </c>
      <c r="L152" s="103"/>
      <c r="M152" s="24"/>
      <c r="O152"/>
      <c r="S152"/>
      <c r="T152"/>
      <c r="U152"/>
      <c r="V152"/>
      <c r="W152"/>
      <c r="X152"/>
      <c r="Y152"/>
      <c r="Z152"/>
      <c r="AA152"/>
    </row>
    <row r="153" spans="1:27" ht="14.1" customHeight="1" x14ac:dyDescent="0.2">
      <c r="A153" s="107" t="str">
        <f>A18</f>
        <v>None</v>
      </c>
      <c r="B153" s="110" t="e">
        <f>VLOOKUP($A18,'Template IF 2'!$B$3:$HH$112,94,FALSE)</f>
        <v>#N/A</v>
      </c>
      <c r="C153" s="110" t="e">
        <f>VLOOKUP($A18,'Template IF 2'!$B$3:$HH$112,95,FALSE)</f>
        <v>#N/A</v>
      </c>
      <c r="D153" s="110" t="e">
        <f>VLOOKUP($A18,'Template IF 2'!$B$3:$HH$112,96,FALSE)</f>
        <v>#N/A</v>
      </c>
      <c r="E153" s="110" t="e">
        <f>VLOOKUP($A18,'Template IF 2'!$B$3:$HH$112,97,FALSE)</f>
        <v>#N/A</v>
      </c>
      <c r="F153" s="103"/>
      <c r="G153" s="95"/>
      <c r="H153" s="105" t="e">
        <f>VLOOKUP($A18,'Template IF 2'!$B$3:$HH$112,98,FALSE)</f>
        <v>#N/A</v>
      </c>
      <c r="I153" s="105" t="e">
        <f>VLOOKUP($A18,'Template IF 2'!$B$3:$HH$112,99,FALSE)</f>
        <v>#N/A</v>
      </c>
      <c r="J153" s="105" t="e">
        <f>VLOOKUP($A18,'Template IF 2'!$B$3:$HH$112,100,FALSE)</f>
        <v>#N/A</v>
      </c>
      <c r="K153" s="105" t="e">
        <f>VLOOKUP($A18,'Template IF 2'!$B$3:$HH$112,101,FALSE)</f>
        <v>#N/A</v>
      </c>
      <c r="L153" s="103"/>
      <c r="M153" s="24"/>
      <c r="O153"/>
      <c r="S153"/>
      <c r="T153"/>
      <c r="U153"/>
      <c r="V153"/>
      <c r="W153"/>
      <c r="X153"/>
      <c r="Y153"/>
      <c r="Z153"/>
      <c r="AA153"/>
    </row>
    <row r="154" spans="1:27" ht="14.1" customHeight="1" x14ac:dyDescent="0.2">
      <c r="A154" s="107" t="str">
        <f>A20</f>
        <v>None</v>
      </c>
      <c r="B154" s="110" t="e">
        <f>VLOOKUP($A20,'Template IF 2'!$B$3:$HH$112,94,FALSE)</f>
        <v>#N/A</v>
      </c>
      <c r="C154" s="110" t="e">
        <f>VLOOKUP($A20,'Template IF 2'!$B$3:$HH$112,95,FALSE)</f>
        <v>#N/A</v>
      </c>
      <c r="D154" s="110" t="e">
        <f>VLOOKUP($A20,'Template IF 2'!$B$3:$HH$112,96,FALSE)</f>
        <v>#N/A</v>
      </c>
      <c r="E154" s="110" t="e">
        <f>VLOOKUP($A20,'Template IF 2'!$B$3:$HH$112,97,FALSE)</f>
        <v>#N/A</v>
      </c>
      <c r="F154" s="103"/>
      <c r="G154" s="95"/>
      <c r="H154" s="105" t="e">
        <f>VLOOKUP($A20,'Template IF 2'!$B$3:$HH$112,98,FALSE)</f>
        <v>#N/A</v>
      </c>
      <c r="I154" s="105" t="e">
        <f>VLOOKUP($A20,'Template IF 2'!$B$3:$HH$112,99,FALSE)</f>
        <v>#N/A</v>
      </c>
      <c r="J154" s="105" t="e">
        <f>VLOOKUP($A20,'Template IF 2'!$B$3:$HH$112,100,FALSE)</f>
        <v>#N/A</v>
      </c>
      <c r="K154" s="105" t="e">
        <f>VLOOKUP($A20,'Template IF 2'!$B$3:$HH$112,101,FALSE)</f>
        <v>#N/A</v>
      </c>
      <c r="L154" s="103"/>
      <c r="O154"/>
      <c r="S154"/>
      <c r="T154"/>
      <c r="U154"/>
      <c r="V154"/>
      <c r="W154"/>
      <c r="X154"/>
      <c r="Y154"/>
      <c r="Z154"/>
      <c r="AA154"/>
    </row>
    <row r="155" spans="1:27" ht="14.1" customHeight="1" x14ac:dyDescent="0.2">
      <c r="A155" s="107" t="str">
        <f>A22</f>
        <v>None</v>
      </c>
      <c r="B155" s="110" t="e">
        <f>VLOOKUP($A22,'Template IF 2'!$B$3:$HH$112,94,FALSE)</f>
        <v>#N/A</v>
      </c>
      <c r="C155" s="110" t="e">
        <f>VLOOKUP($A22,'Template IF 2'!$B$3:$HH$112,95,FALSE)</f>
        <v>#N/A</v>
      </c>
      <c r="D155" s="110" t="e">
        <f>VLOOKUP($A22,'Template IF 2'!$B$3:$HH$112,96,FALSE)</f>
        <v>#N/A</v>
      </c>
      <c r="E155" s="110" t="e">
        <f>VLOOKUP($A22,'Template IF 2'!$B$3:$HH$112,97,FALSE)</f>
        <v>#N/A</v>
      </c>
      <c r="F155" s="103"/>
      <c r="G155" s="95"/>
      <c r="H155" s="105" t="e">
        <f>VLOOKUP($A22,'Template IF 2'!$B$3:$HH$112,98,FALSE)</f>
        <v>#N/A</v>
      </c>
      <c r="I155" s="105" t="e">
        <f>VLOOKUP($A22,'Template IF 2'!$B$3:$HH$112,99,FALSE)</f>
        <v>#N/A</v>
      </c>
      <c r="J155" s="105" t="e">
        <f>VLOOKUP($A22,'Template IF 2'!$B$3:$HH$112,100,FALSE)</f>
        <v>#N/A</v>
      </c>
      <c r="K155" s="105" t="e">
        <f>VLOOKUP($A22,'Template IF 2'!$B$3:$HH$112,101,FALSE)</f>
        <v>#N/A</v>
      </c>
      <c r="L155" s="103"/>
      <c r="O155"/>
      <c r="S155"/>
      <c r="T155"/>
      <c r="U155"/>
      <c r="V155"/>
      <c r="W155"/>
      <c r="X155"/>
      <c r="Y155"/>
      <c r="Z155"/>
      <c r="AA155"/>
    </row>
    <row r="156" spans="1:27" ht="14.1" customHeight="1" x14ac:dyDescent="0.2">
      <c r="A156" s="107" t="str">
        <f>A24</f>
        <v>None</v>
      </c>
      <c r="B156" s="110" t="e">
        <f>VLOOKUP($A24,'Template IF 2'!$B$3:$HH$112,94,FALSE)</f>
        <v>#N/A</v>
      </c>
      <c r="C156" s="110" t="e">
        <f>VLOOKUP($A24,'Template IF 2'!$B$3:$HH$112,95,FALSE)</f>
        <v>#N/A</v>
      </c>
      <c r="D156" s="110" t="e">
        <f>VLOOKUP($A24,'Template IF 2'!$B$3:$HH$112,96,FALSE)</f>
        <v>#N/A</v>
      </c>
      <c r="E156" s="110" t="e">
        <f>VLOOKUP($A24,'Template IF 2'!$B$3:$HH$112,97,FALSE)</f>
        <v>#N/A</v>
      </c>
      <c r="F156" s="103"/>
      <c r="G156" s="95"/>
      <c r="H156" s="105" t="e">
        <f>VLOOKUP($A24,'Template IF 2'!$B$3:$HH$112,98,FALSE)</f>
        <v>#N/A</v>
      </c>
      <c r="I156" s="105" t="e">
        <f>VLOOKUP($A24,'Template IF 2'!$B$3:$HH$112,99,FALSE)</f>
        <v>#N/A</v>
      </c>
      <c r="J156" s="105" t="e">
        <f>VLOOKUP($A24,'Template IF 2'!$B$3:$HH$112,100,FALSE)</f>
        <v>#N/A</v>
      </c>
      <c r="K156" s="105" t="e">
        <f>VLOOKUP($A24,'Template IF 2'!$B$3:$HH$112,101,FALSE)</f>
        <v>#N/A</v>
      </c>
      <c r="L156" s="103"/>
      <c r="O156"/>
      <c r="S156"/>
      <c r="T156"/>
      <c r="U156"/>
      <c r="V156"/>
      <c r="W156"/>
      <c r="X156"/>
      <c r="Y156"/>
      <c r="Z156"/>
      <c r="AA156"/>
    </row>
    <row r="157" spans="1:27" ht="14.1" customHeight="1" x14ac:dyDescent="0.2">
      <c r="A157" s="94" t="str">
        <f>A26</f>
        <v>None</v>
      </c>
      <c r="B157" s="125" t="e">
        <f>VLOOKUP($A26,'Template IF 2'!$B$3:$HH$112,94,FALSE)</f>
        <v>#N/A</v>
      </c>
      <c r="C157" s="125" t="e">
        <f>VLOOKUP($A26,'Template IF 2'!$B$3:$HH$112,95,FALSE)</f>
        <v>#N/A</v>
      </c>
      <c r="D157" s="125" t="e">
        <f>VLOOKUP($A26,'Template IF 2'!$B$3:$HH$112,96,FALSE)</f>
        <v>#N/A</v>
      </c>
      <c r="E157" s="125" t="e">
        <f>VLOOKUP($A26,'Template IF 2'!$B$3:$HH$112,97,FALSE)</f>
        <v>#N/A</v>
      </c>
      <c r="F157" s="114"/>
      <c r="G157" s="96"/>
      <c r="H157" s="106" t="e">
        <f>VLOOKUP($A26,'Template IF 2'!$B$3:$HH$112,98,FALSE)</f>
        <v>#N/A</v>
      </c>
      <c r="I157" s="106" t="e">
        <f>VLOOKUP($A26,'Template IF 2'!$B$3:$HH$112,99,FALSE)</f>
        <v>#N/A</v>
      </c>
      <c r="J157" s="106" t="e">
        <f>VLOOKUP($A26,'Template IF 2'!$B$3:$HH$112,100,FALSE)</f>
        <v>#N/A</v>
      </c>
      <c r="K157" s="106" t="e">
        <f>VLOOKUP($A26,'Template IF 2'!$B$3:$HH$112,101,FALSE)</f>
        <v>#N/A</v>
      </c>
      <c r="L157" s="103"/>
      <c r="O157"/>
      <c r="S157"/>
      <c r="T157"/>
      <c r="U157"/>
      <c r="V157"/>
      <c r="W157"/>
      <c r="X157"/>
      <c r="Y157"/>
      <c r="Z157"/>
      <c r="AA157"/>
    </row>
    <row r="158" spans="1:27" x14ac:dyDescent="0.2">
      <c r="A158" s="93" t="s">
        <v>178</v>
      </c>
      <c r="B158" s="109"/>
      <c r="C158" s="109"/>
      <c r="D158" s="109"/>
      <c r="E158" s="109"/>
      <c r="F158" s="109"/>
      <c r="G158" s="95"/>
      <c r="H158" s="95"/>
      <c r="I158" s="95"/>
      <c r="J158" s="95"/>
      <c r="K158" s="95"/>
      <c r="L158" s="95"/>
      <c r="N158"/>
      <c r="O158"/>
      <c r="S158"/>
      <c r="T158"/>
      <c r="U158"/>
      <c r="V158"/>
      <c r="W158"/>
      <c r="X158"/>
      <c r="Y158"/>
      <c r="Z158"/>
      <c r="AA158"/>
    </row>
    <row r="159" spans="1:27" ht="21.75" customHeight="1" x14ac:dyDescent="0.2">
      <c r="A159" s="93"/>
      <c r="B159" s="193" t="s">
        <v>166</v>
      </c>
      <c r="C159" s="193"/>
      <c r="D159" s="193"/>
      <c r="E159" s="193"/>
      <c r="F159" s="135"/>
      <c r="G159" s="95"/>
      <c r="H159" s="193" t="s">
        <v>179</v>
      </c>
      <c r="I159" s="193"/>
      <c r="J159" s="193"/>
      <c r="K159" s="193"/>
      <c r="L159" s="135"/>
      <c r="N159"/>
      <c r="O159"/>
      <c r="S159"/>
      <c r="T159"/>
      <c r="U159"/>
      <c r="V159"/>
      <c r="W159"/>
      <c r="X159"/>
      <c r="Y159"/>
      <c r="Z159"/>
      <c r="AA159"/>
    </row>
    <row r="160" spans="1:27" x14ac:dyDescent="0.2">
      <c r="A160" s="107"/>
      <c r="B160" s="196"/>
      <c r="C160" s="196"/>
      <c r="D160" s="196"/>
      <c r="E160" s="196"/>
      <c r="F160" s="135"/>
      <c r="G160" s="95"/>
      <c r="H160" s="196"/>
      <c r="I160" s="196"/>
      <c r="J160" s="196"/>
      <c r="K160" s="196"/>
      <c r="L160" s="135"/>
      <c r="N160"/>
      <c r="O160"/>
    </row>
    <row r="161" spans="1:24" x14ac:dyDescent="0.2">
      <c r="A161" s="94"/>
      <c r="B161" s="134" t="s">
        <v>510</v>
      </c>
      <c r="C161" s="134" t="s">
        <v>511</v>
      </c>
      <c r="D161" s="134" t="s">
        <v>512</v>
      </c>
      <c r="E161" s="134" t="s">
        <v>513</v>
      </c>
      <c r="F161" s="96"/>
      <c r="G161" s="96"/>
      <c r="H161" s="134" t="s">
        <v>510</v>
      </c>
      <c r="I161" s="134" t="s">
        <v>511</v>
      </c>
      <c r="J161" s="134" t="s">
        <v>512</v>
      </c>
      <c r="K161" s="134" t="s">
        <v>513</v>
      </c>
      <c r="L161" s="27"/>
      <c r="N161"/>
      <c r="O161"/>
    </row>
    <row r="162" spans="1:24" ht="14.1" customHeight="1" x14ac:dyDescent="0.2">
      <c r="A162" s="107" t="s">
        <v>29</v>
      </c>
      <c r="B162" s="110">
        <f>'Template IF 2'!CY3</f>
        <v>20829</v>
      </c>
      <c r="C162" s="110">
        <f>'Template IF 2'!CZ3</f>
        <v>21694</v>
      </c>
      <c r="D162" s="110">
        <f>'Template IF 2'!DA3</f>
        <v>25744</v>
      </c>
      <c r="E162" s="110">
        <f>'Template IF 2'!DB3</f>
        <v>24491</v>
      </c>
      <c r="F162" s="103"/>
      <c r="G162" s="95"/>
      <c r="H162" s="108">
        <f>'Template IF 2'!DC3</f>
        <v>7.3</v>
      </c>
      <c r="I162" s="108">
        <f>'Template IF 2'!DD3</f>
        <v>7.6</v>
      </c>
      <c r="J162" s="108">
        <f>'Template IF 2'!DE3</f>
        <v>8.4</v>
      </c>
      <c r="K162" s="108">
        <f>'Template IF 2'!DF3</f>
        <v>8</v>
      </c>
      <c r="L162" s="103"/>
      <c r="N162"/>
      <c r="O162"/>
    </row>
    <row r="163" spans="1:24" ht="14.1" customHeight="1" x14ac:dyDescent="0.2">
      <c r="A163" s="107" t="str">
        <f>A16</f>
        <v>None</v>
      </c>
      <c r="B163" s="110" t="e">
        <f>VLOOKUP($A16,'Template IF 2'!$B$3:$HH$112,102,FALSE)</f>
        <v>#N/A</v>
      </c>
      <c r="C163" s="110" t="e">
        <f>VLOOKUP($A16,'Template IF 2'!$B$3:$HH$112,103,FALSE)</f>
        <v>#N/A</v>
      </c>
      <c r="D163" s="110" t="e">
        <f>VLOOKUP($A16,'Template IF 2'!$B$3:$HH$112,104,FALSE)</f>
        <v>#N/A</v>
      </c>
      <c r="E163" s="110" t="e">
        <f>VLOOKUP($A16,'Template IF 2'!$B$3:$HH$112,105,FALSE)</f>
        <v>#N/A</v>
      </c>
      <c r="F163" s="103"/>
      <c r="G163" s="95"/>
      <c r="H163" s="105" t="e">
        <f>VLOOKUP($A16,'Template IF 2'!$B$3:$HH$112,106,FALSE)</f>
        <v>#N/A</v>
      </c>
      <c r="I163" s="105" t="e">
        <f>VLOOKUP($A16,'Template IF 2'!$B$3:$HH$112,107,FALSE)</f>
        <v>#N/A</v>
      </c>
      <c r="J163" s="105" t="e">
        <f>VLOOKUP($A16,'Template IF 2'!$B$3:$HH$112,108,FALSE)</f>
        <v>#N/A</v>
      </c>
      <c r="K163" s="105" t="e">
        <f>VLOOKUP($A16,'Template IF 2'!$B$3:$HH$112,109,FALSE)</f>
        <v>#N/A</v>
      </c>
      <c r="L163" s="103"/>
      <c r="N163"/>
      <c r="O163"/>
    </row>
    <row r="164" spans="1:24" ht="14.1" customHeight="1" x14ac:dyDescent="0.2">
      <c r="A164" s="107" t="str">
        <f>A18</f>
        <v>None</v>
      </c>
      <c r="B164" s="110" t="e">
        <f>VLOOKUP($A18,'Template IF 2'!$B$3:$HH$112,102,FALSE)</f>
        <v>#N/A</v>
      </c>
      <c r="C164" s="110" t="e">
        <f>VLOOKUP($A18,'Template IF 2'!$B$3:$HH$112,103,FALSE)</f>
        <v>#N/A</v>
      </c>
      <c r="D164" s="110" t="e">
        <f>VLOOKUP($A18,'Template IF 2'!$B$3:$HH$112,104,FALSE)</f>
        <v>#N/A</v>
      </c>
      <c r="E164" s="110" t="e">
        <f>VLOOKUP($A18,'Template IF 2'!$B$3:$HH$112,105,FALSE)</f>
        <v>#N/A</v>
      </c>
      <c r="F164" s="103"/>
      <c r="G164" s="95"/>
      <c r="H164" s="105" t="e">
        <f>VLOOKUP($A18,'Template IF 2'!$B$3:$HH$112,106,FALSE)</f>
        <v>#N/A</v>
      </c>
      <c r="I164" s="105" t="e">
        <f>VLOOKUP($A18,'Template IF 2'!$B$3:$HH$112,107,FALSE)</f>
        <v>#N/A</v>
      </c>
      <c r="J164" s="105" t="e">
        <f>VLOOKUP($A18,'Template IF 2'!$B$3:$HH$112,108,FALSE)</f>
        <v>#N/A</v>
      </c>
      <c r="K164" s="105" t="e">
        <f>VLOOKUP($A18,'Template IF 2'!$B$3:$HH$112,109,FALSE)</f>
        <v>#N/A</v>
      </c>
      <c r="L164" s="103"/>
      <c r="N164"/>
      <c r="O164"/>
    </row>
    <row r="165" spans="1:24" ht="14.1" customHeight="1" x14ac:dyDescent="0.2">
      <c r="A165" s="107" t="str">
        <f>A20</f>
        <v>None</v>
      </c>
      <c r="B165" s="110" t="e">
        <f>VLOOKUP($A20,'Template IF 2'!$B$3:$HH$112,102,FALSE)</f>
        <v>#N/A</v>
      </c>
      <c r="C165" s="110" t="e">
        <f>VLOOKUP($A20,'Template IF 2'!$B$3:$HH$112,103,FALSE)</f>
        <v>#N/A</v>
      </c>
      <c r="D165" s="110" t="e">
        <f>VLOOKUP($A20,'Template IF 2'!$B$3:$HH$112,104,FALSE)</f>
        <v>#N/A</v>
      </c>
      <c r="E165" s="110" t="e">
        <f>VLOOKUP($A20,'Template IF 2'!$B$3:$HH$112,105,FALSE)</f>
        <v>#N/A</v>
      </c>
      <c r="F165" s="103"/>
      <c r="G165" s="95"/>
      <c r="H165" s="105" t="e">
        <f>VLOOKUP($A20,'Template IF 2'!$B$3:$HH$112,106,FALSE)</f>
        <v>#N/A</v>
      </c>
      <c r="I165" s="105" t="e">
        <f>VLOOKUP($A20,'Template IF 2'!$B$3:$HH$112,107,FALSE)</f>
        <v>#N/A</v>
      </c>
      <c r="J165" s="105" t="e">
        <f>VLOOKUP($A20,'Template IF 2'!$B$3:$HH$112,108,FALSE)</f>
        <v>#N/A</v>
      </c>
      <c r="K165" s="105" t="e">
        <f>VLOOKUP($A20,'Template IF 2'!$B$3:$HH$112,109,FALSE)</f>
        <v>#N/A</v>
      </c>
      <c r="L165" s="103"/>
      <c r="N165"/>
      <c r="O165"/>
    </row>
    <row r="166" spans="1:24" ht="14.1" customHeight="1" x14ac:dyDescent="0.2">
      <c r="A166" s="107" t="str">
        <f>A22</f>
        <v>None</v>
      </c>
      <c r="B166" s="110" t="e">
        <f>VLOOKUP($A22,'Template IF 2'!$B$3:$HH$112,102,FALSE)</f>
        <v>#N/A</v>
      </c>
      <c r="C166" s="110" t="e">
        <f>VLOOKUP($A22,'Template IF 2'!$B$3:$HH$112,103,FALSE)</f>
        <v>#N/A</v>
      </c>
      <c r="D166" s="110" t="e">
        <f>VLOOKUP($A22,'Template IF 2'!$B$3:$HH$112,104,FALSE)</f>
        <v>#N/A</v>
      </c>
      <c r="E166" s="110" t="e">
        <f>VLOOKUP($A22,'Template IF 2'!$B$3:$HH$112,105,FALSE)</f>
        <v>#N/A</v>
      </c>
      <c r="F166" s="103"/>
      <c r="G166" s="95"/>
      <c r="H166" s="105" t="e">
        <f>VLOOKUP($A22,'Template IF 2'!$B$3:$HH$112,106,FALSE)</f>
        <v>#N/A</v>
      </c>
      <c r="I166" s="105" t="e">
        <f>VLOOKUP($A22,'Template IF 2'!$B$3:$HH$112,107,FALSE)</f>
        <v>#N/A</v>
      </c>
      <c r="J166" s="105" t="e">
        <f>VLOOKUP($A22,'Template IF 2'!$B$3:$HH$112,108,FALSE)</f>
        <v>#N/A</v>
      </c>
      <c r="K166" s="105" t="e">
        <f>VLOOKUP($A22,'Template IF 2'!$B$3:$HH$112,109,FALSE)</f>
        <v>#N/A</v>
      </c>
      <c r="L166" s="103"/>
      <c r="N166"/>
      <c r="O166"/>
    </row>
    <row r="167" spans="1:24" ht="14.1" customHeight="1" x14ac:dyDescent="0.2">
      <c r="A167" s="107" t="str">
        <f>A24</f>
        <v>None</v>
      </c>
      <c r="B167" s="110" t="e">
        <f>VLOOKUP($A24,'Template IF 2'!$B$3:$HH$112,102,FALSE)</f>
        <v>#N/A</v>
      </c>
      <c r="C167" s="110" t="e">
        <f>VLOOKUP($A24,'Template IF 2'!$B$3:$HH$112,103,FALSE)</f>
        <v>#N/A</v>
      </c>
      <c r="D167" s="110" t="e">
        <f>VLOOKUP($A24,'Template IF 2'!$B$3:$HH$112,104,FALSE)</f>
        <v>#N/A</v>
      </c>
      <c r="E167" s="110" t="e">
        <f>VLOOKUP($A24,'Template IF 2'!$B$3:$HH$112,105,FALSE)</f>
        <v>#N/A</v>
      </c>
      <c r="F167" s="103"/>
      <c r="G167" s="95"/>
      <c r="H167" s="105" t="e">
        <f>VLOOKUP($A24,'Template IF 2'!$B$3:$HH$112,106,FALSE)</f>
        <v>#N/A</v>
      </c>
      <c r="I167" s="105" t="e">
        <f>VLOOKUP($A24,'Template IF 2'!$B$3:$HH$112,107,FALSE)</f>
        <v>#N/A</v>
      </c>
      <c r="J167" s="105" t="e">
        <f>VLOOKUP($A24,'Template IF 2'!$B$3:$HH$112,108,FALSE)</f>
        <v>#N/A</v>
      </c>
      <c r="K167" s="105" t="e">
        <f>VLOOKUP($A24,'Template IF 2'!$B$3:$HH$112,109,FALSE)</f>
        <v>#N/A</v>
      </c>
      <c r="L167" s="103"/>
      <c r="N167"/>
      <c r="O167"/>
    </row>
    <row r="168" spans="1:24" ht="14.1" customHeight="1" x14ac:dyDescent="0.2">
      <c r="A168" s="94" t="str">
        <f>A26</f>
        <v>None</v>
      </c>
      <c r="B168" s="125" t="e">
        <f>VLOOKUP($A26,'Template IF 2'!$B$3:$HH$112,102,FALSE)</f>
        <v>#N/A</v>
      </c>
      <c r="C168" s="125" t="e">
        <f>VLOOKUP($A26,'Template IF 2'!$B$3:$HH$112,103,FALSE)</f>
        <v>#N/A</v>
      </c>
      <c r="D168" s="125" t="e">
        <f>VLOOKUP($A26,'Template IF 2'!$B$3:$HH$112,104,FALSE)</f>
        <v>#N/A</v>
      </c>
      <c r="E168" s="125" t="e">
        <f>VLOOKUP($A26,'Template IF 2'!$B$3:$HH$112,105,FALSE)</f>
        <v>#N/A</v>
      </c>
      <c r="F168" s="114"/>
      <c r="G168" s="96"/>
      <c r="H168" s="106" t="e">
        <f>VLOOKUP($A26,'Template IF 2'!$B$3:$HH$112,106,FALSE)</f>
        <v>#N/A</v>
      </c>
      <c r="I168" s="106" t="e">
        <f>VLOOKUP($A26,'Template IF 2'!$B$3:$HH$112,107,FALSE)</f>
        <v>#N/A</v>
      </c>
      <c r="J168" s="106" t="e">
        <f>VLOOKUP($A26,'Template IF 2'!$B$3:$HH$112,108,FALSE)</f>
        <v>#N/A</v>
      </c>
      <c r="K168" s="106" t="e">
        <f>VLOOKUP($A26,'Template IF 2'!$B$3:$HH$112,109,FALSE)</f>
        <v>#N/A</v>
      </c>
      <c r="L168" s="103"/>
      <c r="N168"/>
      <c r="O168"/>
    </row>
    <row r="169" spans="1:24" x14ac:dyDescent="0.2">
      <c r="A169" s="93" t="s">
        <v>178</v>
      </c>
      <c r="B169" s="95"/>
      <c r="C169" s="95"/>
      <c r="D169" s="95"/>
      <c r="E169" s="95"/>
      <c r="F169" s="95"/>
      <c r="G169" s="95"/>
      <c r="H169" s="95"/>
      <c r="I169" s="95"/>
      <c r="J169" s="95"/>
      <c r="K169" s="95"/>
      <c r="L169" s="95"/>
      <c r="N169"/>
      <c r="O169"/>
    </row>
    <row r="170" spans="1:24" ht="14.25" x14ac:dyDescent="0.2">
      <c r="A170" s="197" t="s">
        <v>482</v>
      </c>
      <c r="B170" s="197"/>
      <c r="C170" s="197"/>
      <c r="D170" s="197"/>
      <c r="E170" s="197"/>
      <c r="F170" s="197"/>
      <c r="G170" s="197"/>
      <c r="H170" s="197"/>
      <c r="I170" s="197"/>
      <c r="J170" s="197"/>
      <c r="K170" s="197"/>
      <c r="L170" s="197"/>
      <c r="N170"/>
      <c r="O170"/>
    </row>
    <row r="171" spans="1:24" ht="12.75" customHeight="1" x14ac:dyDescent="0.2">
      <c r="A171" s="93"/>
      <c r="B171" s="193" t="s">
        <v>167</v>
      </c>
      <c r="C171" s="193"/>
      <c r="D171" s="193"/>
      <c r="E171" s="193"/>
      <c r="F171" s="135"/>
      <c r="G171" s="95"/>
      <c r="H171" s="193" t="s">
        <v>485</v>
      </c>
      <c r="I171" s="194"/>
      <c r="J171" s="194"/>
      <c r="K171" s="194"/>
      <c r="L171" s="95"/>
      <c r="N171"/>
      <c r="O171"/>
    </row>
    <row r="172" spans="1:24" x14ac:dyDescent="0.2">
      <c r="A172" s="107"/>
      <c r="B172" s="196"/>
      <c r="C172" s="196"/>
      <c r="D172" s="196"/>
      <c r="E172" s="196"/>
      <c r="F172" s="135"/>
      <c r="G172" s="95"/>
      <c r="H172" s="195"/>
      <c r="I172" s="195"/>
      <c r="J172" s="195"/>
      <c r="K172" s="195"/>
      <c r="L172" s="133"/>
      <c r="N172"/>
      <c r="O172"/>
    </row>
    <row r="173" spans="1:24" x14ac:dyDescent="0.2">
      <c r="A173" s="94"/>
      <c r="B173" s="134" t="s">
        <v>510</v>
      </c>
      <c r="C173" s="134" t="s">
        <v>511</v>
      </c>
      <c r="D173" s="134" t="s">
        <v>512</v>
      </c>
      <c r="E173" s="134" t="s">
        <v>513</v>
      </c>
      <c r="F173" s="96"/>
      <c r="G173" s="96"/>
      <c r="H173" s="134" t="s">
        <v>510</v>
      </c>
      <c r="I173" s="134" t="s">
        <v>511</v>
      </c>
      <c r="J173" s="134" t="s">
        <v>512</v>
      </c>
      <c r="K173" s="134" t="s">
        <v>513</v>
      </c>
      <c r="L173" s="27"/>
      <c r="N173"/>
      <c r="O173"/>
    </row>
    <row r="174" spans="1:24" ht="14.1" customHeight="1" x14ac:dyDescent="0.2">
      <c r="A174" s="107" t="s">
        <v>29</v>
      </c>
      <c r="B174" s="108">
        <f>'Template IF 2'!DG3</f>
        <v>83.5</v>
      </c>
      <c r="C174" s="108">
        <f>'Template IF 2'!DH3</f>
        <v>84.8</v>
      </c>
      <c r="D174" s="108">
        <f>'Template IF 2'!DI3</f>
        <v>86.3</v>
      </c>
      <c r="E174" s="108">
        <f>'Template IF 2'!DJ3</f>
        <v>85.3</v>
      </c>
      <c r="F174" s="103"/>
      <c r="G174" s="95"/>
      <c r="H174" s="178">
        <f>'Template IF 2'!DK3</f>
        <v>13.5</v>
      </c>
      <c r="I174" s="178">
        <f>'Template IF 2'!DL3</f>
        <v>11.4</v>
      </c>
      <c r="J174" s="178">
        <f>'Template IF 2'!DM3</f>
        <v>9.6999999999999993</v>
      </c>
      <c r="K174" s="178">
        <f>'Template IF 2'!DN3</f>
        <v>10.649282210756125</v>
      </c>
      <c r="L174" s="103"/>
      <c r="M174" s="24"/>
      <c r="N174"/>
      <c r="O174"/>
      <c r="P174" s="24"/>
      <c r="Q174" s="24"/>
      <c r="S174" s="24"/>
      <c r="T174" s="24"/>
      <c r="U174" s="24"/>
      <c r="V174" s="24"/>
      <c r="X174" s="24"/>
    </row>
    <row r="175" spans="1:24" ht="14.1" customHeight="1" x14ac:dyDescent="0.2">
      <c r="A175" s="107" t="str">
        <f>A16</f>
        <v>None</v>
      </c>
      <c r="B175" s="105" t="e">
        <f>VLOOKUP($A16,'Template IF 2'!$B$3:$HH$112,110,FALSE)</f>
        <v>#N/A</v>
      </c>
      <c r="C175" s="105" t="e">
        <f>VLOOKUP($A16,'Template IF 2'!$B$3:$HH$112,111,FALSE)</f>
        <v>#N/A</v>
      </c>
      <c r="D175" s="105" t="e">
        <f>VLOOKUP($A16,'Template IF 2'!$B$3:$HH$112,112,FALSE)</f>
        <v>#N/A</v>
      </c>
      <c r="E175" s="105" t="e">
        <f>VLOOKUP($A16,'Template IF 2'!$B$3:$HH$113,113,FALSE)</f>
        <v>#N/A</v>
      </c>
      <c r="F175" s="103"/>
      <c r="G175" s="95"/>
      <c r="H175" s="131" t="e">
        <f>VLOOKUP($A16,'Template IF 2'!$B$3:$HH$112,114,FALSE)</f>
        <v>#N/A</v>
      </c>
      <c r="I175" s="131" t="e">
        <f>VLOOKUP($A16,'Template IF 2'!$B$3:$HH$112,115,FALSE)</f>
        <v>#N/A</v>
      </c>
      <c r="J175" s="131" t="e">
        <f>VLOOKUP($A16,'Template IF 2'!$B$3:$HH$112,116,FALSE)</f>
        <v>#N/A</v>
      </c>
      <c r="K175" s="131" t="e">
        <f>VLOOKUP($A16,'Template IF 2'!$B$3:$HH$112,117,FALSE)</f>
        <v>#N/A</v>
      </c>
      <c r="L175" s="103"/>
      <c r="M175" s="24"/>
      <c r="N175"/>
      <c r="O175"/>
      <c r="P175" s="24"/>
      <c r="Q175" s="24"/>
      <c r="S175" s="24"/>
      <c r="T175" s="24"/>
      <c r="U175" s="24"/>
      <c r="V175" s="24"/>
      <c r="X175" s="24"/>
    </row>
    <row r="176" spans="1:24" ht="14.1" customHeight="1" x14ac:dyDescent="0.2">
      <c r="A176" s="107" t="str">
        <f>A18</f>
        <v>None</v>
      </c>
      <c r="B176" s="105" t="e">
        <f>VLOOKUP($A18,'Template IF 2'!$B$3:$HH$112,110,FALSE)</f>
        <v>#N/A</v>
      </c>
      <c r="C176" s="105" t="e">
        <f>VLOOKUP($A18,'Template IF 2'!$B$3:$HH$112,111,FALSE)</f>
        <v>#N/A</v>
      </c>
      <c r="D176" s="105" t="e">
        <f>VLOOKUP($A18,'Template IF 2'!$B$3:$HH$112,112,FALSE)</f>
        <v>#N/A</v>
      </c>
      <c r="E176" s="105" t="e">
        <f>VLOOKUP($A18,'Template IF 2'!$B$3:$HH$113,113,FALSE)</f>
        <v>#N/A</v>
      </c>
      <c r="F176" s="103"/>
      <c r="G176" s="95"/>
      <c r="H176" s="131" t="e">
        <f>VLOOKUP($A18,'Template IF 2'!$B$3:$HH$112,114,FALSE)</f>
        <v>#N/A</v>
      </c>
      <c r="I176" s="131" t="e">
        <f>VLOOKUP($A18,'Template IF 2'!$B$3:$HH$112,115,FALSE)</f>
        <v>#N/A</v>
      </c>
      <c r="J176" s="131" t="e">
        <f>VLOOKUP($A18,'Template IF 2'!$B$3:$HH$112,116,FALSE)</f>
        <v>#N/A</v>
      </c>
      <c r="K176" s="131" t="e">
        <f>VLOOKUP($A18,'Template IF 2'!$B$3:$HH$112,117,FALSE)</f>
        <v>#N/A</v>
      </c>
      <c r="L176" s="103"/>
      <c r="N176"/>
      <c r="O176"/>
    </row>
    <row r="177" spans="1:15" ht="14.1" customHeight="1" x14ac:dyDescent="0.2">
      <c r="A177" s="107" t="str">
        <f>A20</f>
        <v>None</v>
      </c>
      <c r="B177" s="105" t="e">
        <f>VLOOKUP($A20,'Template IF 2'!$B$3:$HH$112,110,FALSE)</f>
        <v>#N/A</v>
      </c>
      <c r="C177" s="105" t="e">
        <f>VLOOKUP($A20,'Template IF 2'!$B$3:$HH$112,111,FALSE)</f>
        <v>#N/A</v>
      </c>
      <c r="D177" s="105" t="e">
        <f>VLOOKUP($A20,'Template IF 2'!$B$3:$HH$112,112,FALSE)</f>
        <v>#N/A</v>
      </c>
      <c r="E177" s="105" t="e">
        <f>VLOOKUP($A20,'Template IF 2'!$B$3:$HH$113,113,FALSE)</f>
        <v>#N/A</v>
      </c>
      <c r="F177" s="103"/>
      <c r="G177" s="95"/>
      <c r="H177" s="131" t="e">
        <f>VLOOKUP($A20,'Template IF 2'!$B$3:$HH$112,114,FALSE)</f>
        <v>#N/A</v>
      </c>
      <c r="I177" s="131" t="e">
        <f>VLOOKUP($A20,'Template IF 2'!$B$3:$HH$112,115,FALSE)</f>
        <v>#N/A</v>
      </c>
      <c r="J177" s="131" t="e">
        <f>VLOOKUP($A20,'Template IF 2'!$B$3:$HH$112,116,FALSE)</f>
        <v>#N/A</v>
      </c>
      <c r="K177" s="131" t="e">
        <f>VLOOKUP($A20,'Template IF 2'!$B$3:$HH$112,117,FALSE)</f>
        <v>#N/A</v>
      </c>
      <c r="L177" s="103"/>
      <c r="N177"/>
      <c r="O177"/>
    </row>
    <row r="178" spans="1:15" ht="14.1" customHeight="1" x14ac:dyDescent="0.2">
      <c r="A178" s="107" t="str">
        <f>A22</f>
        <v>None</v>
      </c>
      <c r="B178" s="105" t="e">
        <f>VLOOKUP($A22,'Template IF 2'!$B$3:$HH$112,110,FALSE)</f>
        <v>#N/A</v>
      </c>
      <c r="C178" s="105" t="e">
        <f>VLOOKUP($A22,'Template IF 2'!$B$3:$HH$112,111,FALSE)</f>
        <v>#N/A</v>
      </c>
      <c r="D178" s="105" t="e">
        <f>VLOOKUP($A22,'Template IF 2'!$B$3:$HH$112,112,FALSE)</f>
        <v>#N/A</v>
      </c>
      <c r="E178" s="105" t="e">
        <f>VLOOKUP($A22,'Template IF 2'!$B$3:$HH$113,113,FALSE)</f>
        <v>#N/A</v>
      </c>
      <c r="F178" s="103"/>
      <c r="G178" s="95"/>
      <c r="H178" s="131" t="e">
        <f>VLOOKUP($A22,'Template IF 2'!$B$3:$HH$112,114,FALSE)</f>
        <v>#N/A</v>
      </c>
      <c r="I178" s="131" t="e">
        <f>VLOOKUP($A22,'Template IF 2'!$B$3:$HH$112,115,FALSE)</f>
        <v>#N/A</v>
      </c>
      <c r="J178" s="131" t="e">
        <f>VLOOKUP($A22,'Template IF 2'!$B$3:$HH$112,116,FALSE)</f>
        <v>#N/A</v>
      </c>
      <c r="K178" s="131" t="e">
        <f>VLOOKUP($A22,'Template IF 2'!$B$3:$HH$112,117,FALSE)</f>
        <v>#N/A</v>
      </c>
      <c r="L178" s="103"/>
      <c r="N178"/>
      <c r="O178"/>
    </row>
    <row r="179" spans="1:15" ht="14.1" customHeight="1" x14ac:dyDescent="0.2">
      <c r="A179" s="107" t="str">
        <f>A24</f>
        <v>None</v>
      </c>
      <c r="B179" s="105" t="e">
        <f>VLOOKUP($A24,'Template IF 2'!$B$3:$HH$112,110,FALSE)</f>
        <v>#N/A</v>
      </c>
      <c r="C179" s="105" t="e">
        <f>VLOOKUP($A24,'Template IF 2'!$B$3:$HH$112,111,FALSE)</f>
        <v>#N/A</v>
      </c>
      <c r="D179" s="105" t="e">
        <f>VLOOKUP($A24,'Template IF 2'!$B$3:$HH$112,112,FALSE)</f>
        <v>#N/A</v>
      </c>
      <c r="E179" s="105" t="e">
        <f>VLOOKUP($A24,'Template IF 2'!$B$3:$HH$113,113,FALSE)</f>
        <v>#N/A</v>
      </c>
      <c r="F179" s="103"/>
      <c r="G179" s="95"/>
      <c r="H179" s="131" t="e">
        <f>VLOOKUP($A24,'Template IF 2'!$B$3:$HH$112,114,FALSE)</f>
        <v>#N/A</v>
      </c>
      <c r="I179" s="131" t="e">
        <f>VLOOKUP($A24,'Template IF 2'!$B$3:$HH$112,115,FALSE)</f>
        <v>#N/A</v>
      </c>
      <c r="J179" s="131" t="e">
        <f>VLOOKUP($A24,'Template IF 2'!$B$3:$HH$112,116,FALSE)</f>
        <v>#N/A</v>
      </c>
      <c r="K179" s="131" t="e">
        <f>VLOOKUP($A24,'Template IF 2'!$B$3:$HH$112,117,FALSE)</f>
        <v>#N/A</v>
      </c>
      <c r="L179" s="103"/>
      <c r="N179"/>
      <c r="O179"/>
    </row>
    <row r="180" spans="1:15" ht="14.1" customHeight="1" x14ac:dyDescent="0.2">
      <c r="A180" s="94" t="str">
        <f>A26</f>
        <v>None</v>
      </c>
      <c r="B180" s="106" t="e">
        <f>VLOOKUP($A26,'Template IF 2'!$B$3:$HH$112,110,FALSE)</f>
        <v>#N/A</v>
      </c>
      <c r="C180" s="106" t="e">
        <f>VLOOKUP($A26,'Template IF 2'!$B$3:$HH$112,111,FALSE)</f>
        <v>#N/A</v>
      </c>
      <c r="D180" s="106" t="e">
        <f>VLOOKUP($A26,'Template IF 2'!$B$3:$HH$112,112,FALSE)</f>
        <v>#N/A</v>
      </c>
      <c r="E180" s="106" t="e">
        <f>VLOOKUP($A26,'Template IF 2'!$B$3:$HH$113,113,FALSE)</f>
        <v>#N/A</v>
      </c>
      <c r="F180" s="114"/>
      <c r="G180" s="96"/>
      <c r="H180" s="132" t="e">
        <f>VLOOKUP($A26,'Template IF 2'!$B$3:$HH$112,114,FALSE)</f>
        <v>#N/A</v>
      </c>
      <c r="I180" s="132" t="e">
        <f>VLOOKUP($A26,'Template IF 2'!$B$3:$HH$112,115,FALSE)</f>
        <v>#N/A</v>
      </c>
      <c r="J180" s="132" t="e">
        <f>VLOOKUP($A26,'Template IF 2'!$B$3:$HH$112,116,FALSE)</f>
        <v>#N/A</v>
      </c>
      <c r="K180" s="132" t="e">
        <f>VLOOKUP($A26,'Template IF 2'!$B$3:$HH$112,117,FALSE)</f>
        <v>#N/A</v>
      </c>
      <c r="L180" s="103"/>
      <c r="N180"/>
      <c r="O180"/>
    </row>
    <row r="181" spans="1:15" x14ac:dyDescent="0.2">
      <c r="A181" s="208" t="s">
        <v>178</v>
      </c>
      <c r="B181" s="109"/>
      <c r="C181" s="109"/>
      <c r="D181" s="109"/>
      <c r="E181" s="109"/>
      <c r="F181" s="109"/>
      <c r="G181" s="95"/>
      <c r="H181" s="207" t="s">
        <v>525</v>
      </c>
      <c r="I181" s="95"/>
      <c r="J181" s="95"/>
      <c r="K181" s="95"/>
      <c r="L181" s="95"/>
      <c r="N181"/>
      <c r="O181"/>
    </row>
    <row r="182" spans="1:15" ht="23.25" customHeight="1" x14ac:dyDescent="0.2">
      <c r="A182" s="93"/>
      <c r="B182" s="95"/>
      <c r="C182" s="95"/>
      <c r="D182" s="95"/>
      <c r="E182" s="95"/>
      <c r="F182" s="95"/>
      <c r="G182" s="95"/>
      <c r="H182" s="193" t="s">
        <v>486</v>
      </c>
      <c r="I182" s="193"/>
      <c r="J182" s="193"/>
      <c r="K182" s="193"/>
      <c r="L182" s="95"/>
      <c r="N182"/>
      <c r="O182"/>
    </row>
    <row r="183" spans="1:15" ht="12.75" customHeight="1" x14ac:dyDescent="0.2">
      <c r="A183" s="107"/>
      <c r="B183" s="195" t="s">
        <v>145</v>
      </c>
      <c r="C183" s="195"/>
      <c r="D183" s="195"/>
      <c r="E183" s="195"/>
      <c r="F183" s="133"/>
      <c r="G183" s="95"/>
      <c r="H183" s="196"/>
      <c r="I183" s="196"/>
      <c r="J183" s="196"/>
      <c r="K183" s="196"/>
      <c r="L183" s="133"/>
      <c r="N183"/>
      <c r="O183"/>
    </row>
    <row r="184" spans="1:15" ht="11.25" customHeight="1" x14ac:dyDescent="0.2">
      <c r="A184" s="94"/>
      <c r="B184" s="134" t="s">
        <v>510</v>
      </c>
      <c r="C184" s="134" t="s">
        <v>511</v>
      </c>
      <c r="D184" s="134" t="s">
        <v>512</v>
      </c>
      <c r="E184" s="134" t="s">
        <v>513</v>
      </c>
      <c r="F184" s="96"/>
      <c r="G184" s="96"/>
      <c r="H184" s="134" t="s">
        <v>510</v>
      </c>
      <c r="I184" s="134" t="s">
        <v>511</v>
      </c>
      <c r="J184" s="134" t="s">
        <v>512</v>
      </c>
      <c r="K184" s="134" t="s">
        <v>513</v>
      </c>
      <c r="L184" s="136"/>
      <c r="N184"/>
      <c r="O184"/>
    </row>
    <row r="185" spans="1:15" ht="14.1" customHeight="1" x14ac:dyDescent="0.2">
      <c r="A185" s="107" t="s">
        <v>29</v>
      </c>
      <c r="B185" s="108">
        <f>'Template IF 2'!DO3</f>
        <v>24.3</v>
      </c>
      <c r="C185" s="108">
        <f>'Template IF 2'!DP3</f>
        <v>26.1</v>
      </c>
      <c r="D185" s="108">
        <f>'Template IF 2'!DQ3</f>
        <v>30.2</v>
      </c>
      <c r="E185" s="108">
        <f>'Template IF 2'!DR3</f>
        <v>33.200000000000003</v>
      </c>
      <c r="F185" s="136"/>
      <c r="G185" s="95"/>
      <c r="H185" s="108">
        <f>'Template IF 2'!DS3</f>
        <v>33.042868292875703</v>
      </c>
      <c r="I185" s="108">
        <f>'Template IF 2'!DT3</f>
        <v>28.986994274861239</v>
      </c>
      <c r="J185" s="108">
        <f>'Template IF 2'!DU3</f>
        <v>27.147443597527683</v>
      </c>
      <c r="K185" s="108">
        <f>'Template IF 2'!DV3</f>
        <v>22.358854710939756</v>
      </c>
      <c r="L185" s="103"/>
      <c r="N185"/>
    </row>
    <row r="186" spans="1:15" ht="14.1" customHeight="1" x14ac:dyDescent="0.2">
      <c r="A186" s="107" t="str">
        <f>A16</f>
        <v>None</v>
      </c>
      <c r="B186" s="105" t="e">
        <f>VLOOKUP($A16,'Template IF 2'!$B$3:$HH$112,118,FALSE)</f>
        <v>#N/A</v>
      </c>
      <c r="C186" s="105" t="e">
        <f>VLOOKUP($A16,'Template IF 2'!$B$3:$HH$112,119,FALSE)</f>
        <v>#N/A</v>
      </c>
      <c r="D186" s="105" t="e">
        <f>VLOOKUP($A16,'Template IF 2'!$B$3:$HH$112,120,FALSE)</f>
        <v>#N/A</v>
      </c>
      <c r="E186" s="105" t="e">
        <f>VLOOKUP($A16,'Template IF 2'!$B$3:$HH$112,121,FALSE)</f>
        <v>#N/A</v>
      </c>
      <c r="F186" s="103"/>
      <c r="G186" s="95"/>
      <c r="H186" s="127" t="e">
        <f>VLOOKUP($A16,'Template IF 2'!$B$3:$HH$112,122,FALSE)</f>
        <v>#N/A</v>
      </c>
      <c r="I186" s="127" t="e">
        <f>VLOOKUP($A16,'Template IF 2'!$B$3:$HH$113,123,FALSE)</f>
        <v>#N/A</v>
      </c>
      <c r="J186" s="111" t="e">
        <f>VLOOKUP($A16,'Template IF 2'!$B$3:$HH$112,124,FALSE)</f>
        <v>#N/A</v>
      </c>
      <c r="K186" s="111" t="e">
        <f>VLOOKUP($A16,'Template IF 2'!$B$3:$HH$112,125,FALSE)</f>
        <v>#N/A</v>
      </c>
      <c r="L186" s="103"/>
      <c r="N186"/>
    </row>
    <row r="187" spans="1:15" ht="14.1" customHeight="1" x14ac:dyDescent="0.2">
      <c r="A187" s="107" t="str">
        <f>A18</f>
        <v>None</v>
      </c>
      <c r="B187" s="105" t="e">
        <f>VLOOKUP($A18,'Template IF 2'!$B$3:$HH$112,118,FALSE)</f>
        <v>#N/A</v>
      </c>
      <c r="C187" s="105" t="e">
        <f>VLOOKUP($A18,'Template IF 2'!$B$3:$HH$112,119,FALSE)</f>
        <v>#N/A</v>
      </c>
      <c r="D187" s="105" t="e">
        <f>VLOOKUP($A18,'Template IF 2'!$B$3:$HH$112,120,FALSE)</f>
        <v>#N/A</v>
      </c>
      <c r="E187" s="105" t="e">
        <f>VLOOKUP($A18,'Template IF 2'!$B$3:$HH$112,121,FALSE)</f>
        <v>#N/A</v>
      </c>
      <c r="F187" s="103"/>
      <c r="G187" s="95"/>
      <c r="H187" s="127" t="e">
        <f>VLOOKUP($A18,'Template IF 2'!$B$3:$HH$112,122,FALSE)</f>
        <v>#N/A</v>
      </c>
      <c r="I187" s="127" t="e">
        <f>VLOOKUP($A18,'Template IF 2'!$B$3:$HH$113,123,FALSE)</f>
        <v>#N/A</v>
      </c>
      <c r="J187" s="111" t="e">
        <f>VLOOKUP($A18,'Template IF 2'!$B$3:$HH$112,124,FALSE)</f>
        <v>#N/A</v>
      </c>
      <c r="K187" s="111" t="e">
        <f>VLOOKUP($A18,'Template IF 2'!$B$3:$HH$112,125,FALSE)</f>
        <v>#N/A</v>
      </c>
      <c r="L187" s="103"/>
      <c r="N187"/>
    </row>
    <row r="188" spans="1:15" ht="14.1" customHeight="1" x14ac:dyDescent="0.2">
      <c r="A188" s="107" t="str">
        <f>A20</f>
        <v>None</v>
      </c>
      <c r="B188" s="105" t="e">
        <f>VLOOKUP($A20,'Template IF 2'!$B$3:$HH$112,118,FALSE)</f>
        <v>#N/A</v>
      </c>
      <c r="C188" s="105" t="e">
        <f>VLOOKUP($A20,'Template IF 2'!$B$3:$HH$112,119,FALSE)</f>
        <v>#N/A</v>
      </c>
      <c r="D188" s="105" t="e">
        <f>VLOOKUP($A20,'Template IF 2'!$B$3:$HH$112,120,FALSE)</f>
        <v>#N/A</v>
      </c>
      <c r="E188" s="105" t="e">
        <f>VLOOKUP($A20,'Template IF 2'!$B$3:$HH$112,121,FALSE)</f>
        <v>#N/A</v>
      </c>
      <c r="F188" s="103"/>
      <c r="G188" s="95"/>
      <c r="H188" s="127" t="e">
        <f>VLOOKUP($A20,'Template IF 2'!$B$3:$HH$112,122,FALSE)</f>
        <v>#N/A</v>
      </c>
      <c r="I188" s="127" t="e">
        <f>VLOOKUP($A20,'Template IF 2'!$B$3:$HH$113,123,FALSE)</f>
        <v>#N/A</v>
      </c>
      <c r="J188" s="111" t="e">
        <f>VLOOKUP($A20,'Template IF 2'!$B$3:$HH$112,124,FALSE)</f>
        <v>#N/A</v>
      </c>
      <c r="K188" s="111" t="e">
        <f>VLOOKUP($A20,'Template IF 2'!$B$3:$HH$112,125,FALSE)</f>
        <v>#N/A</v>
      </c>
      <c r="L188" s="103"/>
      <c r="N188"/>
    </row>
    <row r="189" spans="1:15" ht="14.1" customHeight="1" x14ac:dyDescent="0.2">
      <c r="A189" s="107" t="str">
        <f>A22</f>
        <v>None</v>
      </c>
      <c r="B189" s="105" t="e">
        <f>VLOOKUP($A22,'Template IF 2'!$B$3:$HH$112,118,FALSE)</f>
        <v>#N/A</v>
      </c>
      <c r="C189" s="105" t="e">
        <f>VLOOKUP($A22,'Template IF 2'!$B$3:$HH$112,119,FALSE)</f>
        <v>#N/A</v>
      </c>
      <c r="D189" s="105" t="e">
        <f>VLOOKUP($A22,'Template IF 2'!$B$3:$HH$112,120,FALSE)</f>
        <v>#N/A</v>
      </c>
      <c r="E189" s="105" t="e">
        <f>VLOOKUP($A22,'Template IF 2'!$B$3:$HH$112,121,FALSE)</f>
        <v>#N/A</v>
      </c>
      <c r="F189" s="103"/>
      <c r="G189" s="95"/>
      <c r="H189" s="127" t="e">
        <f>VLOOKUP($A22,'Template IF 2'!$B$3:$HH$112,122,FALSE)</f>
        <v>#N/A</v>
      </c>
      <c r="I189" s="127" t="e">
        <f>VLOOKUP($A22,'Template IF 2'!$B$3:$HH$113,123,FALSE)</f>
        <v>#N/A</v>
      </c>
      <c r="J189" s="111" t="e">
        <f>VLOOKUP($A22,'Template IF 2'!$B$3:$HH$112,124,FALSE)</f>
        <v>#N/A</v>
      </c>
      <c r="K189" s="111" t="e">
        <f>VLOOKUP($A22,'Template IF 2'!$B$3:$HH$112,125,FALSE)</f>
        <v>#N/A</v>
      </c>
      <c r="L189" s="103"/>
      <c r="N189"/>
    </row>
    <row r="190" spans="1:15" ht="14.1" customHeight="1" x14ac:dyDescent="0.2">
      <c r="A190" s="107" t="str">
        <f>A24</f>
        <v>None</v>
      </c>
      <c r="B190" s="105" t="e">
        <f>VLOOKUP($A24,'Template IF 2'!$B$3:$HH$112,118,FALSE)</f>
        <v>#N/A</v>
      </c>
      <c r="C190" s="105" t="e">
        <f>VLOOKUP($A24,'Template IF 2'!$B$3:$HH$112,119,FALSE)</f>
        <v>#N/A</v>
      </c>
      <c r="D190" s="105" t="e">
        <f>VLOOKUP($A24,'Template IF 2'!$B$3:$HH$112,120,FALSE)</f>
        <v>#N/A</v>
      </c>
      <c r="E190" s="105" t="e">
        <f>VLOOKUP($A24,'Template IF 2'!$B$3:$HH$112,121,FALSE)</f>
        <v>#N/A</v>
      </c>
      <c r="F190" s="103"/>
      <c r="G190" s="95"/>
      <c r="H190" s="127" t="e">
        <f>VLOOKUP($A24,'Template IF 2'!$B$3:$HH$112,122,FALSE)</f>
        <v>#N/A</v>
      </c>
      <c r="I190" s="127" t="e">
        <f>VLOOKUP($A24,'Template IF 2'!$B$3:$HH$113,123,FALSE)</f>
        <v>#N/A</v>
      </c>
      <c r="J190" s="111" t="e">
        <f>VLOOKUP($A24,'Template IF 2'!$B$3:$HH$112,124,FALSE)</f>
        <v>#N/A</v>
      </c>
      <c r="K190" s="111" t="e">
        <f>VLOOKUP($A24,'Template IF 2'!$B$3:$HH$112,125,FALSE)</f>
        <v>#N/A</v>
      </c>
      <c r="L190" s="103"/>
      <c r="N190"/>
    </row>
    <row r="191" spans="1:15" ht="14.1" customHeight="1" x14ac:dyDescent="0.2">
      <c r="A191" s="94" t="str">
        <f>A26</f>
        <v>None</v>
      </c>
      <c r="B191" s="106" t="e">
        <f>VLOOKUP($A26,'Template IF 2'!$B$3:$HH$112,118,FALSE)</f>
        <v>#N/A</v>
      </c>
      <c r="C191" s="106" t="e">
        <f>VLOOKUP($A26,'Template IF 2'!$B$3:$HH$112,119,FALSE)</f>
        <v>#N/A</v>
      </c>
      <c r="D191" s="106" t="e">
        <f>VLOOKUP($A26,'Template IF 2'!$B$3:$HH$112,120,FALSE)</f>
        <v>#N/A</v>
      </c>
      <c r="E191" s="106" t="e">
        <f>VLOOKUP($A26,'Template IF 2'!$B$3:$HH$112,121,FALSE)</f>
        <v>#N/A</v>
      </c>
      <c r="F191" s="114"/>
      <c r="G191" s="96"/>
      <c r="H191" s="113" t="e">
        <f>VLOOKUP($A26,'Template IF 2'!$B$3:$HH$112,122,FALSE)</f>
        <v>#N/A</v>
      </c>
      <c r="I191" s="113" t="e">
        <f>VLOOKUP($A26,'Template IF 2'!$B$3:$HH$113,123,FALSE)</f>
        <v>#N/A</v>
      </c>
      <c r="J191" s="113" t="e">
        <f>VLOOKUP($A26,'Template IF 2'!$B$3:$HH$112,124,FALSE)</f>
        <v>#N/A</v>
      </c>
      <c r="K191" s="113" t="e">
        <f>VLOOKUP($A26,'Template IF 2'!$B$3:$HH$112,125,FALSE)</f>
        <v>#N/A</v>
      </c>
      <c r="L191" s="103"/>
      <c r="N191"/>
    </row>
    <row r="192" spans="1:15" x14ac:dyDescent="0.2">
      <c r="A192" s="208" t="s">
        <v>178</v>
      </c>
      <c r="B192" s="109"/>
      <c r="C192" s="109"/>
      <c r="D192" s="109"/>
      <c r="E192" s="109"/>
      <c r="F192" s="109"/>
      <c r="G192" s="95"/>
      <c r="H192" s="95"/>
      <c r="I192" s="95"/>
      <c r="J192" s="95"/>
      <c r="K192" s="95"/>
      <c r="L192" s="95"/>
      <c r="N192"/>
      <c r="O192"/>
    </row>
    <row r="193" spans="1:32" ht="17.25" customHeight="1" x14ac:dyDescent="0.2">
      <c r="A193" s="93"/>
      <c r="B193" s="95"/>
      <c r="C193" s="95"/>
      <c r="D193" s="95"/>
      <c r="E193" s="95"/>
      <c r="F193" s="95"/>
      <c r="G193" s="95"/>
      <c r="H193" s="103"/>
      <c r="I193" s="103"/>
      <c r="J193" s="103"/>
      <c r="K193" s="103"/>
      <c r="L193" s="27"/>
      <c r="N193"/>
      <c r="O193"/>
    </row>
    <row r="194" spans="1:32" ht="18" customHeight="1" x14ac:dyDescent="0.2">
      <c r="A194" s="107"/>
      <c r="B194" s="195" t="s">
        <v>514</v>
      </c>
      <c r="C194" s="195"/>
      <c r="D194" s="195"/>
      <c r="E194" s="195"/>
      <c r="F194" s="195"/>
      <c r="G194" s="95"/>
      <c r="H194" s="195" t="s">
        <v>483</v>
      </c>
      <c r="I194" s="195"/>
      <c r="J194" s="195"/>
      <c r="K194" s="195"/>
      <c r="L194" s="133"/>
      <c r="N194"/>
      <c r="O194"/>
      <c r="R194" s="15"/>
      <c r="T194"/>
    </row>
    <row r="195" spans="1:32" ht="24" x14ac:dyDescent="0.2">
      <c r="A195" s="94"/>
      <c r="B195" s="137" t="s">
        <v>32</v>
      </c>
      <c r="C195" s="138" t="s">
        <v>47</v>
      </c>
      <c r="D195" s="138" t="s">
        <v>44</v>
      </c>
      <c r="E195" s="137" t="s">
        <v>35</v>
      </c>
      <c r="F195" s="137" t="s">
        <v>54</v>
      </c>
      <c r="G195" s="96"/>
      <c r="H195" s="139" t="s">
        <v>447</v>
      </c>
      <c r="I195" s="139" t="s">
        <v>448</v>
      </c>
      <c r="J195" s="139" t="s">
        <v>449</v>
      </c>
      <c r="K195" s="139" t="s">
        <v>446</v>
      </c>
      <c r="L195" s="27"/>
      <c r="N195"/>
      <c r="O195"/>
      <c r="R195" s="15"/>
      <c r="T195"/>
    </row>
    <row r="196" spans="1:32" ht="14.1" customHeight="1" x14ac:dyDescent="0.2">
      <c r="A196" s="107" t="s">
        <v>29</v>
      </c>
      <c r="B196" s="110">
        <f>'Template IF 2'!DW3</f>
        <v>52171</v>
      </c>
      <c r="C196" s="110">
        <f>'Template IF 2'!DX3</f>
        <v>7049</v>
      </c>
      <c r="D196" s="110">
        <f>'Template IF 2'!DY3</f>
        <v>1346</v>
      </c>
      <c r="E196" s="110">
        <f>'Template IF 2'!DZ3</f>
        <v>5383</v>
      </c>
      <c r="F196" s="110">
        <f>'Template IF 2'!EA3</f>
        <v>4825</v>
      </c>
      <c r="G196" s="103"/>
      <c r="H196" s="110">
        <f>'Template IF 2'!EB3</f>
        <v>2186</v>
      </c>
      <c r="I196" s="110">
        <f>'Template IF 2'!EC3</f>
        <v>1888</v>
      </c>
      <c r="J196" s="110">
        <f>'Template IF 2'!ED3</f>
        <v>1747</v>
      </c>
      <c r="K196" s="110">
        <f>'Template IF 2'!EE3</f>
        <v>1785</v>
      </c>
      <c r="L196" s="103"/>
      <c r="N196"/>
      <c r="O196"/>
      <c r="V196" s="21"/>
    </row>
    <row r="197" spans="1:32" ht="14.1" customHeight="1" x14ac:dyDescent="0.2">
      <c r="A197" s="107" t="str">
        <f>A16</f>
        <v>None</v>
      </c>
      <c r="B197" s="110" t="e">
        <f>VLOOKUP($A16,'Template IF 2'!$B$3:$HH$112,126,FALSE)</f>
        <v>#N/A</v>
      </c>
      <c r="C197" s="110" t="e">
        <f>VLOOKUP($A16,'Template IF 2'!$B$3:$HH$112,127,FALSE)</f>
        <v>#N/A</v>
      </c>
      <c r="D197" s="110" t="e">
        <f>VLOOKUP($A16,'Template IF 2'!$B$3:$HH$112,128,FALSE)</f>
        <v>#N/A</v>
      </c>
      <c r="E197" s="110" t="e">
        <f>VLOOKUP($A16,'Template IF 2'!$B$3:$HH$112,129,FALSE)</f>
        <v>#N/A</v>
      </c>
      <c r="F197" s="110" t="e">
        <f>VLOOKUP($A16,'Template IF 2'!$B$3:$HH$112,130,FALSE)</f>
        <v>#N/A</v>
      </c>
      <c r="G197" s="103"/>
      <c r="H197" s="110" t="e">
        <f>VLOOKUP($A16,'Template IF 2'!$B$3:$HH$112,131,FALSE)</f>
        <v>#N/A</v>
      </c>
      <c r="I197" s="110" t="e">
        <f>VLOOKUP($A16,'Template IF 2'!$B$3:$HH$112,132,FALSE)</f>
        <v>#N/A</v>
      </c>
      <c r="J197" s="110" t="e">
        <f>VLOOKUP($A16,'Template IF 2'!$B$3:$HH$112,133,FALSE)</f>
        <v>#N/A</v>
      </c>
      <c r="K197" s="110" t="e">
        <f>VLOOKUP($A16,'Template IF 2'!$B$3:$HH$112,134,FALSE)</f>
        <v>#N/A</v>
      </c>
      <c r="L197" s="103"/>
      <c r="N197"/>
      <c r="O197"/>
      <c r="V197" s="21"/>
    </row>
    <row r="198" spans="1:32" ht="14.1" customHeight="1" x14ac:dyDescent="0.2">
      <c r="A198" s="107" t="str">
        <f>A18</f>
        <v>None</v>
      </c>
      <c r="B198" s="110" t="e">
        <f>VLOOKUP($A18,'Template IF 2'!$B$3:$HH$112,126,FALSE)</f>
        <v>#N/A</v>
      </c>
      <c r="C198" s="110" t="e">
        <f>VLOOKUP($A18,'Template IF 2'!$B$3:$HH$112,127,FALSE)</f>
        <v>#N/A</v>
      </c>
      <c r="D198" s="110" t="e">
        <f>VLOOKUP($A18,'Template IF 2'!$B$3:$HH$112,128,FALSE)</f>
        <v>#N/A</v>
      </c>
      <c r="E198" s="110" t="e">
        <f>VLOOKUP($A18,'Template IF 2'!$B$3:$HH$112,129,FALSE)</f>
        <v>#N/A</v>
      </c>
      <c r="F198" s="110" t="e">
        <f>VLOOKUP($A18,'Template IF 2'!$B$3:$HH$112,130,FALSE)</f>
        <v>#N/A</v>
      </c>
      <c r="G198" s="103"/>
      <c r="H198" s="110" t="e">
        <f>VLOOKUP($A18,'Template IF 2'!$B$3:$HH$112,131,FALSE)</f>
        <v>#N/A</v>
      </c>
      <c r="I198" s="110" t="e">
        <f>VLOOKUP($A18,'Template IF 2'!$B$3:$HH$112,132,FALSE)</f>
        <v>#N/A</v>
      </c>
      <c r="J198" s="110" t="e">
        <f>VLOOKUP($A18,'Template IF 2'!$B$3:$HH$112,133,FALSE)</f>
        <v>#N/A</v>
      </c>
      <c r="K198" s="110" t="e">
        <f>VLOOKUP($A18,'Template IF 2'!$B$3:$HH$112,134,FALSE)</f>
        <v>#N/A</v>
      </c>
      <c r="L198" s="103"/>
      <c r="N198"/>
      <c r="O198"/>
      <c r="V198" s="21"/>
    </row>
    <row r="199" spans="1:32" ht="14.1" customHeight="1" x14ac:dyDescent="0.2">
      <c r="A199" s="107" t="str">
        <f>A20</f>
        <v>None</v>
      </c>
      <c r="B199" s="110" t="e">
        <f>VLOOKUP($A20,'Template IF 2'!$B$3:$HH$112,126,FALSE)</f>
        <v>#N/A</v>
      </c>
      <c r="C199" s="110" t="e">
        <f>VLOOKUP($A20,'Template IF 2'!$B$3:$HH$112,127,FALSE)</f>
        <v>#N/A</v>
      </c>
      <c r="D199" s="110" t="e">
        <f>VLOOKUP($A20,'Template IF 2'!$B$3:$HH$112,128,FALSE)</f>
        <v>#N/A</v>
      </c>
      <c r="E199" s="110" t="e">
        <f>VLOOKUP($A20,'Template IF 2'!$B$3:$HH$112,129,FALSE)</f>
        <v>#N/A</v>
      </c>
      <c r="F199" s="110" t="e">
        <f>VLOOKUP($A20,'Template IF 2'!$B$3:$HH$112,130,FALSE)</f>
        <v>#N/A</v>
      </c>
      <c r="G199" s="103"/>
      <c r="H199" s="110" t="e">
        <f>VLOOKUP($A20,'Template IF 2'!$B$3:$HH$112,131,FALSE)</f>
        <v>#N/A</v>
      </c>
      <c r="I199" s="110" t="e">
        <f>VLOOKUP($A20,'Template IF 2'!$B$3:$HH$112,132,FALSE)</f>
        <v>#N/A</v>
      </c>
      <c r="J199" s="110" t="e">
        <f>VLOOKUP($A20,'Template IF 2'!$B$3:$HH$112,133,FALSE)</f>
        <v>#N/A</v>
      </c>
      <c r="K199" s="110" t="e">
        <f>VLOOKUP($A20,'Template IF 2'!$B$3:$HH$112,134,FALSE)</f>
        <v>#N/A</v>
      </c>
      <c r="L199" s="103"/>
      <c r="N199"/>
      <c r="O199"/>
      <c r="P199"/>
      <c r="Q199"/>
      <c r="S199"/>
      <c r="T199"/>
      <c r="U199"/>
      <c r="V199"/>
      <c r="W199"/>
      <c r="X199"/>
      <c r="Y199"/>
      <c r="Z199"/>
      <c r="AA199"/>
      <c r="AB199"/>
      <c r="AC199"/>
      <c r="AD199"/>
      <c r="AE199"/>
      <c r="AF199"/>
    </row>
    <row r="200" spans="1:32" ht="14.1" customHeight="1" x14ac:dyDescent="0.2">
      <c r="A200" s="107" t="str">
        <f>A22</f>
        <v>None</v>
      </c>
      <c r="B200" s="110" t="e">
        <f>VLOOKUP($A22,'Template IF 2'!$B$3:$HH$112,126,FALSE)</f>
        <v>#N/A</v>
      </c>
      <c r="C200" s="110" t="e">
        <f>VLOOKUP($A22,'Template IF 2'!$B$3:$HH$112,127,FALSE)</f>
        <v>#N/A</v>
      </c>
      <c r="D200" s="110" t="e">
        <f>VLOOKUP($A22,'Template IF 2'!$B$3:$HH$112,128,FALSE)</f>
        <v>#N/A</v>
      </c>
      <c r="E200" s="110" t="e">
        <f>VLOOKUP($A22,'Template IF 2'!$B$3:$HH$112,129,FALSE)</f>
        <v>#N/A</v>
      </c>
      <c r="F200" s="110" t="e">
        <f>VLOOKUP($A22,'Template IF 2'!$B$3:$HH$112,130,FALSE)</f>
        <v>#N/A</v>
      </c>
      <c r="G200" s="103"/>
      <c r="H200" s="110" t="e">
        <f>VLOOKUP($A22,'Template IF 2'!$B$3:$HH$112,131,FALSE)</f>
        <v>#N/A</v>
      </c>
      <c r="I200" s="110" t="e">
        <f>VLOOKUP($A22,'Template IF 2'!$B$3:$HH$112,132,FALSE)</f>
        <v>#N/A</v>
      </c>
      <c r="J200" s="110" t="e">
        <f>VLOOKUP($A22,'Template IF 2'!$B$3:$HH$112,133,FALSE)</f>
        <v>#N/A</v>
      </c>
      <c r="K200" s="110" t="e">
        <f>VLOOKUP($A22,'Template IF 2'!$B$3:$HH$112,134,FALSE)</f>
        <v>#N/A</v>
      </c>
      <c r="L200" s="103"/>
      <c r="N200"/>
      <c r="O200"/>
      <c r="P200"/>
      <c r="Q200"/>
      <c r="S200"/>
      <c r="T200"/>
      <c r="U200"/>
      <c r="V200"/>
      <c r="W200"/>
      <c r="X200"/>
      <c r="Y200"/>
      <c r="Z200"/>
      <c r="AA200"/>
      <c r="AB200"/>
      <c r="AC200"/>
      <c r="AD200"/>
      <c r="AE200"/>
      <c r="AF200"/>
    </row>
    <row r="201" spans="1:32" ht="14.1" customHeight="1" x14ac:dyDescent="0.2">
      <c r="A201" s="107" t="str">
        <f>A24</f>
        <v>None</v>
      </c>
      <c r="B201" s="110" t="e">
        <f>VLOOKUP($A24,'Template IF 2'!$B$3:$HH$112,126,FALSE)</f>
        <v>#N/A</v>
      </c>
      <c r="C201" s="110" t="e">
        <f>VLOOKUP($A24,'Template IF 2'!$B$3:$HH$112,127,FALSE)</f>
        <v>#N/A</v>
      </c>
      <c r="D201" s="110" t="e">
        <f>VLOOKUP($A24,'Template IF 2'!$B$3:$HH$112,128,FALSE)</f>
        <v>#N/A</v>
      </c>
      <c r="E201" s="110" t="e">
        <f>VLOOKUP($A24,'Template IF 2'!$B$3:$HH$112,129,FALSE)</f>
        <v>#N/A</v>
      </c>
      <c r="F201" s="110" t="e">
        <f>VLOOKUP($A24,'Template IF 2'!$B$3:$HH$112,130,FALSE)</f>
        <v>#N/A</v>
      </c>
      <c r="G201" s="103"/>
      <c r="H201" s="110" t="e">
        <f>VLOOKUP($A24,'Template IF 2'!$B$3:$HH$112,131,FALSE)</f>
        <v>#N/A</v>
      </c>
      <c r="I201" s="110" t="e">
        <f>VLOOKUP($A24,'Template IF 2'!$B$3:$HH$112,132,FALSE)</f>
        <v>#N/A</v>
      </c>
      <c r="J201" s="110" t="e">
        <f>VLOOKUP($A24,'Template IF 2'!$B$3:$HH$112,133,FALSE)</f>
        <v>#N/A</v>
      </c>
      <c r="K201" s="110" t="e">
        <f>VLOOKUP($A24,'Template IF 2'!$B$3:$HH$112,134,FALSE)</f>
        <v>#N/A</v>
      </c>
      <c r="L201" s="103"/>
      <c r="N201"/>
      <c r="O201"/>
      <c r="P201"/>
      <c r="Q201"/>
      <c r="S201"/>
      <c r="T201"/>
      <c r="U201"/>
      <c r="V201"/>
      <c r="W201"/>
      <c r="X201"/>
      <c r="Y201"/>
      <c r="Z201"/>
      <c r="AA201"/>
      <c r="AB201"/>
      <c r="AC201"/>
      <c r="AD201"/>
      <c r="AE201"/>
      <c r="AF201"/>
    </row>
    <row r="202" spans="1:32" ht="14.1" customHeight="1" x14ac:dyDescent="0.2">
      <c r="A202" s="94" t="str">
        <f>A26</f>
        <v>None</v>
      </c>
      <c r="B202" s="125" t="e">
        <f>VLOOKUP($A26,'Template IF 2'!$B$3:$HH$112,126,FALSE)</f>
        <v>#N/A</v>
      </c>
      <c r="C202" s="125" t="e">
        <f>VLOOKUP($A26,'Template IF 2'!$B$3:$HH$112,127,FALSE)</f>
        <v>#N/A</v>
      </c>
      <c r="D202" s="125" t="e">
        <f>VLOOKUP($A26,'Template IF 2'!$B$3:$HH$112,128,FALSE)</f>
        <v>#N/A</v>
      </c>
      <c r="E202" s="125" t="e">
        <f>VLOOKUP($A26,'Template IF 2'!$B$3:$HH$112,129,FALSE)</f>
        <v>#N/A</v>
      </c>
      <c r="F202" s="125" t="e">
        <f>VLOOKUP($A26,'Template IF 2'!$B$3:$HH$112,130,FALSE)</f>
        <v>#N/A</v>
      </c>
      <c r="G202" s="103"/>
      <c r="H202" s="125" t="e">
        <f>VLOOKUP($A26,'Template IF 2'!$B$3:$HH$112,131,FALSE)</f>
        <v>#N/A</v>
      </c>
      <c r="I202" s="125" t="e">
        <f>VLOOKUP($A26,'Template IF 2'!$B$3:$HH$112,132,FALSE)</f>
        <v>#N/A</v>
      </c>
      <c r="J202" s="125" t="e">
        <f>VLOOKUP($A26,'Template IF 2'!$B$3:$HH$112,133,FALSE)</f>
        <v>#N/A</v>
      </c>
      <c r="K202" s="125" t="e">
        <f>VLOOKUP($A26,'Template IF 2'!$B$3:$HH$112,134,FALSE)</f>
        <v>#N/A</v>
      </c>
      <c r="L202" s="103"/>
      <c r="N202"/>
      <c r="O202"/>
      <c r="P202"/>
      <c r="Q202"/>
      <c r="S202"/>
      <c r="T202"/>
      <c r="U202"/>
      <c r="V202"/>
      <c r="W202"/>
      <c r="X202"/>
      <c r="Y202"/>
      <c r="Z202"/>
      <c r="AA202"/>
      <c r="AB202"/>
      <c r="AC202"/>
      <c r="AD202"/>
      <c r="AE202"/>
      <c r="AF202"/>
    </row>
    <row r="203" spans="1:32" x14ac:dyDescent="0.2">
      <c r="A203" s="208" t="s">
        <v>177</v>
      </c>
      <c r="B203" s="99"/>
      <c r="C203" s="99"/>
      <c r="D203" s="99"/>
      <c r="E203" s="99"/>
      <c r="F203" s="99"/>
      <c r="G203" s="95"/>
      <c r="H203" s="209" t="s">
        <v>170</v>
      </c>
      <c r="I203" s="95"/>
      <c r="J203" s="95"/>
      <c r="K203" s="95"/>
      <c r="L203" s="95"/>
      <c r="N203"/>
      <c r="O203"/>
      <c r="P203"/>
      <c r="Q203"/>
      <c r="S203"/>
      <c r="T203"/>
      <c r="U203"/>
      <c r="V203"/>
      <c r="W203"/>
      <c r="X203"/>
      <c r="Y203"/>
      <c r="Z203"/>
      <c r="AA203"/>
      <c r="AB203"/>
      <c r="AC203"/>
      <c r="AD203"/>
      <c r="AE203"/>
      <c r="AF203"/>
    </row>
    <row r="204" spans="1:32" ht="14.25" x14ac:dyDescent="0.2">
      <c r="A204" s="197" t="s">
        <v>484</v>
      </c>
      <c r="B204" s="197"/>
      <c r="C204" s="197"/>
      <c r="D204" s="197"/>
      <c r="E204" s="197"/>
      <c r="F204" s="197"/>
      <c r="G204" s="197"/>
      <c r="H204" s="197"/>
      <c r="I204" s="197"/>
      <c r="J204" s="197"/>
      <c r="K204" s="197"/>
      <c r="L204" s="197"/>
      <c r="N204"/>
      <c r="O204"/>
      <c r="P204"/>
      <c r="Q204"/>
      <c r="S204"/>
      <c r="T204"/>
      <c r="U204"/>
      <c r="V204"/>
      <c r="W204"/>
      <c r="X204"/>
      <c r="Y204"/>
      <c r="Z204"/>
      <c r="AA204"/>
      <c r="AB204"/>
      <c r="AC204"/>
      <c r="AD204"/>
      <c r="AE204"/>
      <c r="AF204"/>
    </row>
    <row r="205" spans="1:32" x14ac:dyDescent="0.2">
      <c r="A205" s="93"/>
      <c r="B205" s="95"/>
      <c r="C205" s="95"/>
      <c r="D205" s="95"/>
      <c r="E205" s="95"/>
      <c r="F205" s="95"/>
      <c r="G205" s="95"/>
      <c r="H205" s="95"/>
      <c r="I205" s="95"/>
      <c r="J205" s="95"/>
      <c r="K205" s="95"/>
      <c r="L205" s="95"/>
      <c r="N205"/>
      <c r="O205"/>
      <c r="P205"/>
      <c r="Q205"/>
      <c r="S205"/>
      <c r="T205"/>
      <c r="U205"/>
      <c r="V205"/>
      <c r="W205"/>
      <c r="X205"/>
      <c r="Y205"/>
      <c r="Z205"/>
      <c r="AA205"/>
      <c r="AB205"/>
      <c r="AC205"/>
      <c r="AD205"/>
      <c r="AE205"/>
      <c r="AF205"/>
    </row>
    <row r="206" spans="1:32" x14ac:dyDescent="0.2">
      <c r="A206" s="107"/>
      <c r="B206" s="195" t="s">
        <v>16</v>
      </c>
      <c r="C206" s="195"/>
      <c r="D206" s="195"/>
      <c r="E206" s="195"/>
      <c r="F206" s="133"/>
      <c r="G206" s="95"/>
      <c r="H206" s="195" t="s">
        <v>515</v>
      </c>
      <c r="I206" s="195"/>
      <c r="J206" s="195"/>
      <c r="K206" s="195"/>
      <c r="L206" s="195"/>
      <c r="N206"/>
      <c r="O206"/>
      <c r="P206"/>
      <c r="Q206"/>
      <c r="S206"/>
      <c r="T206"/>
      <c r="U206"/>
      <c r="V206"/>
      <c r="W206"/>
      <c r="X206"/>
      <c r="Y206"/>
      <c r="Z206"/>
      <c r="AA206"/>
      <c r="AB206"/>
      <c r="AC206"/>
      <c r="AD206"/>
      <c r="AE206"/>
      <c r="AF206"/>
    </row>
    <row r="207" spans="1:32" ht="24" x14ac:dyDescent="0.2">
      <c r="A207" s="94"/>
      <c r="B207" s="134" t="s">
        <v>510</v>
      </c>
      <c r="C207" s="134" t="s">
        <v>511</v>
      </c>
      <c r="D207" s="134" t="s">
        <v>512</v>
      </c>
      <c r="E207" s="134" t="s">
        <v>513</v>
      </c>
      <c r="F207" s="97"/>
      <c r="G207" s="96"/>
      <c r="H207" s="97" t="s">
        <v>32</v>
      </c>
      <c r="I207" s="97" t="s">
        <v>47</v>
      </c>
      <c r="J207" s="97" t="s">
        <v>44</v>
      </c>
      <c r="K207" s="97" t="s">
        <v>35</v>
      </c>
      <c r="L207" s="97" t="s">
        <v>55</v>
      </c>
      <c r="N207"/>
      <c r="O207"/>
      <c r="P207"/>
      <c r="Q207"/>
      <c r="S207"/>
      <c r="T207"/>
      <c r="U207"/>
      <c r="V207"/>
      <c r="W207"/>
      <c r="X207"/>
      <c r="Y207"/>
      <c r="Z207"/>
      <c r="AA207"/>
      <c r="AB207"/>
      <c r="AC207"/>
      <c r="AD207"/>
      <c r="AE207"/>
      <c r="AF207"/>
    </row>
    <row r="208" spans="1:32" ht="14.1" customHeight="1" x14ac:dyDescent="0.2">
      <c r="A208" s="107" t="s">
        <v>29</v>
      </c>
      <c r="B208" s="110">
        <f>'Template IF 2'!EF3</f>
        <v>184221</v>
      </c>
      <c r="C208" s="110">
        <f>'Template IF 2'!EG3</f>
        <v>189162</v>
      </c>
      <c r="D208" s="110">
        <f>'Template IF 2'!EH3</f>
        <v>186162</v>
      </c>
      <c r="E208" s="110">
        <f>'Template IF 2'!EI3</f>
        <v>194908</v>
      </c>
      <c r="F208" s="103"/>
      <c r="G208" s="103"/>
      <c r="H208" s="110">
        <f>'Template IF 2'!EJ3</f>
        <v>37730</v>
      </c>
      <c r="I208" s="110">
        <f>'Template IF 2'!EK3</f>
        <v>1090</v>
      </c>
      <c r="J208" s="110">
        <f>'Template IF 2'!EL3</f>
        <v>484</v>
      </c>
      <c r="K208" s="110">
        <f>'Template IF 2'!EM3</f>
        <v>515</v>
      </c>
      <c r="L208" s="110">
        <f>'Template IF 2'!EN3</f>
        <v>354</v>
      </c>
      <c r="N208"/>
      <c r="O208"/>
      <c r="P208"/>
      <c r="Q208"/>
      <c r="S208"/>
      <c r="T208"/>
      <c r="U208"/>
      <c r="V208"/>
      <c r="W208"/>
      <c r="X208"/>
      <c r="Y208"/>
      <c r="Z208"/>
      <c r="AA208"/>
      <c r="AB208"/>
      <c r="AC208"/>
      <c r="AD208"/>
      <c r="AE208"/>
      <c r="AF208"/>
    </row>
    <row r="209" spans="1:32" ht="14.1" customHeight="1" x14ac:dyDescent="0.2">
      <c r="A209" s="107" t="str">
        <f>A16</f>
        <v>None</v>
      </c>
      <c r="B209" s="110" t="e">
        <f>VLOOKUP($A16,'Template IF 2'!$B$3:$HH$112,135,FALSE)</f>
        <v>#N/A</v>
      </c>
      <c r="C209" s="110" t="e">
        <f>VLOOKUP($A16,'Template IF 2'!$B$3:$HH$112,136,FALSE)</f>
        <v>#N/A</v>
      </c>
      <c r="D209" s="110" t="e">
        <f>VLOOKUP($A16,'Template IF 2'!$B$3:$HH$112,137,FALSE)</f>
        <v>#N/A</v>
      </c>
      <c r="E209" s="110" t="e">
        <f>VLOOKUP($A16,'Template IF 2'!$B$3:$HH$112,138,FALSE)</f>
        <v>#N/A</v>
      </c>
      <c r="F209" s="103"/>
      <c r="G209" s="103"/>
      <c r="H209" s="110" t="e">
        <f>VLOOKUP($A16,'Template IF 2'!$B$3:$HH$112,139,FALSE)</f>
        <v>#N/A</v>
      </c>
      <c r="I209" s="110" t="e">
        <f>VLOOKUP($A16,'Template IF 2'!$B$3:$HH$112,140,FALSE)</f>
        <v>#N/A</v>
      </c>
      <c r="J209" s="110" t="e">
        <f>VLOOKUP($A16,'Template IF 2'!$B$3:$HH$112,141,FALSE)</f>
        <v>#N/A</v>
      </c>
      <c r="K209" s="110" t="e">
        <f>VLOOKUP($A16,'Template IF 2'!$B$3:$HH$112,142,FALSE)</f>
        <v>#N/A</v>
      </c>
      <c r="L209" s="110" t="e">
        <f>VLOOKUP($A16,'Template IF 2'!$B$3:$HH$112,143,FALSE)</f>
        <v>#N/A</v>
      </c>
      <c r="N209"/>
      <c r="O209"/>
      <c r="P209"/>
      <c r="Q209"/>
      <c r="S209"/>
      <c r="T209"/>
      <c r="U209"/>
      <c r="V209"/>
      <c r="W209"/>
      <c r="X209"/>
      <c r="Y209"/>
      <c r="Z209"/>
      <c r="AA209"/>
      <c r="AB209"/>
      <c r="AC209"/>
      <c r="AD209"/>
      <c r="AE209"/>
      <c r="AF209"/>
    </row>
    <row r="210" spans="1:32" ht="14.1" customHeight="1" x14ac:dyDescent="0.2">
      <c r="A210" s="107" t="str">
        <f>A18</f>
        <v>None</v>
      </c>
      <c r="B210" s="110" t="e">
        <f>VLOOKUP($A18,'Template IF 2'!$B$3:$HH$112,135,FALSE)</f>
        <v>#N/A</v>
      </c>
      <c r="C210" s="110" t="e">
        <f>VLOOKUP($A18,'Template IF 2'!$B$3:$HH$112,136,FALSE)</f>
        <v>#N/A</v>
      </c>
      <c r="D210" s="110" t="e">
        <f>VLOOKUP($A18,'Template IF 2'!$B$3:$HH$112,137,FALSE)</f>
        <v>#N/A</v>
      </c>
      <c r="E210" s="110" t="e">
        <f>VLOOKUP($A18,'Template IF 2'!$B$3:$HH$112,138,FALSE)</f>
        <v>#N/A</v>
      </c>
      <c r="F210" s="103"/>
      <c r="G210" s="103"/>
      <c r="H210" s="110" t="e">
        <f>VLOOKUP($A18,'Template IF 2'!$B$3:$HH$112,139,FALSE)</f>
        <v>#N/A</v>
      </c>
      <c r="I210" s="110" t="e">
        <f>VLOOKUP($A18,'Template IF 2'!$B$3:$HH$112,140,FALSE)</f>
        <v>#N/A</v>
      </c>
      <c r="J210" s="110" t="e">
        <f>VLOOKUP($A18,'Template IF 2'!$B$3:$HH$112,141,FALSE)</f>
        <v>#N/A</v>
      </c>
      <c r="K210" s="110" t="e">
        <f>VLOOKUP($A18,'Template IF 2'!$B$3:$HH$112,142,FALSE)</f>
        <v>#N/A</v>
      </c>
      <c r="L210" s="110" t="e">
        <f>VLOOKUP($A18,'Template IF 2'!$B$3:$HH$112,143,FALSE)</f>
        <v>#N/A</v>
      </c>
      <c r="N210"/>
      <c r="O210"/>
      <c r="P210"/>
      <c r="Q210"/>
      <c r="S210"/>
      <c r="T210"/>
      <c r="U210"/>
      <c r="V210"/>
      <c r="W210"/>
      <c r="X210"/>
      <c r="Y210"/>
      <c r="Z210"/>
      <c r="AA210"/>
      <c r="AB210"/>
      <c r="AC210"/>
      <c r="AD210"/>
      <c r="AE210"/>
      <c r="AF210"/>
    </row>
    <row r="211" spans="1:32" ht="14.1" customHeight="1" x14ac:dyDescent="0.2">
      <c r="A211" s="107" t="str">
        <f>A20</f>
        <v>None</v>
      </c>
      <c r="B211" s="110" t="e">
        <f>VLOOKUP($A20,'Template IF 2'!$B$3:$HH$112,135,FALSE)</f>
        <v>#N/A</v>
      </c>
      <c r="C211" s="110" t="e">
        <f>VLOOKUP($A20,'Template IF 2'!$B$3:$HH$112,136,FALSE)</f>
        <v>#N/A</v>
      </c>
      <c r="D211" s="110" t="e">
        <f>VLOOKUP($A20,'Template IF 2'!$B$3:$HH$112,137,FALSE)</f>
        <v>#N/A</v>
      </c>
      <c r="E211" s="110" t="e">
        <f>VLOOKUP($A20,'Template IF 2'!$B$3:$HH$112,138,FALSE)</f>
        <v>#N/A</v>
      </c>
      <c r="F211" s="103"/>
      <c r="G211" s="103"/>
      <c r="H211" s="110" t="e">
        <f>VLOOKUP($A20,'Template IF 2'!$B$3:$HH$112,139,FALSE)</f>
        <v>#N/A</v>
      </c>
      <c r="I211" s="110" t="e">
        <f>VLOOKUP($A20,'Template IF 2'!$B$3:$HH$112,140,FALSE)</f>
        <v>#N/A</v>
      </c>
      <c r="J211" s="110" t="e">
        <f>VLOOKUP($A20,'Template IF 2'!$B$3:$HH$112,141,FALSE)</f>
        <v>#N/A</v>
      </c>
      <c r="K211" s="110" t="e">
        <f>VLOOKUP($A20,'Template IF 2'!$B$3:$HH$112,142,FALSE)</f>
        <v>#N/A</v>
      </c>
      <c r="L211" s="110" t="e">
        <f>VLOOKUP($A20,'Template IF 2'!$B$3:$HH$112,143,FALSE)</f>
        <v>#N/A</v>
      </c>
      <c r="N211"/>
      <c r="O211"/>
      <c r="P211"/>
      <c r="Q211"/>
      <c r="S211"/>
      <c r="T211"/>
      <c r="U211"/>
      <c r="V211"/>
      <c r="W211"/>
      <c r="X211"/>
      <c r="Y211"/>
      <c r="Z211"/>
      <c r="AA211"/>
      <c r="AB211"/>
      <c r="AC211"/>
      <c r="AD211"/>
      <c r="AE211"/>
      <c r="AF211"/>
    </row>
    <row r="212" spans="1:32" ht="14.1" customHeight="1" x14ac:dyDescent="0.2">
      <c r="A212" s="107" t="str">
        <f>A22</f>
        <v>None</v>
      </c>
      <c r="B212" s="110" t="e">
        <f>VLOOKUP($A22,'Template IF 2'!$B$3:$HH$112,135,FALSE)</f>
        <v>#N/A</v>
      </c>
      <c r="C212" s="110" t="e">
        <f>VLOOKUP($A22,'Template IF 2'!$B$3:$HH$112,136,FALSE)</f>
        <v>#N/A</v>
      </c>
      <c r="D212" s="110" t="e">
        <f>VLOOKUP($A22,'Template IF 2'!$B$3:$HH$112,137,FALSE)</f>
        <v>#N/A</v>
      </c>
      <c r="E212" s="110" t="e">
        <f>VLOOKUP($A22,'Template IF 2'!$B$3:$HH$112,138,FALSE)</f>
        <v>#N/A</v>
      </c>
      <c r="F212" s="103"/>
      <c r="G212" s="103"/>
      <c r="H212" s="110" t="e">
        <f>VLOOKUP($A22,'Template IF 2'!$B$3:$HH$112,139,FALSE)</f>
        <v>#N/A</v>
      </c>
      <c r="I212" s="110" t="e">
        <f>VLOOKUP($A22,'Template IF 2'!$B$3:$HH$112,140,FALSE)</f>
        <v>#N/A</v>
      </c>
      <c r="J212" s="110" t="e">
        <f>VLOOKUP($A22,'Template IF 2'!$B$3:$HH$112,141,FALSE)</f>
        <v>#N/A</v>
      </c>
      <c r="K212" s="110" t="e">
        <f>VLOOKUP($A22,'Template IF 2'!$B$3:$HH$112,142,FALSE)</f>
        <v>#N/A</v>
      </c>
      <c r="L212" s="110" t="e">
        <f>VLOOKUP($A22,'Template IF 2'!$B$3:$HH$112,143,FALSE)</f>
        <v>#N/A</v>
      </c>
      <c r="N212"/>
      <c r="O212"/>
      <c r="P212"/>
      <c r="Q212"/>
      <c r="S212"/>
      <c r="T212"/>
      <c r="U212"/>
      <c r="V212"/>
      <c r="W212"/>
      <c r="X212"/>
      <c r="Y212"/>
      <c r="Z212"/>
      <c r="AA212"/>
      <c r="AB212"/>
      <c r="AC212"/>
      <c r="AD212"/>
      <c r="AE212"/>
      <c r="AF212"/>
    </row>
    <row r="213" spans="1:32" ht="14.1" customHeight="1" x14ac:dyDescent="0.2">
      <c r="A213" s="107" t="str">
        <f>A24</f>
        <v>None</v>
      </c>
      <c r="B213" s="110" t="e">
        <f>VLOOKUP($A24,'Template IF 2'!$B$3:$HH$112,135,FALSE)</f>
        <v>#N/A</v>
      </c>
      <c r="C213" s="110" t="e">
        <f>VLOOKUP($A24,'Template IF 2'!$B$3:$HH$112,136,FALSE)</f>
        <v>#N/A</v>
      </c>
      <c r="D213" s="110" t="e">
        <f>VLOOKUP($A24,'Template IF 2'!$B$3:$HH$112,137,FALSE)</f>
        <v>#N/A</v>
      </c>
      <c r="E213" s="110" t="e">
        <f>VLOOKUP($A24,'Template IF 2'!$B$3:$HH$112,138,FALSE)</f>
        <v>#N/A</v>
      </c>
      <c r="F213" s="103"/>
      <c r="G213" s="103"/>
      <c r="H213" s="110" t="e">
        <f>VLOOKUP($A24,'Template IF 2'!$B$3:$HH$112,139,FALSE)</f>
        <v>#N/A</v>
      </c>
      <c r="I213" s="110" t="e">
        <f>VLOOKUP($A24,'Template IF 2'!$B$3:$HH$112,140,FALSE)</f>
        <v>#N/A</v>
      </c>
      <c r="J213" s="110" t="e">
        <f>VLOOKUP($A24,'Template IF 2'!$B$3:$HH$112,141,FALSE)</f>
        <v>#N/A</v>
      </c>
      <c r="K213" s="110" t="e">
        <f>VLOOKUP($A24,'Template IF 2'!$B$3:$HH$112,142,FALSE)</f>
        <v>#N/A</v>
      </c>
      <c r="L213" s="110" t="e">
        <f>VLOOKUP($A24,'Template IF 2'!$B$3:$HH$112,143,FALSE)</f>
        <v>#N/A</v>
      </c>
      <c r="N213"/>
      <c r="O213"/>
      <c r="P213"/>
      <c r="Q213"/>
      <c r="S213"/>
      <c r="T213"/>
      <c r="U213"/>
      <c r="V213"/>
      <c r="W213"/>
      <c r="X213"/>
      <c r="Y213"/>
      <c r="Z213"/>
      <c r="AA213"/>
      <c r="AB213"/>
      <c r="AC213"/>
      <c r="AD213"/>
      <c r="AE213"/>
      <c r="AF213"/>
    </row>
    <row r="214" spans="1:32" ht="14.1" customHeight="1" x14ac:dyDescent="0.2">
      <c r="A214" s="94" t="str">
        <f>A26</f>
        <v>None</v>
      </c>
      <c r="B214" s="125" t="e">
        <f>VLOOKUP($A26,'Template IF 2'!$B$3:$HH$112,135,FALSE)</f>
        <v>#N/A</v>
      </c>
      <c r="C214" s="125" t="e">
        <f>VLOOKUP($A26,'Template IF 2'!$B$3:$HH$112,136,FALSE)</f>
        <v>#N/A</v>
      </c>
      <c r="D214" s="125" t="e">
        <f>VLOOKUP($A26,'Template IF 2'!$B$3:$HH$112,137,FALSE)</f>
        <v>#N/A</v>
      </c>
      <c r="E214" s="125" t="e">
        <f>VLOOKUP($A26,'Template IF 2'!$B$3:$HH$112,138,FALSE)</f>
        <v>#N/A</v>
      </c>
      <c r="F214" s="114"/>
      <c r="G214" s="114"/>
      <c r="H214" s="125" t="e">
        <f>VLOOKUP($A26,'Template IF 2'!$B$3:$HH$112,139,FALSE)</f>
        <v>#N/A</v>
      </c>
      <c r="I214" s="125" t="e">
        <f>VLOOKUP($A26,'Template IF 2'!$B$3:$HH$112,140,FALSE)</f>
        <v>#N/A</v>
      </c>
      <c r="J214" s="125" t="e">
        <f>VLOOKUP($A26,'Template IF 2'!$B$3:$HH$112,141,FALSE)</f>
        <v>#N/A</v>
      </c>
      <c r="K214" s="125" t="e">
        <f>VLOOKUP($A26,'Template IF 2'!$B$3:$HH$112,142,FALSE)</f>
        <v>#N/A</v>
      </c>
      <c r="L214" s="125" t="e">
        <f>VLOOKUP($A26,'Template IF 2'!$B$3:$HH$112,143,FALSE)</f>
        <v>#N/A</v>
      </c>
      <c r="N214"/>
      <c r="O214"/>
      <c r="P214"/>
      <c r="Q214"/>
      <c r="S214"/>
      <c r="T214"/>
      <c r="U214"/>
      <c r="V214"/>
      <c r="W214"/>
      <c r="X214"/>
      <c r="Y214"/>
      <c r="Z214"/>
      <c r="AA214"/>
      <c r="AB214"/>
      <c r="AC214"/>
      <c r="AD214"/>
      <c r="AE214"/>
      <c r="AF214"/>
    </row>
    <row r="215" spans="1:32" x14ac:dyDescent="0.2">
      <c r="A215" s="107"/>
      <c r="B215" s="140"/>
      <c r="C215" s="140"/>
      <c r="D215" s="141"/>
      <c r="E215" s="141"/>
      <c r="F215" s="140"/>
      <c r="G215" s="95"/>
      <c r="H215" s="112"/>
      <c r="I215" s="112"/>
      <c r="J215" s="112"/>
      <c r="K215" s="112"/>
      <c r="L215" s="112"/>
      <c r="N215"/>
      <c r="O215"/>
      <c r="P215"/>
      <c r="Q215"/>
      <c r="S215"/>
      <c r="T215"/>
      <c r="U215"/>
      <c r="V215"/>
      <c r="W215"/>
      <c r="X215"/>
      <c r="Y215"/>
      <c r="Z215"/>
      <c r="AA215"/>
      <c r="AB215"/>
      <c r="AC215"/>
      <c r="AD215"/>
      <c r="AE215"/>
      <c r="AF215"/>
    </row>
    <row r="216" spans="1:32" x14ac:dyDescent="0.2">
      <c r="A216" s="107"/>
      <c r="B216" s="110"/>
      <c r="C216" s="110"/>
      <c r="D216" s="110"/>
      <c r="E216" s="110"/>
      <c r="F216" s="27"/>
      <c r="G216" s="95"/>
      <c r="H216" s="95"/>
      <c r="I216" s="95"/>
      <c r="J216" s="95"/>
      <c r="K216" s="95"/>
      <c r="L216" s="95"/>
      <c r="N216"/>
      <c r="O216"/>
      <c r="P216"/>
      <c r="Q216"/>
      <c r="S216"/>
      <c r="T216"/>
      <c r="U216"/>
      <c r="V216"/>
      <c r="W216"/>
      <c r="X216"/>
      <c r="Y216"/>
      <c r="Z216"/>
      <c r="AA216"/>
      <c r="AB216"/>
      <c r="AC216"/>
      <c r="AD216"/>
      <c r="AE216"/>
      <c r="AF216"/>
    </row>
    <row r="217" spans="1:32" x14ac:dyDescent="0.2">
      <c r="A217" s="107"/>
      <c r="B217" s="195" t="s">
        <v>154</v>
      </c>
      <c r="C217" s="195"/>
      <c r="D217" s="195"/>
      <c r="E217" s="195"/>
      <c r="F217" s="133"/>
      <c r="G217" s="95"/>
      <c r="H217" s="195" t="s">
        <v>53</v>
      </c>
      <c r="I217" s="195"/>
      <c r="J217" s="195"/>
      <c r="K217" s="195"/>
      <c r="L217" s="133"/>
      <c r="O217"/>
      <c r="P217"/>
      <c r="Q217"/>
      <c r="S217"/>
      <c r="T217"/>
      <c r="U217"/>
      <c r="V217"/>
      <c r="W217"/>
      <c r="X217"/>
      <c r="Y217"/>
      <c r="Z217"/>
      <c r="AA217"/>
      <c r="AB217"/>
      <c r="AC217"/>
      <c r="AD217"/>
      <c r="AE217"/>
      <c r="AF217"/>
    </row>
    <row r="218" spans="1:32" x14ac:dyDescent="0.2">
      <c r="A218" s="94"/>
      <c r="B218" s="134" t="s">
        <v>510</v>
      </c>
      <c r="C218" s="134" t="s">
        <v>511</v>
      </c>
      <c r="D218" s="134" t="s">
        <v>512</v>
      </c>
      <c r="E218" s="134" t="s">
        <v>513</v>
      </c>
      <c r="F218" s="96"/>
      <c r="G218" s="96"/>
      <c r="H218" s="134" t="s">
        <v>510</v>
      </c>
      <c r="I218" s="134" t="s">
        <v>511</v>
      </c>
      <c r="J218" s="134" t="s">
        <v>512</v>
      </c>
      <c r="K218" s="134" t="s">
        <v>513</v>
      </c>
      <c r="L218" s="103"/>
      <c r="O218"/>
      <c r="P218"/>
      <c r="Q218"/>
      <c r="S218"/>
      <c r="T218"/>
      <c r="U218"/>
      <c r="V218"/>
      <c r="W218"/>
      <c r="X218"/>
      <c r="Y218"/>
      <c r="Z218"/>
      <c r="AA218"/>
      <c r="AB218"/>
      <c r="AC218"/>
      <c r="AD218"/>
      <c r="AE218"/>
      <c r="AF218"/>
    </row>
    <row r="219" spans="1:32" ht="14.1" customHeight="1" x14ac:dyDescent="0.2">
      <c r="A219" s="107" t="s">
        <v>29</v>
      </c>
      <c r="B219" s="142">
        <f>'Template IF 2'!EO3</f>
        <v>799.0179705201183</v>
      </c>
      <c r="C219" s="108">
        <f>'Template IF 2'!EP3</f>
        <v>774.47134271382515</v>
      </c>
      <c r="D219" s="108">
        <f>'Template IF 2'!EQ3</f>
        <v>725.55561349752793</v>
      </c>
      <c r="E219" s="108">
        <f>'Template IF 2'!ER3</f>
        <v>732.83709463079299</v>
      </c>
      <c r="F219" s="103"/>
      <c r="G219" s="103"/>
      <c r="H219" s="108">
        <f>'Template IF 2'!ES3</f>
        <v>806.4</v>
      </c>
      <c r="I219" s="108">
        <f>'Template IF 2'!ET3</f>
        <v>761</v>
      </c>
      <c r="J219" s="108">
        <f>'Template IF 2'!EU3</f>
        <v>682.4</v>
      </c>
      <c r="K219" s="108">
        <f>'Template IF 2'!EV3</f>
        <v>657.7</v>
      </c>
      <c r="L219" s="103"/>
      <c r="O219"/>
      <c r="P219"/>
      <c r="Q219"/>
      <c r="S219"/>
      <c r="T219"/>
      <c r="U219"/>
      <c r="V219"/>
      <c r="W219"/>
      <c r="X219"/>
      <c r="Y219"/>
      <c r="Z219"/>
      <c r="AA219"/>
      <c r="AB219"/>
      <c r="AC219"/>
      <c r="AD219"/>
      <c r="AE219"/>
      <c r="AF219"/>
    </row>
    <row r="220" spans="1:32" ht="14.1" customHeight="1" x14ac:dyDescent="0.2">
      <c r="A220" s="107" t="str">
        <f>A16</f>
        <v>None</v>
      </c>
      <c r="B220" s="111" t="e">
        <f>VLOOKUP($A16,'Template IF 2'!$B$3:$HH$112,144,FALSE)</f>
        <v>#N/A</v>
      </c>
      <c r="C220" s="108" t="e">
        <f>VLOOKUP($A16,'Template IF 2'!$B$3:$HH$112,145,FALSE)</f>
        <v>#N/A</v>
      </c>
      <c r="D220" s="108" t="e">
        <f>VLOOKUP($A16,'Template IF 2'!$B$3:$HH$112,146,FALSE)</f>
        <v>#N/A</v>
      </c>
      <c r="E220" s="108" t="e">
        <f>VLOOKUP($A16,'Template IF 2'!$B$3:$HH$112,147,FALSE)</f>
        <v>#N/A</v>
      </c>
      <c r="F220" s="103"/>
      <c r="G220" s="103"/>
      <c r="H220" s="108" t="e">
        <f>VLOOKUP($A16,'Template IF 2'!$B$3:$HH$112,148,FALSE)</f>
        <v>#N/A</v>
      </c>
      <c r="I220" s="108" t="e">
        <f>VLOOKUP($A16,'Template IF 2'!$B$3:$HH$112,149,FALSE)</f>
        <v>#N/A</v>
      </c>
      <c r="J220" s="108" t="e">
        <f>VLOOKUP($A16,'Template IF 2'!$B$3:$HH$112,150,FALSE)</f>
        <v>#N/A</v>
      </c>
      <c r="K220" s="108" t="e">
        <f>VLOOKUP($A16,'Template IF 2'!$B$3:$HH$112,151,FALSE)</f>
        <v>#N/A</v>
      </c>
      <c r="L220" s="103"/>
      <c r="O220"/>
      <c r="P220"/>
      <c r="Q220"/>
      <c r="S220"/>
      <c r="T220"/>
      <c r="U220"/>
      <c r="V220"/>
      <c r="W220"/>
      <c r="X220"/>
      <c r="Y220"/>
      <c r="Z220"/>
      <c r="AA220"/>
      <c r="AB220"/>
      <c r="AC220"/>
      <c r="AD220"/>
      <c r="AE220"/>
      <c r="AF220"/>
    </row>
    <row r="221" spans="1:32" ht="14.1" customHeight="1" x14ac:dyDescent="0.2">
      <c r="A221" s="107" t="str">
        <f>A18</f>
        <v>None</v>
      </c>
      <c r="B221" s="111" t="e">
        <f>VLOOKUP($A18,'Template IF 2'!$B$3:$HH$112,144,FALSE)</f>
        <v>#N/A</v>
      </c>
      <c r="C221" s="108" t="e">
        <f>VLOOKUP($A18,'Template IF 2'!$B$3:$HH$112,145,FALSE)</f>
        <v>#N/A</v>
      </c>
      <c r="D221" s="108" t="e">
        <f>VLOOKUP($A18,'Template IF 2'!$B$3:$HH$112,146,FALSE)</f>
        <v>#N/A</v>
      </c>
      <c r="E221" s="108" t="e">
        <f>VLOOKUP($A18,'Template IF 2'!$B$3:$HH$112,147,FALSE)</f>
        <v>#N/A</v>
      </c>
      <c r="F221" s="103"/>
      <c r="G221" s="103"/>
      <c r="H221" s="108" t="e">
        <f>VLOOKUP($A18,'Template IF 2'!$B$3:$HH$112,148,FALSE)</f>
        <v>#N/A</v>
      </c>
      <c r="I221" s="108" t="e">
        <f>VLOOKUP($A18,'Template IF 2'!$B$3:$HH$112,149,FALSE)</f>
        <v>#N/A</v>
      </c>
      <c r="J221" s="108" t="e">
        <f>VLOOKUP($A18,'Template IF 2'!$B$3:$HH$112,150,FALSE)</f>
        <v>#N/A</v>
      </c>
      <c r="K221" s="108" t="e">
        <f>VLOOKUP($A18,'Template IF 2'!$B$3:$HH$112,151,FALSE)</f>
        <v>#N/A</v>
      </c>
      <c r="L221" s="103"/>
      <c r="O221"/>
      <c r="P221"/>
      <c r="Q221"/>
      <c r="S221"/>
      <c r="T221"/>
      <c r="U221"/>
      <c r="V221"/>
      <c r="W221"/>
      <c r="X221"/>
      <c r="Y221"/>
      <c r="Z221"/>
      <c r="AA221"/>
      <c r="AB221"/>
      <c r="AC221"/>
      <c r="AD221"/>
      <c r="AE221"/>
      <c r="AF221"/>
    </row>
    <row r="222" spans="1:32" ht="14.1" customHeight="1" x14ac:dyDescent="0.2">
      <c r="A222" s="107" t="str">
        <f>A20</f>
        <v>None</v>
      </c>
      <c r="B222" s="111" t="e">
        <f>VLOOKUP($A20,'Template IF 2'!$B$3:$HH$112,144,FALSE)</f>
        <v>#N/A</v>
      </c>
      <c r="C222" s="108" t="e">
        <f>VLOOKUP($A20,'Template IF 2'!$B$3:$HH$112,145,FALSE)</f>
        <v>#N/A</v>
      </c>
      <c r="D222" s="108" t="e">
        <f>VLOOKUP($A20,'Template IF 2'!$B$3:$HH$112,146,FALSE)</f>
        <v>#N/A</v>
      </c>
      <c r="E222" s="108" t="e">
        <f>VLOOKUP($A20,'Template IF 2'!$B$3:$HH$112,147,FALSE)</f>
        <v>#N/A</v>
      </c>
      <c r="F222" s="103"/>
      <c r="G222" s="103"/>
      <c r="H222" s="108" t="e">
        <f>VLOOKUP($A20,'Template IF 2'!$B$3:$HH$112,148,FALSE)</f>
        <v>#N/A</v>
      </c>
      <c r="I222" s="108" t="e">
        <f>VLOOKUP($A20,'Template IF 2'!$B$3:$HH$112,149,FALSE)</f>
        <v>#N/A</v>
      </c>
      <c r="J222" s="108" t="e">
        <f>VLOOKUP($A20,'Template IF 2'!$B$3:$HH$112,150,FALSE)</f>
        <v>#N/A</v>
      </c>
      <c r="K222" s="108" t="e">
        <f>VLOOKUP($A20,'Template IF 2'!$B$3:$HH$112,151,FALSE)</f>
        <v>#N/A</v>
      </c>
      <c r="L222" s="103"/>
      <c r="O222"/>
      <c r="P222"/>
      <c r="Q222"/>
      <c r="S222"/>
      <c r="T222"/>
      <c r="U222"/>
      <c r="V222"/>
      <c r="W222"/>
      <c r="X222"/>
      <c r="Y222"/>
      <c r="Z222"/>
      <c r="AA222"/>
      <c r="AB222"/>
      <c r="AC222"/>
      <c r="AD222"/>
      <c r="AE222"/>
      <c r="AF222"/>
    </row>
    <row r="223" spans="1:32" ht="14.1" customHeight="1" x14ac:dyDescent="0.2">
      <c r="A223" s="107" t="str">
        <f>A22</f>
        <v>None</v>
      </c>
      <c r="B223" s="111" t="e">
        <f>VLOOKUP($A22,'Template IF 2'!$B$3:$HH$112,144,FALSE)</f>
        <v>#N/A</v>
      </c>
      <c r="C223" s="108" t="e">
        <f>VLOOKUP($A22,'Template IF 2'!$B$3:$HH$112,145,FALSE)</f>
        <v>#N/A</v>
      </c>
      <c r="D223" s="108" t="e">
        <f>VLOOKUP($A22,'Template IF 2'!$B$3:$HH$112,146,FALSE)</f>
        <v>#N/A</v>
      </c>
      <c r="E223" s="108" t="e">
        <f>VLOOKUP($A22,'Template IF 2'!$B$3:$HH$112,147,FALSE)</f>
        <v>#N/A</v>
      </c>
      <c r="F223" s="103"/>
      <c r="G223" s="103"/>
      <c r="H223" s="108" t="e">
        <f>VLOOKUP($A22,'Template IF 2'!$B$3:$HH$112,148,FALSE)</f>
        <v>#N/A</v>
      </c>
      <c r="I223" s="108" t="e">
        <f>VLOOKUP($A22,'Template IF 2'!$B$3:$HH$112,149,FALSE)</f>
        <v>#N/A</v>
      </c>
      <c r="J223" s="108" t="e">
        <f>VLOOKUP($A22,'Template IF 2'!$B$3:$HH$112,150,FALSE)</f>
        <v>#N/A</v>
      </c>
      <c r="K223" s="108" t="e">
        <f>VLOOKUP($A22,'Template IF 2'!$B$3:$HH$112,151,FALSE)</f>
        <v>#N/A</v>
      </c>
      <c r="L223" s="103"/>
      <c r="O223"/>
      <c r="P223"/>
      <c r="Q223"/>
      <c r="S223"/>
      <c r="T223"/>
      <c r="U223"/>
      <c r="V223"/>
      <c r="W223"/>
      <c r="X223"/>
      <c r="Y223"/>
      <c r="Z223"/>
      <c r="AA223"/>
      <c r="AB223"/>
      <c r="AC223"/>
      <c r="AD223"/>
      <c r="AE223"/>
      <c r="AF223"/>
    </row>
    <row r="224" spans="1:32" ht="14.1" customHeight="1" x14ac:dyDescent="0.2">
      <c r="A224" s="107" t="str">
        <f>A24</f>
        <v>None</v>
      </c>
      <c r="B224" s="111" t="e">
        <f>VLOOKUP($A24,'Template IF 2'!$B$3:$HH$112,144,FALSE)</f>
        <v>#N/A</v>
      </c>
      <c r="C224" s="108" t="e">
        <f>VLOOKUP($A24,'Template IF 2'!$B$3:$HH$112,145,FALSE)</f>
        <v>#N/A</v>
      </c>
      <c r="D224" s="108" t="e">
        <f>VLOOKUP($A24,'Template IF 2'!$B$3:$HH$112,146,FALSE)</f>
        <v>#N/A</v>
      </c>
      <c r="E224" s="108" t="e">
        <f>VLOOKUP($A24,'Template IF 2'!$B$3:$HH$112,147,FALSE)</f>
        <v>#N/A</v>
      </c>
      <c r="F224" s="103"/>
      <c r="G224" s="103"/>
      <c r="H224" s="108" t="e">
        <f>VLOOKUP($A24,'Template IF 2'!$B$3:$HH$112,148,FALSE)</f>
        <v>#N/A</v>
      </c>
      <c r="I224" s="108" t="e">
        <f>VLOOKUP($A24,'Template IF 2'!$B$3:$HH$112,149,FALSE)</f>
        <v>#N/A</v>
      </c>
      <c r="J224" s="108" t="e">
        <f>VLOOKUP($A24,'Template IF 2'!$B$3:$HH$112,150,FALSE)</f>
        <v>#N/A</v>
      </c>
      <c r="K224" s="108" t="e">
        <f>VLOOKUP($A24,'Template IF 2'!$B$3:$HH$112,151,FALSE)</f>
        <v>#N/A</v>
      </c>
      <c r="L224" s="103"/>
      <c r="O224"/>
      <c r="P224"/>
      <c r="Q224"/>
      <c r="S224"/>
      <c r="T224"/>
      <c r="U224"/>
      <c r="V224"/>
      <c r="W224"/>
      <c r="X224"/>
      <c r="Y224"/>
      <c r="Z224"/>
      <c r="AA224"/>
      <c r="AB224"/>
      <c r="AC224"/>
      <c r="AD224"/>
      <c r="AE224"/>
      <c r="AF224"/>
    </row>
    <row r="225" spans="1:32" ht="14.1" customHeight="1" x14ac:dyDescent="0.2">
      <c r="A225" s="94" t="str">
        <f>A26</f>
        <v>None</v>
      </c>
      <c r="B225" s="113" t="e">
        <f>VLOOKUP($A26,'Template IF 2'!$B$3:$HH$112,144,FALSE)</f>
        <v>#N/A</v>
      </c>
      <c r="C225" s="143" t="e">
        <f>VLOOKUP($A26,'Template IF 2'!$B$3:$HH$112,145,FALSE)</f>
        <v>#N/A</v>
      </c>
      <c r="D225" s="143" t="e">
        <f>VLOOKUP($A26,'Template IF 2'!$B$3:$HH$112,146,FALSE)</f>
        <v>#N/A</v>
      </c>
      <c r="E225" s="143" t="e">
        <f>VLOOKUP($A26,'Template IF 2'!$B$3:$HH$112,147,FALSE)</f>
        <v>#N/A</v>
      </c>
      <c r="F225" s="114"/>
      <c r="G225" s="114"/>
      <c r="H225" s="143" t="e">
        <f>VLOOKUP($A26,'Template IF 2'!$B$3:$HH$112,148,FALSE)</f>
        <v>#N/A</v>
      </c>
      <c r="I225" s="143" t="e">
        <f>VLOOKUP($A26,'Template IF 2'!$B$3:$HH$112,149,FALSE)</f>
        <v>#N/A</v>
      </c>
      <c r="J225" s="143" t="e">
        <f>VLOOKUP($A26,'Template IF 2'!$B$3:$HH$112,150,FALSE)</f>
        <v>#N/A</v>
      </c>
      <c r="K225" s="143" t="e">
        <f>VLOOKUP($A26,'Template IF 2'!$B$3:$HH$112,151,FALSE)</f>
        <v>#N/A</v>
      </c>
      <c r="L225" s="103"/>
      <c r="O225"/>
      <c r="P225"/>
      <c r="Q225"/>
      <c r="S225"/>
      <c r="T225"/>
      <c r="U225"/>
      <c r="V225"/>
      <c r="W225"/>
      <c r="X225"/>
      <c r="Y225"/>
      <c r="Z225"/>
      <c r="AA225"/>
      <c r="AB225"/>
      <c r="AC225"/>
      <c r="AD225"/>
      <c r="AE225"/>
      <c r="AF225"/>
    </row>
    <row r="226" spans="1:32" x14ac:dyDescent="0.2">
      <c r="A226" s="93"/>
      <c r="B226" s="144"/>
      <c r="C226" s="144"/>
      <c r="D226" s="144"/>
      <c r="E226" s="144"/>
      <c r="F226" s="144"/>
      <c r="G226" s="95"/>
      <c r="H226" s="95"/>
      <c r="I226" s="95"/>
      <c r="J226" s="95"/>
      <c r="K226" s="95"/>
      <c r="L226" s="95"/>
      <c r="N226"/>
      <c r="O226"/>
      <c r="P226"/>
      <c r="Q226"/>
      <c r="S226"/>
      <c r="T226"/>
      <c r="U226"/>
      <c r="V226"/>
      <c r="W226"/>
      <c r="X226"/>
      <c r="Y226"/>
      <c r="Z226"/>
      <c r="AA226"/>
      <c r="AB226"/>
      <c r="AC226"/>
      <c r="AD226"/>
      <c r="AE226"/>
      <c r="AF226"/>
    </row>
    <row r="227" spans="1:32" x14ac:dyDescent="0.2">
      <c r="A227" s="107"/>
      <c r="B227" s="195" t="s">
        <v>522</v>
      </c>
      <c r="C227" s="195"/>
      <c r="D227" s="195"/>
      <c r="E227" s="195"/>
      <c r="F227" s="133"/>
      <c r="G227" s="95"/>
      <c r="H227" s="195" t="s">
        <v>523</v>
      </c>
      <c r="I227" s="195"/>
      <c r="J227" s="195"/>
      <c r="K227" s="195"/>
      <c r="L227" s="133"/>
      <c r="N227"/>
      <c r="O227"/>
    </row>
    <row r="228" spans="1:32" x14ac:dyDescent="0.2">
      <c r="A228" s="94"/>
      <c r="B228" s="134" t="s">
        <v>510</v>
      </c>
      <c r="C228" s="134" t="s">
        <v>511</v>
      </c>
      <c r="D228" s="134" t="s">
        <v>512</v>
      </c>
      <c r="E228" s="134" t="s">
        <v>513</v>
      </c>
      <c r="F228" s="96"/>
      <c r="G228" s="96"/>
      <c r="H228" s="134" t="s">
        <v>510</v>
      </c>
      <c r="I228" s="134" t="s">
        <v>511</v>
      </c>
      <c r="J228" s="134" t="s">
        <v>512</v>
      </c>
      <c r="K228" s="134" t="s">
        <v>513</v>
      </c>
      <c r="L228" s="27"/>
      <c r="N228"/>
      <c r="O228"/>
    </row>
    <row r="229" spans="1:32" ht="14.1" customHeight="1" x14ac:dyDescent="0.2">
      <c r="A229" s="107" t="s">
        <v>29</v>
      </c>
      <c r="B229" s="108">
        <f>'Template IF 2'!EW3</f>
        <v>1019.0552440571552</v>
      </c>
      <c r="C229" s="108">
        <f>'Template IF 2'!EX3</f>
        <v>927.97938849312095</v>
      </c>
      <c r="D229" s="108">
        <f>'Template IF 2'!EY3</f>
        <v>820.40119607691838</v>
      </c>
      <c r="E229" s="108">
        <f>'Template IF 2'!EZ3</f>
        <v>780.95962416574162</v>
      </c>
      <c r="F229" s="103"/>
      <c r="G229" s="103"/>
      <c r="H229" s="108">
        <f>'Template IF 2'!FA3</f>
        <v>656.61145646718342</v>
      </c>
      <c r="I229" s="108">
        <f>'Template IF 2'!FB3</f>
        <v>638.02100691230225</v>
      </c>
      <c r="J229" s="108">
        <f>'Template IF 2'!FC3</f>
        <v>577.0347135256618</v>
      </c>
      <c r="K229" s="108">
        <f>'Template IF 2'!FD3</f>
        <v>559.98669272683378</v>
      </c>
      <c r="L229" s="103"/>
    </row>
    <row r="230" spans="1:32" ht="14.1" customHeight="1" x14ac:dyDescent="0.2">
      <c r="A230" s="107" t="str">
        <f>A16</f>
        <v>None</v>
      </c>
      <c r="B230" s="108" t="e">
        <f>VLOOKUP($A16,'Template IF 2'!$B$3:$HH$112,152,FALSE)</f>
        <v>#N/A</v>
      </c>
      <c r="C230" s="108" t="e">
        <f>VLOOKUP($A16,'Template IF 2'!$B$3:$HH$112,153,FALSE)</f>
        <v>#N/A</v>
      </c>
      <c r="D230" s="108" t="e">
        <f>VLOOKUP($A16,'Template IF 2'!$B$3:$HH$112,154,FALSE)</f>
        <v>#N/A</v>
      </c>
      <c r="E230" s="108" t="e">
        <f>VLOOKUP($A16,'Template IF 2'!$B$3:$HH$112,155,FALSE)</f>
        <v>#N/A</v>
      </c>
      <c r="F230" s="103"/>
      <c r="G230" s="103"/>
      <c r="H230" s="108" t="e">
        <f>VLOOKUP($A16,'Template IF 2'!$B$3:$HH$112,156,FALSE)</f>
        <v>#N/A</v>
      </c>
      <c r="I230" s="108" t="e">
        <f>VLOOKUP($A16,'Template IF 2'!$B$3:$HH$112,157,FALSE)</f>
        <v>#N/A</v>
      </c>
      <c r="J230" s="108" t="e">
        <f>VLOOKUP($A16,'Template IF 2'!$B$3:$HH$112,158,FALSE)</f>
        <v>#N/A</v>
      </c>
      <c r="K230" s="108" t="e">
        <f>VLOOKUP($A16,'Template IF 2'!$B$3:$HH$112,159,FALSE)</f>
        <v>#N/A</v>
      </c>
      <c r="L230" s="103"/>
    </row>
    <row r="231" spans="1:32" ht="14.1" customHeight="1" x14ac:dyDescent="0.2">
      <c r="A231" s="107" t="str">
        <f>A18</f>
        <v>None</v>
      </c>
      <c r="B231" s="108" t="e">
        <f>VLOOKUP($A18,'Template IF 2'!$B$3:$HH$112,152,FALSE)</f>
        <v>#N/A</v>
      </c>
      <c r="C231" s="108" t="e">
        <f>VLOOKUP($A18,'Template IF 2'!$B$3:$HH$112,153,FALSE)</f>
        <v>#N/A</v>
      </c>
      <c r="D231" s="108" t="e">
        <f>VLOOKUP($A18,'Template IF 2'!$B$3:$HH$112,154,FALSE)</f>
        <v>#N/A</v>
      </c>
      <c r="E231" s="108" t="e">
        <f>VLOOKUP($A18,'Template IF 2'!$B$3:$HH$112,155,FALSE)</f>
        <v>#N/A</v>
      </c>
      <c r="F231" s="103"/>
      <c r="G231" s="103"/>
      <c r="H231" s="108" t="e">
        <f>VLOOKUP($A18,'Template IF 2'!$B$3:$HH$112,156,FALSE)</f>
        <v>#N/A</v>
      </c>
      <c r="I231" s="108" t="e">
        <f>VLOOKUP($A18,'Template IF 2'!$B$3:$HH$112,157,FALSE)</f>
        <v>#N/A</v>
      </c>
      <c r="J231" s="108" t="e">
        <f>VLOOKUP($A18,'Template IF 2'!$B$3:$HH$112,158,FALSE)</f>
        <v>#N/A</v>
      </c>
      <c r="K231" s="108" t="e">
        <f>VLOOKUP($A18,'Template IF 2'!$B$3:$HH$112,159,FALSE)</f>
        <v>#N/A</v>
      </c>
      <c r="L231" s="103"/>
    </row>
    <row r="232" spans="1:32" ht="14.1" customHeight="1" x14ac:dyDescent="0.2">
      <c r="A232" s="107" t="str">
        <f>A20</f>
        <v>None</v>
      </c>
      <c r="B232" s="108" t="e">
        <f>VLOOKUP($A20,'Template IF 2'!$B$3:$HH$112,152,FALSE)</f>
        <v>#N/A</v>
      </c>
      <c r="C232" s="108" t="e">
        <f>VLOOKUP($A20,'Template IF 2'!$B$3:$HH$112,153,FALSE)</f>
        <v>#N/A</v>
      </c>
      <c r="D232" s="108" t="e">
        <f>VLOOKUP($A20,'Template IF 2'!$B$3:$HH$112,154,FALSE)</f>
        <v>#N/A</v>
      </c>
      <c r="E232" s="108" t="e">
        <f>VLOOKUP($A20,'Template IF 2'!$B$3:$HH$112,155,FALSE)</f>
        <v>#N/A</v>
      </c>
      <c r="F232" s="103"/>
      <c r="G232" s="103"/>
      <c r="H232" s="108" t="e">
        <f>VLOOKUP($A20,'Template IF 2'!$B$3:$HH$112,156,FALSE)</f>
        <v>#N/A</v>
      </c>
      <c r="I232" s="108" t="e">
        <f>VLOOKUP($A20,'Template IF 2'!$B$3:$HH$112,157,FALSE)</f>
        <v>#N/A</v>
      </c>
      <c r="J232" s="108" t="e">
        <f>VLOOKUP($A20,'Template IF 2'!$B$3:$HH$112,158,FALSE)</f>
        <v>#N/A</v>
      </c>
      <c r="K232" s="108" t="e">
        <f>VLOOKUP($A20,'Template IF 2'!$B$3:$HH$112,159,FALSE)</f>
        <v>#N/A</v>
      </c>
      <c r="L232" s="103"/>
    </row>
    <row r="233" spans="1:32" ht="14.1" customHeight="1" x14ac:dyDescent="0.2">
      <c r="A233" s="107" t="str">
        <f>A22</f>
        <v>None</v>
      </c>
      <c r="B233" s="108" t="e">
        <f>VLOOKUP($A22,'Template IF 2'!$B$3:$HH$112,152,FALSE)</f>
        <v>#N/A</v>
      </c>
      <c r="C233" s="108" t="e">
        <f>VLOOKUP($A22,'Template IF 2'!$B$3:$HH$112,153,FALSE)</f>
        <v>#N/A</v>
      </c>
      <c r="D233" s="108" t="e">
        <f>VLOOKUP($A22,'Template IF 2'!$B$3:$HH$112,154,FALSE)</f>
        <v>#N/A</v>
      </c>
      <c r="E233" s="108" t="e">
        <f>VLOOKUP($A22,'Template IF 2'!$B$3:$HH$112,155,FALSE)</f>
        <v>#N/A</v>
      </c>
      <c r="F233" s="103"/>
      <c r="G233" s="103"/>
      <c r="H233" s="108" t="e">
        <f>VLOOKUP($A22,'Template IF 2'!$B$3:$HH$112,156,FALSE)</f>
        <v>#N/A</v>
      </c>
      <c r="I233" s="108" t="e">
        <f>VLOOKUP($A22,'Template IF 2'!$B$3:$HH$112,157,FALSE)</f>
        <v>#N/A</v>
      </c>
      <c r="J233" s="108" t="e">
        <f>VLOOKUP($A22,'Template IF 2'!$B$3:$HH$112,158,FALSE)</f>
        <v>#N/A</v>
      </c>
      <c r="K233" s="108" t="e">
        <f>VLOOKUP($A22,'Template IF 2'!$B$3:$HH$112,159,FALSE)</f>
        <v>#N/A</v>
      </c>
      <c r="L233" s="103"/>
    </row>
    <row r="234" spans="1:32" ht="14.1" customHeight="1" x14ac:dyDescent="0.2">
      <c r="A234" s="107" t="str">
        <f>A24</f>
        <v>None</v>
      </c>
      <c r="B234" s="108" t="e">
        <f>VLOOKUP($A24,'Template IF 2'!$B$3:$HH$112,152,FALSE)</f>
        <v>#N/A</v>
      </c>
      <c r="C234" s="108" t="e">
        <f>VLOOKUP($A24,'Template IF 2'!$B$3:$HH$112,153,FALSE)</f>
        <v>#N/A</v>
      </c>
      <c r="D234" s="108" t="e">
        <f>VLOOKUP($A24,'Template IF 2'!$B$3:$HH$112,154,FALSE)</f>
        <v>#N/A</v>
      </c>
      <c r="E234" s="108" t="e">
        <f>VLOOKUP($A24,'Template IF 2'!$B$3:$HH$112,155,FALSE)</f>
        <v>#N/A</v>
      </c>
      <c r="F234" s="103"/>
      <c r="G234" s="103"/>
      <c r="H234" s="108" t="e">
        <f>VLOOKUP($A24,'Template IF 2'!$B$3:$HH$112,156,FALSE)</f>
        <v>#N/A</v>
      </c>
      <c r="I234" s="108" t="e">
        <f>VLOOKUP($A24,'Template IF 2'!$B$3:$HH$112,157,FALSE)</f>
        <v>#N/A</v>
      </c>
      <c r="J234" s="108" t="e">
        <f>VLOOKUP($A24,'Template IF 2'!$B$3:$HH$112,158,FALSE)</f>
        <v>#N/A</v>
      </c>
      <c r="K234" s="108" t="e">
        <f>VLOOKUP($A24,'Template IF 2'!$B$3:$HH$112,159,FALSE)</f>
        <v>#N/A</v>
      </c>
      <c r="L234" s="103"/>
    </row>
    <row r="235" spans="1:32" ht="14.1" customHeight="1" x14ac:dyDescent="0.2">
      <c r="A235" s="94" t="str">
        <f>A26</f>
        <v>None</v>
      </c>
      <c r="B235" s="143" t="e">
        <f>VLOOKUP($A26,'Template IF 2'!$B$3:$HH$112,152,FALSE)</f>
        <v>#N/A</v>
      </c>
      <c r="C235" s="143" t="e">
        <f>VLOOKUP($A26,'Template IF 2'!$B$3:$HH$112,153,FALSE)</f>
        <v>#N/A</v>
      </c>
      <c r="D235" s="143" t="e">
        <f>VLOOKUP($A26,'Template IF 2'!$B$3:$HH$112,154,FALSE)</f>
        <v>#N/A</v>
      </c>
      <c r="E235" s="143" t="e">
        <f>VLOOKUP($A26,'Template IF 2'!$B$3:$HH$112,155,FALSE)</f>
        <v>#N/A</v>
      </c>
      <c r="F235" s="114"/>
      <c r="G235" s="114"/>
      <c r="H235" s="143" t="e">
        <f>VLOOKUP($A26,'Template IF 2'!$B$3:$HH$112,156,FALSE)</f>
        <v>#N/A</v>
      </c>
      <c r="I235" s="143" t="e">
        <f>VLOOKUP($A26,'Template IF 2'!$B$3:$HH$112,157,FALSE)</f>
        <v>#N/A</v>
      </c>
      <c r="J235" s="143" t="e">
        <f>VLOOKUP($A26,'Template IF 2'!$B$3:$HH$112,158,FALSE)</f>
        <v>#N/A</v>
      </c>
      <c r="K235" s="143" t="e">
        <f>VLOOKUP($A26,'Template IF 2'!$B$3:$HH$112,159,FALSE)</f>
        <v>#N/A</v>
      </c>
      <c r="L235" s="103"/>
    </row>
    <row r="236" spans="1:32" x14ac:dyDescent="0.2">
      <c r="A236" s="209" t="s">
        <v>170</v>
      </c>
      <c r="B236" s="210" t="s">
        <v>524</v>
      </c>
      <c r="C236" s="103"/>
      <c r="D236" s="103"/>
      <c r="E236" s="103"/>
      <c r="F236" s="103"/>
      <c r="G236" s="103"/>
      <c r="H236" s="210" t="s">
        <v>524</v>
      </c>
      <c r="I236" s="103"/>
      <c r="J236" s="103"/>
      <c r="K236" s="103"/>
      <c r="L236" s="103"/>
      <c r="N236"/>
      <c r="O236"/>
    </row>
    <row r="237" spans="1:32" ht="14.25" x14ac:dyDescent="0.2">
      <c r="A237" s="197" t="s">
        <v>484</v>
      </c>
      <c r="B237" s="197"/>
      <c r="C237" s="197"/>
      <c r="D237" s="197"/>
      <c r="E237" s="197"/>
      <c r="F237" s="197"/>
      <c r="G237" s="197"/>
      <c r="H237" s="197"/>
      <c r="I237" s="197"/>
      <c r="J237" s="197"/>
      <c r="K237" s="197"/>
      <c r="L237" s="197"/>
      <c r="N237"/>
      <c r="O237"/>
    </row>
    <row r="238" spans="1:32" x14ac:dyDescent="0.2">
      <c r="A238" s="107"/>
      <c r="B238" s="195" t="s">
        <v>49</v>
      </c>
      <c r="C238" s="195"/>
      <c r="D238" s="195"/>
      <c r="E238" s="195"/>
      <c r="F238" s="133"/>
      <c r="G238" s="27"/>
      <c r="H238" s="195" t="s">
        <v>152</v>
      </c>
      <c r="I238" s="195"/>
      <c r="J238" s="195"/>
      <c r="K238" s="195"/>
      <c r="L238" s="133"/>
      <c r="N238"/>
      <c r="O238"/>
    </row>
    <row r="239" spans="1:32" x14ac:dyDescent="0.2">
      <c r="A239" s="94"/>
      <c r="B239" s="134" t="s">
        <v>510</v>
      </c>
      <c r="C239" s="134" t="s">
        <v>511</v>
      </c>
      <c r="D239" s="134" t="s">
        <v>512</v>
      </c>
      <c r="E239" s="134" t="s">
        <v>513</v>
      </c>
      <c r="F239" s="96"/>
      <c r="G239" s="96"/>
      <c r="H239" s="134" t="s">
        <v>510</v>
      </c>
      <c r="I239" s="134" t="s">
        <v>511</v>
      </c>
      <c r="J239" s="134" t="s">
        <v>512</v>
      </c>
      <c r="K239" s="134" t="s">
        <v>513</v>
      </c>
      <c r="L239" s="27"/>
      <c r="N239"/>
      <c r="O239"/>
    </row>
    <row r="240" spans="1:32" ht="14.1" customHeight="1" x14ac:dyDescent="0.2">
      <c r="A240" s="107" t="s">
        <v>29</v>
      </c>
      <c r="B240" s="110">
        <f>'Template IF 2'!FE3</f>
        <v>43201</v>
      </c>
      <c r="C240" s="110">
        <f>'Template IF 2'!FF3</f>
        <v>44974</v>
      </c>
      <c r="D240" s="110">
        <f>'Template IF 2'!FG3</f>
        <v>45329</v>
      </c>
      <c r="E240" s="110">
        <f>'Template IF 2'!FH3</f>
        <v>47515</v>
      </c>
      <c r="F240" s="103"/>
      <c r="G240" s="103"/>
      <c r="H240" s="108">
        <f>'Template IF 2'!FI3</f>
        <v>194.1019</v>
      </c>
      <c r="I240" s="108">
        <f>'Template IF 2'!FJ3</f>
        <v>187.05529999999999</v>
      </c>
      <c r="J240" s="108">
        <f>'Template IF 2'!FK3</f>
        <v>172.89769999999999</v>
      </c>
      <c r="K240" s="108">
        <f>'Template IF 2'!FL3</f>
        <v>164.58529999999999</v>
      </c>
      <c r="L240" s="103"/>
      <c r="N240"/>
    </row>
    <row r="241" spans="1:24" ht="14.1" customHeight="1" x14ac:dyDescent="0.2">
      <c r="A241" s="107" t="str">
        <f>A16</f>
        <v>None</v>
      </c>
      <c r="B241" s="110" t="e">
        <f>VLOOKUP($A16,'Template IF 2'!$B$3:$HH$112,160,FALSE)</f>
        <v>#N/A</v>
      </c>
      <c r="C241" s="110" t="e">
        <f>VLOOKUP($A16,'Template IF 2'!$B$3:$HH$112,161,FALSE)</f>
        <v>#N/A</v>
      </c>
      <c r="D241" s="110" t="e">
        <f>VLOOKUP($A16,'Template IF 2'!$B$3:$HH$112,162,FALSE)</f>
        <v>#N/A</v>
      </c>
      <c r="E241" s="110" t="e">
        <f>VLOOKUP($A16,'Template IF 2'!$B$3:$HH$112,163,FALSE)</f>
        <v>#N/A</v>
      </c>
      <c r="F241" s="103"/>
      <c r="G241" s="103"/>
      <c r="H241" s="108" t="e">
        <f>VLOOKUP($A16,'Template IF 2'!$B$3:$HH$112,164,FALSE)</f>
        <v>#N/A</v>
      </c>
      <c r="I241" s="108" t="e">
        <f>VLOOKUP($A16,'Template IF 2'!$B$3:$HH$112,165,FALSE)</f>
        <v>#N/A</v>
      </c>
      <c r="J241" s="108" t="e">
        <f>VLOOKUP($A16,'Template IF 2'!$B$3:$HH$112,166,FALSE)</f>
        <v>#N/A</v>
      </c>
      <c r="K241" s="108" t="e">
        <f>VLOOKUP($A16,'Template IF 2'!$B$3:$HH$112,167,FALSE)</f>
        <v>#N/A</v>
      </c>
      <c r="L241" s="103"/>
      <c r="N241"/>
      <c r="O241"/>
    </row>
    <row r="242" spans="1:24" ht="14.1" customHeight="1" x14ac:dyDescent="0.2">
      <c r="A242" s="107" t="str">
        <f>A18</f>
        <v>None</v>
      </c>
      <c r="B242" s="110" t="e">
        <f>VLOOKUP($A18,'Template IF 2'!$B$3:$HH$112,160,FALSE)</f>
        <v>#N/A</v>
      </c>
      <c r="C242" s="110" t="e">
        <f>VLOOKUP($A18,'Template IF 2'!$B$3:$HH$112,161,FALSE)</f>
        <v>#N/A</v>
      </c>
      <c r="D242" s="110" t="e">
        <f>VLOOKUP($A18,'Template IF 2'!$B$3:$HH$112,162,FALSE)</f>
        <v>#N/A</v>
      </c>
      <c r="E242" s="110" t="e">
        <f>VLOOKUP($A18,'Template IF 2'!$B$3:$HH$112,163,FALSE)</f>
        <v>#N/A</v>
      </c>
      <c r="F242" s="103"/>
      <c r="G242" s="103"/>
      <c r="H242" s="108" t="e">
        <f>VLOOKUP($A18,'Template IF 2'!$B$3:$HH$112,164,FALSE)</f>
        <v>#N/A</v>
      </c>
      <c r="I242" s="108" t="e">
        <f>VLOOKUP($A18,'Template IF 2'!$B$3:$HH$112,165,FALSE)</f>
        <v>#N/A</v>
      </c>
      <c r="J242" s="108" t="e">
        <f>VLOOKUP($A18,'Template IF 2'!$B$3:$HH$112,166,FALSE)</f>
        <v>#N/A</v>
      </c>
      <c r="K242" s="108" t="e">
        <f>VLOOKUP($A18,'Template IF 2'!$B$3:$HH$112,167,FALSE)</f>
        <v>#N/A</v>
      </c>
      <c r="L242" s="103"/>
    </row>
    <row r="243" spans="1:24" ht="14.1" customHeight="1" x14ac:dyDescent="0.2">
      <c r="A243" s="107" t="str">
        <f>A20</f>
        <v>None</v>
      </c>
      <c r="B243" s="110" t="e">
        <f>VLOOKUP($A20,'Template IF 2'!$B$3:$HH$112,160,FALSE)</f>
        <v>#N/A</v>
      </c>
      <c r="C243" s="110" t="e">
        <f>VLOOKUP($A20,'Template IF 2'!$B$3:$HH$112,161,FALSE)</f>
        <v>#N/A</v>
      </c>
      <c r="D243" s="110" t="e">
        <f>VLOOKUP($A20,'Template IF 2'!$B$3:$HH$112,162,FALSE)</f>
        <v>#N/A</v>
      </c>
      <c r="E243" s="110" t="e">
        <f>VLOOKUP($A20,'Template IF 2'!$B$3:$HH$112,163,FALSE)</f>
        <v>#N/A</v>
      </c>
      <c r="F243" s="103"/>
      <c r="G243" s="103"/>
      <c r="H243" s="108" t="e">
        <f>VLOOKUP($A20,'Template IF 2'!$B$3:$HH$112,164,FALSE)</f>
        <v>#N/A</v>
      </c>
      <c r="I243" s="108" t="e">
        <f>VLOOKUP($A20,'Template IF 2'!$B$3:$HH$112,165,FALSE)</f>
        <v>#N/A</v>
      </c>
      <c r="J243" s="108" t="e">
        <f>VLOOKUP($A20,'Template IF 2'!$B$3:$HH$112,166,FALSE)</f>
        <v>#N/A</v>
      </c>
      <c r="K243" s="108" t="e">
        <f>VLOOKUP($A20,'Template IF 2'!$B$3:$HH$112,167,FALSE)</f>
        <v>#N/A</v>
      </c>
      <c r="L243" s="103"/>
    </row>
    <row r="244" spans="1:24" ht="14.1" customHeight="1" x14ac:dyDescent="0.2">
      <c r="A244" s="107" t="str">
        <f>A22</f>
        <v>None</v>
      </c>
      <c r="B244" s="110" t="e">
        <f>VLOOKUP($A22,'Template IF 2'!$B$3:$HH$112,160,FALSE)</f>
        <v>#N/A</v>
      </c>
      <c r="C244" s="110" t="e">
        <f>VLOOKUP($A22,'Template IF 2'!$B$3:$HH$112,161,FALSE)</f>
        <v>#N/A</v>
      </c>
      <c r="D244" s="110" t="e">
        <f>VLOOKUP($A22,'Template IF 2'!$B$3:$HH$112,162,FALSE)</f>
        <v>#N/A</v>
      </c>
      <c r="E244" s="110" t="e">
        <f>VLOOKUP($A22,'Template IF 2'!$B$3:$HH$112,163,FALSE)</f>
        <v>#N/A</v>
      </c>
      <c r="F244" s="103"/>
      <c r="G244" s="103"/>
      <c r="H244" s="108" t="e">
        <f>VLOOKUP($A22,'Template IF 2'!$B$3:$HH$112,164,FALSE)</f>
        <v>#N/A</v>
      </c>
      <c r="I244" s="108" t="e">
        <f>VLOOKUP($A22,'Template IF 2'!$B$3:$HH$112,165,FALSE)</f>
        <v>#N/A</v>
      </c>
      <c r="J244" s="108" t="e">
        <f>VLOOKUP($A22,'Template IF 2'!$B$3:$HH$112,166,FALSE)</f>
        <v>#N/A</v>
      </c>
      <c r="K244" s="108" t="e">
        <f>VLOOKUP($A22,'Template IF 2'!$B$3:$HH$112,167,FALSE)</f>
        <v>#N/A</v>
      </c>
      <c r="L244" s="103"/>
    </row>
    <row r="245" spans="1:24" ht="14.1" customHeight="1" x14ac:dyDescent="0.2">
      <c r="A245" s="107" t="str">
        <f>A24</f>
        <v>None</v>
      </c>
      <c r="B245" s="110" t="e">
        <f>VLOOKUP($A24,'Template IF 2'!$B$3:$HH$112,160,FALSE)</f>
        <v>#N/A</v>
      </c>
      <c r="C245" s="110" t="e">
        <f>VLOOKUP($A24,'Template IF 2'!$B$3:$HH$112,161,FALSE)</f>
        <v>#N/A</v>
      </c>
      <c r="D245" s="110" t="e">
        <f>VLOOKUP($A24,'Template IF 2'!$B$3:$HH$112,162,FALSE)</f>
        <v>#N/A</v>
      </c>
      <c r="E245" s="110" t="e">
        <f>VLOOKUP($A24,'Template IF 2'!$B$3:$HH$112,163,FALSE)</f>
        <v>#N/A</v>
      </c>
      <c r="F245" s="103"/>
      <c r="G245" s="103"/>
      <c r="H245" s="108" t="e">
        <f>VLOOKUP($A24,'Template IF 2'!$B$3:$HH$112,164,FALSE)</f>
        <v>#N/A</v>
      </c>
      <c r="I245" s="108" t="e">
        <f>VLOOKUP($A24,'Template IF 2'!$B$3:$HH$112,165,FALSE)</f>
        <v>#N/A</v>
      </c>
      <c r="J245" s="108" t="e">
        <f>VLOOKUP($A24,'Template IF 2'!$B$3:$HH$112,166,FALSE)</f>
        <v>#N/A</v>
      </c>
      <c r="K245" s="108" t="e">
        <f>VLOOKUP($A24,'Template IF 2'!$B$3:$HH$112,167,FALSE)</f>
        <v>#N/A</v>
      </c>
      <c r="L245" s="103"/>
    </row>
    <row r="246" spans="1:24" ht="14.1" customHeight="1" x14ac:dyDescent="0.2">
      <c r="A246" s="94" t="str">
        <f>A26</f>
        <v>None</v>
      </c>
      <c r="B246" s="125" t="e">
        <f>VLOOKUP($A26,'Template IF 2'!$B$3:$HH$112,160,FALSE)</f>
        <v>#N/A</v>
      </c>
      <c r="C246" s="125" t="e">
        <f>VLOOKUP($A26,'Template IF 2'!$B$3:$HH$112,161,FALSE)</f>
        <v>#N/A</v>
      </c>
      <c r="D246" s="125" t="e">
        <f>VLOOKUP($A26,'Template IF 2'!$B$3:$HH$112,162,FALSE)</f>
        <v>#N/A</v>
      </c>
      <c r="E246" s="125" t="e">
        <f>VLOOKUP($A26,'Template IF 2'!$B$3:$HH$112,163,FALSE)</f>
        <v>#N/A</v>
      </c>
      <c r="F246" s="114"/>
      <c r="G246" s="114"/>
      <c r="H246" s="143" t="e">
        <f>VLOOKUP($A26,'Template IF 2'!$B$3:$HH$112,164,FALSE)</f>
        <v>#N/A</v>
      </c>
      <c r="I246" s="143" t="e">
        <f>VLOOKUP($A26,'Template IF 2'!$B$3:$HH$112,165,FALSE)</f>
        <v>#N/A</v>
      </c>
      <c r="J246" s="143" t="e">
        <f>VLOOKUP($A26,'Template IF 2'!$B$3:$HH$112,166,FALSE)</f>
        <v>#N/A</v>
      </c>
      <c r="K246" s="143" t="e">
        <f>VLOOKUP($A26,'Template IF 2'!$B$3:$HH$112,167,FALSE)</f>
        <v>#N/A</v>
      </c>
      <c r="L246" s="103"/>
    </row>
    <row r="247" spans="1:24" ht="13.5" customHeight="1" x14ac:dyDescent="0.2">
      <c r="A247" s="107"/>
      <c r="B247" s="195" t="s">
        <v>48</v>
      </c>
      <c r="C247" s="195"/>
      <c r="D247" s="195"/>
      <c r="E247" s="195"/>
      <c r="F247" s="133"/>
      <c r="G247" s="95"/>
      <c r="H247" s="195" t="s">
        <v>151</v>
      </c>
      <c r="I247" s="195"/>
      <c r="J247" s="195"/>
      <c r="K247" s="195"/>
      <c r="L247" s="133"/>
    </row>
    <row r="248" spans="1:24" x14ac:dyDescent="0.2">
      <c r="A248" s="94"/>
      <c r="B248" s="134" t="s">
        <v>510</v>
      </c>
      <c r="C248" s="134" t="s">
        <v>511</v>
      </c>
      <c r="D248" s="134" t="s">
        <v>512</v>
      </c>
      <c r="E248" s="134" t="s">
        <v>513</v>
      </c>
      <c r="F248" s="96"/>
      <c r="G248" s="96"/>
      <c r="H248" s="134" t="s">
        <v>510</v>
      </c>
      <c r="I248" s="134" t="s">
        <v>511</v>
      </c>
      <c r="J248" s="134" t="s">
        <v>512</v>
      </c>
      <c r="K248" s="134" t="s">
        <v>513</v>
      </c>
      <c r="L248" s="136"/>
      <c r="N248"/>
      <c r="O248"/>
    </row>
    <row r="249" spans="1:24" ht="14.1" customHeight="1" x14ac:dyDescent="0.2">
      <c r="A249" s="107" t="s">
        <v>29</v>
      </c>
      <c r="B249" s="110">
        <f>'Template IF 2'!FM3</f>
        <v>50641</v>
      </c>
      <c r="C249" s="110">
        <f>'Template IF 2'!FN3</f>
        <v>45015</v>
      </c>
      <c r="D249" s="110">
        <f>'Template IF 2'!FO3</f>
        <v>39037</v>
      </c>
      <c r="E249" s="110">
        <f>'Template IF 2'!FP3</f>
        <v>36531</v>
      </c>
      <c r="F249" s="103"/>
      <c r="G249" s="103"/>
      <c r="H249" s="108">
        <f>'Template IF 2'!FQ3</f>
        <v>221.3083</v>
      </c>
      <c r="I249" s="108">
        <f>'Template IF 2'!FR3</f>
        <v>179.4469</v>
      </c>
      <c r="J249" s="108">
        <f>'Template IF 2'!FS3</f>
        <v>140.35499999999999</v>
      </c>
      <c r="K249" s="108">
        <f>'Template IF 2'!FT3</f>
        <v>120.69289999999999</v>
      </c>
      <c r="L249" s="103"/>
    </row>
    <row r="250" spans="1:24" ht="14.1" customHeight="1" x14ac:dyDescent="0.2">
      <c r="A250" s="107" t="str">
        <f>A16</f>
        <v>None</v>
      </c>
      <c r="B250" s="110" t="e">
        <f>VLOOKUP($A16,'Template IF 2'!$B$3:$HH$112,168,FALSE)</f>
        <v>#N/A</v>
      </c>
      <c r="C250" s="110" t="e">
        <f>VLOOKUP($A16,'Template IF 2'!$B$3:$HH$112,169,FALSE)</f>
        <v>#N/A</v>
      </c>
      <c r="D250" s="110" t="e">
        <f>VLOOKUP($A16,'Template IF 2'!$B$3:$HH$112,170,FALSE)</f>
        <v>#N/A</v>
      </c>
      <c r="E250" s="110" t="e">
        <f>VLOOKUP($A16,'Template IF 2'!$B$3:$HH$112,171,FALSE)</f>
        <v>#N/A</v>
      </c>
      <c r="F250" s="103"/>
      <c r="G250" s="103"/>
      <c r="H250" s="108" t="e">
        <f>VLOOKUP($A16,'Template IF 2'!$B$3:$HH$112,172,FALSE)</f>
        <v>#N/A</v>
      </c>
      <c r="I250" s="108" t="e">
        <f>VLOOKUP($A16,'Template IF 2'!$B$3:$HH$112,173,FALSE)</f>
        <v>#N/A</v>
      </c>
      <c r="J250" s="108" t="e">
        <f>VLOOKUP($A16,'Template IF 2'!$B$3:$HH$112,174,FALSE)</f>
        <v>#N/A</v>
      </c>
      <c r="K250" s="108" t="e">
        <f>VLOOKUP($A16,'Template IF 2'!$B$3:$HH$112,175,FALSE)</f>
        <v>#N/A</v>
      </c>
      <c r="L250" s="103"/>
    </row>
    <row r="251" spans="1:24" ht="14.1" customHeight="1" x14ac:dyDescent="0.2">
      <c r="A251" s="107" t="str">
        <f>A18</f>
        <v>None</v>
      </c>
      <c r="B251" s="110" t="e">
        <f>VLOOKUP($A18,'Template IF 2'!$B$3:$HH$112,168,FALSE)</f>
        <v>#N/A</v>
      </c>
      <c r="C251" s="110" t="e">
        <f>VLOOKUP($A18,'Template IF 2'!$B$3:$HH$112,169,FALSE)</f>
        <v>#N/A</v>
      </c>
      <c r="D251" s="110" t="e">
        <f>VLOOKUP($A18,'Template IF 2'!$B$3:$HH$112,170,FALSE)</f>
        <v>#N/A</v>
      </c>
      <c r="E251" s="110" t="e">
        <f>VLOOKUP($A18,'Template IF 2'!$B$3:$HH$112,171,FALSE)</f>
        <v>#N/A</v>
      </c>
      <c r="F251" s="103"/>
      <c r="G251" s="103"/>
      <c r="H251" s="108" t="e">
        <f>VLOOKUP($A18,'Template IF 2'!$B$3:$HH$112,172,FALSE)</f>
        <v>#N/A</v>
      </c>
      <c r="I251" s="108" t="e">
        <f>VLOOKUP($A18,'Template IF 2'!$B$3:$HH$112,173,FALSE)</f>
        <v>#N/A</v>
      </c>
      <c r="J251" s="108" t="e">
        <f>VLOOKUP($A18,'Template IF 2'!$B$3:$HH$112,174,FALSE)</f>
        <v>#N/A</v>
      </c>
      <c r="K251" s="108" t="e">
        <f>VLOOKUP($A18,'Template IF 2'!$B$3:$HH$112,175,FALSE)</f>
        <v>#N/A</v>
      </c>
      <c r="L251" s="103"/>
      <c r="M251" s="24"/>
      <c r="S251" s="24"/>
      <c r="T251" s="24"/>
      <c r="U251" s="24"/>
      <c r="V251" s="24"/>
      <c r="X251" s="24"/>
    </row>
    <row r="252" spans="1:24" ht="14.1" customHeight="1" x14ac:dyDescent="0.2">
      <c r="A252" s="107" t="str">
        <f>A20</f>
        <v>None</v>
      </c>
      <c r="B252" s="110" t="e">
        <f>VLOOKUP($A20,'Template IF 2'!$B$3:$HH$112,168,FALSE)</f>
        <v>#N/A</v>
      </c>
      <c r="C252" s="110" t="e">
        <f>VLOOKUP($A20,'Template IF 2'!$B$3:$HH$112,169,FALSE)</f>
        <v>#N/A</v>
      </c>
      <c r="D252" s="110" t="e">
        <f>VLOOKUP($A20,'Template IF 2'!$B$3:$HH$112,170,FALSE)</f>
        <v>#N/A</v>
      </c>
      <c r="E252" s="110" t="e">
        <f>VLOOKUP($A20,'Template IF 2'!$B$3:$HH$112,171,FALSE)</f>
        <v>#N/A</v>
      </c>
      <c r="F252" s="103"/>
      <c r="G252" s="103"/>
      <c r="H252" s="108" t="e">
        <f>VLOOKUP($A20,'Template IF 2'!$B$3:$HH$112,172,FALSE)</f>
        <v>#N/A</v>
      </c>
      <c r="I252" s="108" t="e">
        <f>VLOOKUP($A20,'Template IF 2'!$B$3:$HH$112,173,FALSE)</f>
        <v>#N/A</v>
      </c>
      <c r="J252" s="108" t="e">
        <f>VLOOKUP($A20,'Template IF 2'!$B$3:$HH$112,174,FALSE)</f>
        <v>#N/A</v>
      </c>
      <c r="K252" s="108" t="e">
        <f>VLOOKUP($A20,'Template IF 2'!$B$3:$HH$112,175,FALSE)</f>
        <v>#N/A</v>
      </c>
      <c r="L252" s="103"/>
      <c r="M252" s="24"/>
    </row>
    <row r="253" spans="1:24" ht="14.1" customHeight="1" x14ac:dyDescent="0.2">
      <c r="A253" s="107" t="str">
        <f>A22</f>
        <v>None</v>
      </c>
      <c r="B253" s="110" t="e">
        <f>VLOOKUP($A22,'Template IF 2'!$B$3:$HH$112,168,FALSE)</f>
        <v>#N/A</v>
      </c>
      <c r="C253" s="110" t="e">
        <f>VLOOKUP($A22,'Template IF 2'!$B$3:$HH$112,169,FALSE)</f>
        <v>#N/A</v>
      </c>
      <c r="D253" s="110" t="e">
        <f>VLOOKUP($A22,'Template IF 2'!$B$3:$HH$112,170,FALSE)</f>
        <v>#N/A</v>
      </c>
      <c r="E253" s="110" t="e">
        <f>VLOOKUP($A22,'Template IF 2'!$B$3:$HH$112,171,FALSE)</f>
        <v>#N/A</v>
      </c>
      <c r="F253" s="103"/>
      <c r="G253" s="103"/>
      <c r="H253" s="108" t="e">
        <f>VLOOKUP($A22,'Template IF 2'!$B$3:$HH$112,172,FALSE)</f>
        <v>#N/A</v>
      </c>
      <c r="I253" s="108" t="e">
        <f>VLOOKUP($A22,'Template IF 2'!$B$3:$HH$112,173,FALSE)</f>
        <v>#N/A</v>
      </c>
      <c r="J253" s="108" t="e">
        <f>VLOOKUP($A22,'Template IF 2'!$B$3:$HH$112,174,FALSE)</f>
        <v>#N/A</v>
      </c>
      <c r="K253" s="108" t="e">
        <f>VLOOKUP($A22,'Template IF 2'!$B$3:$HH$112,175,FALSE)</f>
        <v>#N/A</v>
      </c>
      <c r="L253" s="103"/>
    </row>
    <row r="254" spans="1:24" ht="14.1" customHeight="1" x14ac:dyDescent="0.2">
      <c r="A254" s="107" t="str">
        <f>A24</f>
        <v>None</v>
      </c>
      <c r="B254" s="110" t="e">
        <f>VLOOKUP($A24,'Template IF 2'!$B$3:$HH$112,168,FALSE)</f>
        <v>#N/A</v>
      </c>
      <c r="C254" s="110" t="e">
        <f>VLOOKUP($A24,'Template IF 2'!$B$3:$HH$112,169,FALSE)</f>
        <v>#N/A</v>
      </c>
      <c r="D254" s="110" t="e">
        <f>VLOOKUP($A24,'Template IF 2'!$B$3:$HH$112,170,FALSE)</f>
        <v>#N/A</v>
      </c>
      <c r="E254" s="110" t="e">
        <f>VLOOKUP($A24,'Template IF 2'!$B$3:$HH$112,171,FALSE)</f>
        <v>#N/A</v>
      </c>
      <c r="F254" s="103"/>
      <c r="G254" s="103"/>
      <c r="H254" s="108" t="e">
        <f>VLOOKUP($A24,'Template IF 2'!$B$3:$HH$112,172,FALSE)</f>
        <v>#N/A</v>
      </c>
      <c r="I254" s="108" t="e">
        <f>VLOOKUP($A24,'Template IF 2'!$B$3:$HH$112,173,FALSE)</f>
        <v>#N/A</v>
      </c>
      <c r="J254" s="108" t="e">
        <f>VLOOKUP($A24,'Template IF 2'!$B$3:$HH$112,174,FALSE)</f>
        <v>#N/A</v>
      </c>
      <c r="K254" s="108" t="e">
        <f>VLOOKUP($A24,'Template IF 2'!$B$3:$HH$112,175,FALSE)</f>
        <v>#N/A</v>
      </c>
      <c r="L254" s="103"/>
    </row>
    <row r="255" spans="1:24" ht="14.1" customHeight="1" x14ac:dyDescent="0.2">
      <c r="A255" s="94" t="str">
        <f>A26</f>
        <v>None</v>
      </c>
      <c r="B255" s="125" t="e">
        <f>VLOOKUP($A26,'Template IF 2'!$B$3:$HH$112,168,FALSE)</f>
        <v>#N/A</v>
      </c>
      <c r="C255" s="125" t="e">
        <f>VLOOKUP($A26,'Template IF 2'!$B$3:$HH$112,169,FALSE)</f>
        <v>#N/A</v>
      </c>
      <c r="D255" s="125" t="e">
        <f>VLOOKUP($A26,'Template IF 2'!$B$3:$HH$112,170,FALSE)</f>
        <v>#N/A</v>
      </c>
      <c r="E255" s="125" t="e">
        <f>VLOOKUP($A26,'Template IF 2'!$B$3:$HH$112,171,FALSE)</f>
        <v>#N/A</v>
      </c>
      <c r="F255" s="114"/>
      <c r="G255" s="114"/>
      <c r="H255" s="143" t="e">
        <f>VLOOKUP($A26,'Template IF 2'!$B$3:$HH$112,172,FALSE)</f>
        <v>#N/A</v>
      </c>
      <c r="I255" s="143" t="e">
        <f>VLOOKUP($A26,'Template IF 2'!$B$3:$HH$112,173,FALSE)</f>
        <v>#N/A</v>
      </c>
      <c r="J255" s="143" t="e">
        <f>VLOOKUP($A26,'Template IF 2'!$B$3:$HH$112,174,FALSE)</f>
        <v>#N/A</v>
      </c>
      <c r="K255" s="143" t="e">
        <f>VLOOKUP($A26,'Template IF 2'!$B$3:$HH$112,175,FALSE)</f>
        <v>#N/A</v>
      </c>
      <c r="L255" s="103"/>
    </row>
    <row r="256" spans="1:24" ht="10.5" customHeight="1" x14ac:dyDescent="0.2">
      <c r="A256" s="107"/>
      <c r="B256" s="195" t="s">
        <v>50</v>
      </c>
      <c r="C256" s="195"/>
      <c r="D256" s="195"/>
      <c r="E256" s="195"/>
      <c r="F256" s="133"/>
      <c r="G256" s="95"/>
      <c r="H256" s="195" t="s">
        <v>153</v>
      </c>
      <c r="I256" s="195"/>
      <c r="J256" s="195"/>
      <c r="K256" s="195"/>
      <c r="L256" s="133"/>
      <c r="N256"/>
    </row>
    <row r="257" spans="1:24" ht="14.25" customHeight="1" x14ac:dyDescent="0.2">
      <c r="A257" s="94"/>
      <c r="B257" s="134" t="s">
        <v>510</v>
      </c>
      <c r="C257" s="134" t="s">
        <v>511</v>
      </c>
      <c r="D257" s="134" t="s">
        <v>512</v>
      </c>
      <c r="E257" s="134" t="s">
        <v>513</v>
      </c>
      <c r="F257" s="96"/>
      <c r="G257" s="96"/>
      <c r="H257" s="134" t="s">
        <v>510</v>
      </c>
      <c r="I257" s="134" t="s">
        <v>511</v>
      </c>
      <c r="J257" s="134" t="s">
        <v>512</v>
      </c>
      <c r="K257" s="134" t="s">
        <v>513</v>
      </c>
      <c r="L257" s="27"/>
    </row>
    <row r="258" spans="1:24" ht="14.1" customHeight="1" x14ac:dyDescent="0.2">
      <c r="A258" s="107" t="s">
        <v>29</v>
      </c>
      <c r="B258" s="110">
        <f>'Template IF 2'!FU3</f>
        <v>15058</v>
      </c>
      <c r="C258" s="110">
        <f>'Template IF 2'!FV3</f>
        <v>14016</v>
      </c>
      <c r="D258" s="110">
        <f>'Template IF 2'!FW3</f>
        <v>11757</v>
      </c>
      <c r="E258" s="110">
        <f>'Template IF 2'!FX3</f>
        <v>10161</v>
      </c>
      <c r="F258" s="103"/>
      <c r="G258" s="103"/>
      <c r="H258" s="108">
        <f>'Template IF 2'!FY3</f>
        <v>64.884410000000003</v>
      </c>
      <c r="I258" s="108">
        <f>'Template IF 2'!FZ3</f>
        <v>55.120609999999999</v>
      </c>
      <c r="J258" s="108">
        <f>'Template IF 2'!GA3</f>
        <v>42.089390000000002</v>
      </c>
      <c r="K258" s="108">
        <f>'Template IF 2'!GB3</f>
        <v>33.602939999999997</v>
      </c>
      <c r="L258" s="103"/>
    </row>
    <row r="259" spans="1:24" ht="14.1" customHeight="1" x14ac:dyDescent="0.2">
      <c r="A259" s="107" t="str">
        <f>A16</f>
        <v>None</v>
      </c>
      <c r="B259" s="100" t="e">
        <f>VLOOKUP($A16,'Template IF 2'!$B$3:$HH$112,176,FALSE)</f>
        <v>#N/A</v>
      </c>
      <c r="C259" s="100" t="e">
        <f>VLOOKUP($A16,'Template IF 2'!$B$3:$HH$112,177,FALSE)</f>
        <v>#N/A</v>
      </c>
      <c r="D259" s="100" t="e">
        <f>VLOOKUP($A16,'Template IF 2'!$B$3:$HH$112,178,FALSE)</f>
        <v>#N/A</v>
      </c>
      <c r="E259" s="100" t="e">
        <f>VLOOKUP($A16,'Template IF 2'!$B$3:$HH$112,179,FALSE)</f>
        <v>#N/A</v>
      </c>
      <c r="F259" s="103"/>
      <c r="G259" s="103"/>
      <c r="H259" s="105" t="e">
        <f>VLOOKUP($A16,'Template IF 2'!$B$3:$HH$112,180,FALSE)</f>
        <v>#N/A</v>
      </c>
      <c r="I259" s="105" t="e">
        <f>VLOOKUP($A16,'Template IF 2'!$B$3:$HH$112,181,FALSE)</f>
        <v>#N/A</v>
      </c>
      <c r="J259" s="105" t="e">
        <f>VLOOKUP($A16,'Template IF 2'!$B$3:$HH$112,182,FALSE)</f>
        <v>#N/A</v>
      </c>
      <c r="K259" s="105" t="e">
        <f>VLOOKUP($A16,'Template IF 2'!$B$3:$HH$112,183,FALSE)</f>
        <v>#N/A</v>
      </c>
      <c r="L259" s="103"/>
    </row>
    <row r="260" spans="1:24" ht="14.1" customHeight="1" x14ac:dyDescent="0.2">
      <c r="A260" s="107" t="str">
        <f>A18</f>
        <v>None</v>
      </c>
      <c r="B260" s="100" t="e">
        <f>VLOOKUP($A18,'Template IF 2'!$B$3:$HH$112,176,FALSE)</f>
        <v>#N/A</v>
      </c>
      <c r="C260" s="100" t="e">
        <f>VLOOKUP($A18,'Template IF 2'!$B$3:$HH$112,177,FALSE)</f>
        <v>#N/A</v>
      </c>
      <c r="D260" s="100" t="e">
        <f>VLOOKUP($A18,'Template IF 2'!$B$3:$HH$112,178,FALSE)</f>
        <v>#N/A</v>
      </c>
      <c r="E260" s="100" t="e">
        <f>VLOOKUP($A18,'Template IF 2'!$B$3:$HH$112,179,FALSE)</f>
        <v>#N/A</v>
      </c>
      <c r="F260" s="103"/>
      <c r="G260" s="103"/>
      <c r="H260" s="105" t="e">
        <f>VLOOKUP($A18,'Template IF 2'!$B$3:$HH$112,180,FALSE)</f>
        <v>#N/A</v>
      </c>
      <c r="I260" s="105" t="e">
        <f>VLOOKUP($A18,'Template IF 2'!$B$3:$HH$112,181,FALSE)</f>
        <v>#N/A</v>
      </c>
      <c r="J260" s="105" t="e">
        <f>VLOOKUP($A18,'Template IF 2'!$B$3:$HH$112,182,FALSE)</f>
        <v>#N/A</v>
      </c>
      <c r="K260" s="105" t="e">
        <f>VLOOKUP($A18,'Template IF 2'!$B$3:$HH$112,183,FALSE)</f>
        <v>#N/A</v>
      </c>
      <c r="L260" s="103"/>
      <c r="S260" s="24"/>
      <c r="T260" s="24"/>
      <c r="U260" s="24"/>
      <c r="V260" s="24"/>
      <c r="X260" s="24"/>
    </row>
    <row r="261" spans="1:24" ht="14.1" customHeight="1" x14ac:dyDescent="0.2">
      <c r="A261" s="107" t="str">
        <f>A20</f>
        <v>None</v>
      </c>
      <c r="B261" s="100" t="e">
        <f>VLOOKUP($A20,'Template IF 2'!$B$3:$HH$112,176,FALSE)</f>
        <v>#N/A</v>
      </c>
      <c r="C261" s="100" t="e">
        <f>VLOOKUP($A20,'Template IF 2'!$B$3:$HH$112,177,FALSE)</f>
        <v>#N/A</v>
      </c>
      <c r="D261" s="100" t="e">
        <f>VLOOKUP($A20,'Template IF 2'!$B$3:$HH$112,178,FALSE)</f>
        <v>#N/A</v>
      </c>
      <c r="E261" s="100" t="e">
        <f>VLOOKUP($A20,'Template IF 2'!$B$3:$HH$112,179,FALSE)</f>
        <v>#N/A</v>
      </c>
      <c r="F261" s="103"/>
      <c r="G261" s="103"/>
      <c r="H261" s="105" t="e">
        <f>VLOOKUP($A20,'Template IF 2'!$B$3:$HH$112,180,FALSE)</f>
        <v>#N/A</v>
      </c>
      <c r="I261" s="105" t="e">
        <f>VLOOKUP($A20,'Template IF 2'!$B$3:$HH$112,181,FALSE)</f>
        <v>#N/A</v>
      </c>
      <c r="J261" s="105" t="e">
        <f>VLOOKUP($A20,'Template IF 2'!$B$3:$HH$112,182,FALSE)</f>
        <v>#N/A</v>
      </c>
      <c r="K261" s="105" t="e">
        <f>VLOOKUP($A20,'Template IF 2'!$B$3:$HH$112,183,FALSE)</f>
        <v>#N/A</v>
      </c>
      <c r="L261" s="103"/>
      <c r="S261" s="24"/>
      <c r="T261" s="24"/>
      <c r="U261" s="24"/>
      <c r="V261" s="24"/>
      <c r="X261" s="24"/>
    </row>
    <row r="262" spans="1:24" ht="14.1" customHeight="1" x14ac:dyDescent="0.2">
      <c r="A262" s="107" t="str">
        <f>A22</f>
        <v>None</v>
      </c>
      <c r="B262" s="100" t="e">
        <f>VLOOKUP($A22,'Template IF 2'!$B$3:$HH$112,176,FALSE)</f>
        <v>#N/A</v>
      </c>
      <c r="C262" s="100" t="e">
        <f>VLOOKUP($A22,'Template IF 2'!$B$3:$HH$112,177,FALSE)</f>
        <v>#N/A</v>
      </c>
      <c r="D262" s="100" t="e">
        <f>VLOOKUP($A22,'Template IF 2'!$B$3:$HH$112,178,FALSE)</f>
        <v>#N/A</v>
      </c>
      <c r="E262" s="100" t="e">
        <f>VLOOKUP($A22,'Template IF 2'!$B$3:$HH$112,179,FALSE)</f>
        <v>#N/A</v>
      </c>
      <c r="F262" s="103"/>
      <c r="G262" s="103"/>
      <c r="H262" s="105" t="e">
        <f>VLOOKUP($A22,'Template IF 2'!$B$3:$HH$112,180,FALSE)</f>
        <v>#N/A</v>
      </c>
      <c r="I262" s="105" t="e">
        <f>VLOOKUP($A22,'Template IF 2'!$B$3:$HH$112,181,FALSE)</f>
        <v>#N/A</v>
      </c>
      <c r="J262" s="105" t="e">
        <f>VLOOKUP($A22,'Template IF 2'!$B$3:$HH$112,182,FALSE)</f>
        <v>#N/A</v>
      </c>
      <c r="K262" s="105" t="e">
        <f>VLOOKUP($A22,'Template IF 2'!$B$3:$HH$112,183,FALSE)</f>
        <v>#N/A</v>
      </c>
      <c r="L262" s="103"/>
    </row>
    <row r="263" spans="1:24" ht="14.1" customHeight="1" x14ac:dyDescent="0.2">
      <c r="A263" s="107" t="str">
        <f>A24</f>
        <v>None</v>
      </c>
      <c r="B263" s="100" t="e">
        <f>VLOOKUP($A24,'Template IF 2'!$B$3:$HH$112,176,FALSE)</f>
        <v>#N/A</v>
      </c>
      <c r="C263" s="100" t="e">
        <f>VLOOKUP($A24,'Template IF 2'!$B$3:$HH$112,177,FALSE)</f>
        <v>#N/A</v>
      </c>
      <c r="D263" s="100" t="e">
        <f>VLOOKUP($A24,'Template IF 2'!$B$3:$HH$112,178,FALSE)</f>
        <v>#N/A</v>
      </c>
      <c r="E263" s="100" t="e">
        <f>VLOOKUP($A24,'Template IF 2'!$B$3:$HH$112,179,FALSE)</f>
        <v>#N/A</v>
      </c>
      <c r="F263" s="103"/>
      <c r="G263" s="103"/>
      <c r="H263" s="105" t="e">
        <f>VLOOKUP($A24,'Template IF 2'!$B$3:$HH$112,180,FALSE)</f>
        <v>#N/A</v>
      </c>
      <c r="I263" s="105" t="e">
        <f>VLOOKUP($A24,'Template IF 2'!$B$3:$HH$112,181,FALSE)</f>
        <v>#N/A</v>
      </c>
      <c r="J263" s="105" t="e">
        <f>VLOOKUP($A24,'Template IF 2'!$B$3:$HH$112,182,FALSE)</f>
        <v>#N/A</v>
      </c>
      <c r="K263" s="105" t="e">
        <f>VLOOKUP($A24,'Template IF 2'!$B$3:$HH$112,183,FALSE)</f>
        <v>#N/A</v>
      </c>
      <c r="L263" s="103"/>
    </row>
    <row r="264" spans="1:24" ht="14.1" customHeight="1" x14ac:dyDescent="0.2">
      <c r="A264" s="94" t="str">
        <f>A26</f>
        <v>None</v>
      </c>
      <c r="B264" s="102" t="e">
        <f>VLOOKUP($A26,'Template IF 2'!$B$3:$HH$112,176,FALSE)</f>
        <v>#N/A</v>
      </c>
      <c r="C264" s="102" t="e">
        <f>VLOOKUP($A26,'Template IF 2'!$B$3:$HH$112,177,FALSE)</f>
        <v>#N/A</v>
      </c>
      <c r="D264" s="102" t="e">
        <f>VLOOKUP($A26,'Template IF 2'!$B$3:$HH$112,178,FALSE)</f>
        <v>#N/A</v>
      </c>
      <c r="E264" s="102" t="e">
        <f>VLOOKUP($A26,'Template IF 2'!$B$3:$HH$112,179,FALSE)</f>
        <v>#N/A</v>
      </c>
      <c r="F264" s="114"/>
      <c r="G264" s="114"/>
      <c r="H264" s="106" t="e">
        <f>VLOOKUP($A26,'Template IF 2'!$B$3:$HH$112,180,FALSE)</f>
        <v>#N/A</v>
      </c>
      <c r="I264" s="106" t="e">
        <f>VLOOKUP($A26,'Template IF 2'!$B$3:$HH$112,181,FALSE)</f>
        <v>#N/A</v>
      </c>
      <c r="J264" s="106" t="e">
        <f>VLOOKUP($A26,'Template IF 2'!$B$3:$HH$112,182,FALSE)</f>
        <v>#N/A</v>
      </c>
      <c r="K264" s="106" t="e">
        <f>VLOOKUP($A26,'Template IF 2'!$B$3:$HH$112,183,FALSE)</f>
        <v>#N/A</v>
      </c>
      <c r="L264" s="103"/>
      <c r="N264"/>
      <c r="O264"/>
    </row>
    <row r="265" spans="1:24" ht="13.5" customHeight="1" x14ac:dyDescent="0.2">
      <c r="A265" s="107"/>
      <c r="B265" s="195" t="s">
        <v>51</v>
      </c>
      <c r="C265" s="195"/>
      <c r="D265" s="195"/>
      <c r="E265" s="195"/>
      <c r="F265" s="133"/>
      <c r="G265" s="95"/>
      <c r="H265" s="195" t="s">
        <v>169</v>
      </c>
      <c r="I265" s="195"/>
      <c r="J265" s="195"/>
      <c r="K265" s="195"/>
      <c r="L265" s="133"/>
      <c r="N265"/>
      <c r="O265"/>
    </row>
    <row r="266" spans="1:24" x14ac:dyDescent="0.2">
      <c r="A266" s="94"/>
      <c r="B266" s="134" t="s">
        <v>510</v>
      </c>
      <c r="C266" s="134" t="s">
        <v>511</v>
      </c>
      <c r="D266" s="134" t="s">
        <v>512</v>
      </c>
      <c r="E266" s="134" t="s">
        <v>513</v>
      </c>
      <c r="F266" s="96"/>
      <c r="G266" s="96"/>
      <c r="H266" s="134" t="s">
        <v>510</v>
      </c>
      <c r="I266" s="134" t="s">
        <v>511</v>
      </c>
      <c r="J266" s="134" t="s">
        <v>512</v>
      </c>
      <c r="K266" s="134" t="s">
        <v>513</v>
      </c>
      <c r="L266" s="27"/>
      <c r="N266"/>
      <c r="O266"/>
    </row>
    <row r="267" spans="1:24" ht="14.1" customHeight="1" x14ac:dyDescent="0.2">
      <c r="A267" s="107" t="s">
        <v>29</v>
      </c>
      <c r="B267" s="110">
        <f>'Template IF 2'!GC3</f>
        <v>7874</v>
      </c>
      <c r="C267" s="110">
        <f>'Template IF 2'!GD3</f>
        <v>8855</v>
      </c>
      <c r="D267" s="110">
        <f>'Template IF 2'!GE3</f>
        <v>9648</v>
      </c>
      <c r="E267" s="110">
        <f>'Template IF 2'!GF3</f>
        <v>10785</v>
      </c>
      <c r="F267" s="103"/>
      <c r="G267" s="103"/>
      <c r="H267" s="108">
        <f>'Template IF 2'!GG3</f>
        <v>33.810540000000003</v>
      </c>
      <c r="I267" s="108">
        <f>'Template IF 2'!GH3</f>
        <v>35.228760000000001</v>
      </c>
      <c r="J267" s="108">
        <f>'Template IF 2'!GI3</f>
        <v>35.42597</v>
      </c>
      <c r="K267" s="108">
        <f>'Template IF 2'!GJ3</f>
        <v>37.464129999999997</v>
      </c>
      <c r="L267" s="103"/>
    </row>
    <row r="268" spans="1:24" ht="14.1" customHeight="1" x14ac:dyDescent="0.2">
      <c r="A268" s="107" t="str">
        <f>A16</f>
        <v>None</v>
      </c>
      <c r="B268" s="100" t="e">
        <f>VLOOKUP($A16,'Template IF 2'!$B$3:$HH$112,184,FALSE)</f>
        <v>#N/A</v>
      </c>
      <c r="C268" s="100" t="e">
        <f>VLOOKUP($A16,'Template IF 2'!$B$3:$HH$112,185,FALSE)</f>
        <v>#N/A</v>
      </c>
      <c r="D268" s="100" t="e">
        <f>VLOOKUP($A16,'Template IF 2'!$B$3:$HH$112,186,FALSE)</f>
        <v>#N/A</v>
      </c>
      <c r="E268" s="100" t="e">
        <f>VLOOKUP($A16,'Template IF 2'!$B$3:$HH$112,187,FALSE)</f>
        <v>#N/A</v>
      </c>
      <c r="F268" s="103"/>
      <c r="G268" s="103"/>
      <c r="H268" s="105" t="e">
        <f>VLOOKUP($A16,'Template IF 2'!$B$3:$HH$112,188,FALSE)</f>
        <v>#N/A</v>
      </c>
      <c r="I268" s="105" t="e">
        <f>VLOOKUP($A16,'Template IF 2'!$B$3:$HH$112,189,FALSE)</f>
        <v>#N/A</v>
      </c>
      <c r="J268" s="105" t="e">
        <f>VLOOKUP($A16,'Template IF 2'!$B$3:$HH$112,190,FALSE)</f>
        <v>#N/A</v>
      </c>
      <c r="K268" s="105" t="e">
        <f>VLOOKUP($A16,'Template IF 2'!$B$3:$HH$112,191,FALSE)</f>
        <v>#N/A</v>
      </c>
      <c r="L268" s="103"/>
    </row>
    <row r="269" spans="1:24" ht="14.1" customHeight="1" x14ac:dyDescent="0.2">
      <c r="A269" s="107" t="str">
        <f>A18</f>
        <v>None</v>
      </c>
      <c r="B269" s="100" t="e">
        <f>VLOOKUP($A18,'Template IF 2'!$B$3:$HH$112,184,FALSE)</f>
        <v>#N/A</v>
      </c>
      <c r="C269" s="100" t="e">
        <f>VLOOKUP($A18,'Template IF 2'!$B$3:$HH$112,185,FALSE)</f>
        <v>#N/A</v>
      </c>
      <c r="D269" s="100" t="e">
        <f>VLOOKUP($A18,'Template IF 2'!$B$3:$HH$112,186,FALSE)</f>
        <v>#N/A</v>
      </c>
      <c r="E269" s="100" t="e">
        <f>VLOOKUP($A18,'Template IF 2'!$B$3:$HH$112,187,FALSE)</f>
        <v>#N/A</v>
      </c>
      <c r="F269" s="103"/>
      <c r="G269" s="103"/>
      <c r="H269" s="105" t="e">
        <f>VLOOKUP($A18,'Template IF 2'!$B$3:$HH$112,188,FALSE)</f>
        <v>#N/A</v>
      </c>
      <c r="I269" s="105" t="e">
        <f>VLOOKUP($A18,'Template IF 2'!$B$3:$HH$112,189,FALSE)</f>
        <v>#N/A</v>
      </c>
      <c r="J269" s="105" t="e">
        <f>VLOOKUP($A18,'Template IF 2'!$B$3:$HH$112,190,FALSE)</f>
        <v>#N/A</v>
      </c>
      <c r="K269" s="105" t="e">
        <f>VLOOKUP($A18,'Template IF 2'!$B$3:$HH$112,191,FALSE)</f>
        <v>#N/A</v>
      </c>
      <c r="L269" s="103"/>
    </row>
    <row r="270" spans="1:24" ht="14.1" customHeight="1" x14ac:dyDescent="0.2">
      <c r="A270" s="107" t="str">
        <f>A20</f>
        <v>None</v>
      </c>
      <c r="B270" s="100" t="e">
        <f>VLOOKUP($A20,'Template IF 2'!$B$3:$HH$112,184,FALSE)</f>
        <v>#N/A</v>
      </c>
      <c r="C270" s="100" t="e">
        <f>VLOOKUP($A20,'Template IF 2'!$B$3:$HH$112,185,FALSE)</f>
        <v>#N/A</v>
      </c>
      <c r="D270" s="100" t="e">
        <f>VLOOKUP($A20,'Template IF 2'!$B$3:$HH$112,186,FALSE)</f>
        <v>#N/A</v>
      </c>
      <c r="E270" s="100" t="e">
        <f>VLOOKUP($A20,'Template IF 2'!$B$3:$HH$112,187,FALSE)</f>
        <v>#N/A</v>
      </c>
      <c r="F270" s="103"/>
      <c r="G270" s="103"/>
      <c r="H270" s="105" t="e">
        <f>VLOOKUP($A20,'Template IF 2'!$B$3:$HH$112,188,FALSE)</f>
        <v>#N/A</v>
      </c>
      <c r="I270" s="105" t="e">
        <f>VLOOKUP($A20,'Template IF 2'!$B$3:$HH$112,189,FALSE)</f>
        <v>#N/A</v>
      </c>
      <c r="J270" s="105" t="e">
        <f>VLOOKUP($A20,'Template IF 2'!$B$3:$HH$112,190,FALSE)</f>
        <v>#N/A</v>
      </c>
      <c r="K270" s="105" t="e">
        <f>VLOOKUP($A20,'Template IF 2'!$B$3:$HH$112,191,FALSE)</f>
        <v>#N/A</v>
      </c>
      <c r="L270" s="103"/>
    </row>
    <row r="271" spans="1:24" ht="14.1" customHeight="1" x14ac:dyDescent="0.2">
      <c r="A271" s="107" t="str">
        <f>A22</f>
        <v>None</v>
      </c>
      <c r="B271" s="100" t="e">
        <f>VLOOKUP($A22,'Template IF 2'!$B$3:$HH$112,184,FALSE)</f>
        <v>#N/A</v>
      </c>
      <c r="C271" s="100" t="e">
        <f>VLOOKUP($A22,'Template IF 2'!$B$3:$HH$112,185,FALSE)</f>
        <v>#N/A</v>
      </c>
      <c r="D271" s="100" t="e">
        <f>VLOOKUP($A22,'Template IF 2'!$B$3:$HH$112,186,FALSE)</f>
        <v>#N/A</v>
      </c>
      <c r="E271" s="100" t="e">
        <f>VLOOKUP($A22,'Template IF 2'!$B$3:$HH$112,187,FALSE)</f>
        <v>#N/A</v>
      </c>
      <c r="F271" s="103"/>
      <c r="G271" s="103"/>
      <c r="H271" s="105" t="e">
        <f>VLOOKUP($A22,'Template IF 2'!$B$3:$HH$112,188,FALSE)</f>
        <v>#N/A</v>
      </c>
      <c r="I271" s="105" t="e">
        <f>VLOOKUP($A22,'Template IF 2'!$B$3:$HH$112,189,FALSE)</f>
        <v>#N/A</v>
      </c>
      <c r="J271" s="105" t="e">
        <f>VLOOKUP($A22,'Template IF 2'!$B$3:$HH$112,190,FALSE)</f>
        <v>#N/A</v>
      </c>
      <c r="K271" s="105" t="e">
        <f>VLOOKUP($A22,'Template IF 2'!$B$3:$HH$112,191,FALSE)</f>
        <v>#N/A</v>
      </c>
      <c r="L271" s="103"/>
    </row>
    <row r="272" spans="1:24" ht="14.1" customHeight="1" x14ac:dyDescent="0.2">
      <c r="A272" s="107" t="str">
        <f>A24</f>
        <v>None</v>
      </c>
      <c r="B272" s="100" t="e">
        <f>VLOOKUP($A24,'Template IF 2'!$B$3:$HH$112,184,FALSE)</f>
        <v>#N/A</v>
      </c>
      <c r="C272" s="100" t="e">
        <f>VLOOKUP($A24,'Template IF 2'!$B$3:$HH$112,185,FALSE)</f>
        <v>#N/A</v>
      </c>
      <c r="D272" s="100" t="e">
        <f>VLOOKUP($A24,'Template IF 2'!$B$3:$HH$112,186,FALSE)</f>
        <v>#N/A</v>
      </c>
      <c r="E272" s="100" t="e">
        <f>VLOOKUP($A24,'Template IF 2'!$B$3:$HH$112,187,FALSE)</f>
        <v>#N/A</v>
      </c>
      <c r="F272" s="103"/>
      <c r="G272" s="103"/>
      <c r="H272" s="105" t="e">
        <f>VLOOKUP($A24,'Template IF 2'!$B$3:$HH$112,188,FALSE)</f>
        <v>#N/A</v>
      </c>
      <c r="I272" s="105" t="e">
        <f>VLOOKUP($A24,'Template IF 2'!$B$3:$HH$112,189,FALSE)</f>
        <v>#N/A</v>
      </c>
      <c r="J272" s="105" t="e">
        <f>VLOOKUP($A24,'Template IF 2'!$B$3:$HH$112,190,FALSE)</f>
        <v>#N/A</v>
      </c>
      <c r="K272" s="105" t="e">
        <f>VLOOKUP($A24,'Template IF 2'!$B$3:$HH$112,191,FALSE)</f>
        <v>#N/A</v>
      </c>
      <c r="L272" s="103"/>
    </row>
    <row r="273" spans="1:24" ht="14.1" customHeight="1" x14ac:dyDescent="0.2">
      <c r="A273" s="94" t="str">
        <f>A26</f>
        <v>None</v>
      </c>
      <c r="B273" s="102" t="e">
        <f>VLOOKUP($A26,'Template IF 2'!$B$3:$HH$112,184,FALSE)</f>
        <v>#N/A</v>
      </c>
      <c r="C273" s="102" t="e">
        <f>VLOOKUP($A26,'Template IF 2'!$B$3:$HH$112,185,FALSE)</f>
        <v>#N/A</v>
      </c>
      <c r="D273" s="102" t="e">
        <f>VLOOKUP($A26,'Template IF 2'!$B$3:$HH$112,186,FALSE)</f>
        <v>#N/A</v>
      </c>
      <c r="E273" s="102" t="e">
        <f>VLOOKUP($A26,'Template IF 2'!$B$3:$HH$112,187,FALSE)</f>
        <v>#N/A</v>
      </c>
      <c r="F273" s="114"/>
      <c r="G273" s="114"/>
      <c r="H273" s="106" t="e">
        <f>VLOOKUP($A26,'Template IF 2'!$B$3:$HH$112,188,FALSE)</f>
        <v>#N/A</v>
      </c>
      <c r="I273" s="106" t="e">
        <f>VLOOKUP($A26,'Template IF 2'!$B$3:$HH$112,189,FALSE)</f>
        <v>#N/A</v>
      </c>
      <c r="J273" s="106" t="e">
        <f>VLOOKUP($A26,'Template IF 2'!$B$3:$HH$112,190,FALSE)</f>
        <v>#N/A</v>
      </c>
      <c r="K273" s="106" t="e">
        <f>VLOOKUP($A26,'Template IF 2'!$B$3:$HH$112,191,FALSE)</f>
        <v>#N/A</v>
      </c>
      <c r="L273" s="103"/>
    </row>
    <row r="274" spans="1:24" x14ac:dyDescent="0.2">
      <c r="A274" s="122" t="s">
        <v>170</v>
      </c>
      <c r="B274" s="103"/>
      <c r="C274" s="103"/>
      <c r="D274" s="103"/>
      <c r="E274" s="103"/>
      <c r="F274" s="103"/>
      <c r="G274" s="103"/>
      <c r="H274" s="103"/>
      <c r="I274" s="103"/>
      <c r="J274" s="103"/>
      <c r="K274" s="103"/>
      <c r="L274" s="103"/>
      <c r="N274"/>
      <c r="O274"/>
    </row>
    <row r="275" spans="1:24" x14ac:dyDescent="0.2">
      <c r="A275" s="122"/>
      <c r="B275" s="103"/>
      <c r="C275" s="103"/>
      <c r="D275" s="103"/>
      <c r="E275" s="103"/>
      <c r="F275" s="103"/>
      <c r="G275" s="103"/>
      <c r="H275" s="103"/>
      <c r="I275" s="103"/>
      <c r="J275" s="103"/>
      <c r="K275" s="103"/>
      <c r="L275" s="103"/>
      <c r="N275"/>
      <c r="O275"/>
    </row>
    <row r="276" spans="1:24" x14ac:dyDescent="0.2">
      <c r="A276" s="122"/>
      <c r="B276" s="103"/>
      <c r="C276" s="103"/>
      <c r="D276" s="103"/>
      <c r="E276" s="103"/>
      <c r="F276" s="103"/>
      <c r="G276" s="103"/>
      <c r="H276" s="103"/>
      <c r="I276" s="103"/>
      <c r="J276" s="103"/>
      <c r="K276" s="103"/>
      <c r="L276" s="103"/>
      <c r="N276"/>
      <c r="O276"/>
    </row>
    <row r="277" spans="1:24" x14ac:dyDescent="0.2">
      <c r="A277" s="122"/>
      <c r="B277" s="103"/>
      <c r="C277" s="103"/>
      <c r="D277" s="103"/>
      <c r="E277" s="103"/>
      <c r="F277" s="103"/>
      <c r="G277" s="103"/>
      <c r="H277" s="103"/>
      <c r="I277" s="103"/>
      <c r="J277" s="103"/>
      <c r="K277" s="103"/>
      <c r="L277" s="103"/>
      <c r="N277"/>
      <c r="O277"/>
    </row>
    <row r="278" spans="1:24" x14ac:dyDescent="0.2">
      <c r="A278" s="122"/>
      <c r="B278" s="103"/>
      <c r="C278" s="103"/>
      <c r="D278" s="103"/>
      <c r="E278" s="103"/>
      <c r="F278" s="103"/>
      <c r="G278" s="103"/>
      <c r="H278" s="103"/>
      <c r="I278" s="103"/>
      <c r="J278" s="103"/>
      <c r="K278" s="103"/>
      <c r="L278" s="103"/>
      <c r="N278"/>
      <c r="O278"/>
    </row>
    <row r="279" spans="1:24" x14ac:dyDescent="0.2">
      <c r="A279" s="122"/>
      <c r="B279" s="103"/>
      <c r="C279" s="103"/>
      <c r="D279" s="103"/>
      <c r="E279" s="103"/>
      <c r="F279" s="103"/>
      <c r="G279" s="103"/>
      <c r="H279" s="103"/>
      <c r="I279" s="103"/>
      <c r="J279" s="103"/>
      <c r="K279" s="103"/>
      <c r="L279" s="103"/>
      <c r="M279" s="24"/>
      <c r="N279"/>
      <c r="O279"/>
      <c r="P279" s="24"/>
      <c r="Q279" s="24"/>
      <c r="S279" s="24"/>
      <c r="T279" s="24"/>
      <c r="U279" s="24"/>
      <c r="V279" s="24"/>
      <c r="X279" s="24"/>
    </row>
    <row r="280" spans="1:24" x14ac:dyDescent="0.2">
      <c r="A280" s="122"/>
      <c r="B280" s="103"/>
      <c r="C280" s="103"/>
      <c r="D280" s="103"/>
      <c r="E280" s="103"/>
      <c r="F280" s="103"/>
      <c r="G280" s="103"/>
      <c r="H280" s="103"/>
      <c r="I280" s="103"/>
      <c r="J280" s="103"/>
      <c r="K280" s="103"/>
      <c r="L280" s="103"/>
      <c r="M280" s="24"/>
      <c r="N280"/>
      <c r="O280"/>
      <c r="P280" s="24"/>
      <c r="Q280" s="24"/>
      <c r="S280" s="24"/>
      <c r="T280" s="24"/>
      <c r="U280" s="24"/>
      <c r="V280" s="24"/>
      <c r="X280" s="24"/>
    </row>
    <row r="281" spans="1:24" x14ac:dyDescent="0.2">
      <c r="A281" s="122"/>
      <c r="B281" s="103"/>
      <c r="C281" s="103"/>
      <c r="D281" s="103"/>
      <c r="E281" s="103"/>
      <c r="F281" s="103"/>
      <c r="G281" s="103"/>
      <c r="H281" s="103"/>
      <c r="I281" s="103"/>
      <c r="J281" s="103"/>
      <c r="K281" s="103"/>
      <c r="L281" s="103"/>
      <c r="N281"/>
      <c r="O281"/>
    </row>
    <row r="282" spans="1:24" x14ac:dyDescent="0.2">
      <c r="A282" s="122"/>
      <c r="B282" s="103"/>
      <c r="C282" s="103"/>
      <c r="D282" s="103"/>
      <c r="E282" s="103"/>
      <c r="F282" s="103"/>
      <c r="G282" s="103"/>
      <c r="H282" s="103"/>
      <c r="I282" s="103"/>
      <c r="J282" s="103"/>
      <c r="K282" s="103"/>
      <c r="L282" s="103"/>
      <c r="N282"/>
      <c r="O282"/>
    </row>
    <row r="283" spans="1:24" x14ac:dyDescent="0.2">
      <c r="A283" s="122"/>
      <c r="B283" s="103"/>
      <c r="C283" s="103"/>
      <c r="D283" s="103"/>
      <c r="E283" s="103"/>
      <c r="F283" s="103"/>
      <c r="G283" s="103"/>
      <c r="H283" s="103"/>
      <c r="I283" s="103"/>
      <c r="J283" s="103"/>
      <c r="K283" s="103"/>
      <c r="L283" s="103"/>
      <c r="N283"/>
      <c r="O283"/>
    </row>
    <row r="284" spans="1:24" x14ac:dyDescent="0.2">
      <c r="A284" s="122"/>
      <c r="B284" s="103"/>
      <c r="C284" s="103"/>
      <c r="D284" s="103"/>
      <c r="E284" s="103"/>
      <c r="F284" s="103"/>
      <c r="G284" s="103"/>
      <c r="H284" s="103"/>
      <c r="I284" s="103"/>
      <c r="J284" s="103"/>
      <c r="K284" s="103"/>
      <c r="L284" s="103"/>
      <c r="N284"/>
      <c r="O284"/>
    </row>
    <row r="285" spans="1:24" x14ac:dyDescent="0.2">
      <c r="A285" s="122"/>
      <c r="B285" s="103"/>
      <c r="C285" s="103"/>
      <c r="D285" s="103"/>
      <c r="E285" s="103"/>
      <c r="F285" s="103"/>
      <c r="G285" s="103"/>
      <c r="H285" s="103"/>
      <c r="I285" s="103"/>
      <c r="J285" s="103"/>
      <c r="K285" s="103"/>
      <c r="L285" s="103"/>
      <c r="N285"/>
      <c r="O285"/>
    </row>
    <row r="286" spans="1:24" x14ac:dyDescent="0.2">
      <c r="A286" s="122"/>
      <c r="B286" s="103"/>
      <c r="C286" s="103"/>
      <c r="D286" s="103"/>
      <c r="E286" s="103"/>
      <c r="F286" s="103"/>
      <c r="G286" s="103"/>
      <c r="H286" s="103"/>
      <c r="I286" s="103"/>
      <c r="J286" s="103"/>
      <c r="K286" s="103"/>
      <c r="L286" s="103"/>
      <c r="N286"/>
      <c r="O286"/>
    </row>
    <row r="287" spans="1:24" x14ac:dyDescent="0.2">
      <c r="A287" s="122"/>
      <c r="B287" s="103"/>
      <c r="C287" s="103"/>
      <c r="D287" s="103"/>
      <c r="E287" s="103"/>
      <c r="F287" s="103"/>
      <c r="G287" s="103"/>
      <c r="H287" s="103"/>
      <c r="I287" s="103"/>
      <c r="J287" s="103"/>
      <c r="K287" s="103"/>
      <c r="L287" s="103"/>
      <c r="N287"/>
      <c r="O287"/>
    </row>
    <row r="288" spans="1:24" x14ac:dyDescent="0.2">
      <c r="A288" s="122"/>
      <c r="B288" s="103"/>
      <c r="C288" s="103"/>
      <c r="D288" s="103"/>
      <c r="E288" s="103"/>
      <c r="F288" s="103"/>
      <c r="G288" s="103"/>
      <c r="H288" s="103"/>
      <c r="I288" s="103"/>
      <c r="J288" s="103"/>
      <c r="K288" s="103"/>
      <c r="L288" s="103"/>
      <c r="N288"/>
      <c r="O288"/>
    </row>
    <row r="289" spans="1:15" x14ac:dyDescent="0.2">
      <c r="A289" s="122"/>
      <c r="B289" s="103"/>
      <c r="C289" s="103"/>
      <c r="D289" s="103"/>
      <c r="E289" s="103"/>
      <c r="F289" s="103"/>
      <c r="G289" s="103"/>
      <c r="H289" s="103"/>
      <c r="I289" s="103"/>
      <c r="J289" s="103"/>
      <c r="K289" s="103"/>
      <c r="L289" s="103"/>
      <c r="N289"/>
      <c r="O289"/>
    </row>
    <row r="290" spans="1:15" x14ac:dyDescent="0.2">
      <c r="A290" s="122"/>
      <c r="B290" s="103"/>
      <c r="C290" s="103"/>
      <c r="D290" s="103"/>
      <c r="E290" s="103"/>
      <c r="F290" s="103"/>
      <c r="G290" s="103"/>
      <c r="H290" s="103"/>
      <c r="I290" s="103"/>
      <c r="J290" s="103"/>
      <c r="K290" s="103"/>
      <c r="L290" s="103"/>
      <c r="N290"/>
      <c r="O290"/>
    </row>
    <row r="291" spans="1:15" x14ac:dyDescent="0.2">
      <c r="A291" s="122"/>
      <c r="B291" s="103"/>
      <c r="C291" s="103"/>
      <c r="D291" s="103"/>
      <c r="E291" s="103"/>
      <c r="F291" s="103"/>
      <c r="G291" s="103"/>
      <c r="H291" s="103"/>
      <c r="I291" s="103"/>
      <c r="J291" s="103"/>
      <c r="K291" s="103"/>
      <c r="L291" s="103"/>
      <c r="N291"/>
      <c r="O291"/>
    </row>
    <row r="292" spans="1:15" x14ac:dyDescent="0.2">
      <c r="A292" s="122"/>
      <c r="B292" s="103"/>
      <c r="C292" s="103"/>
      <c r="D292" s="103"/>
      <c r="E292" s="103"/>
      <c r="F292" s="103"/>
      <c r="G292" s="103"/>
      <c r="H292" s="103"/>
      <c r="I292" s="103"/>
      <c r="J292" s="103"/>
      <c r="K292" s="103"/>
      <c r="L292" s="103"/>
      <c r="N292"/>
      <c r="O292"/>
    </row>
    <row r="293" spans="1:15" x14ac:dyDescent="0.2">
      <c r="A293" s="122"/>
      <c r="B293" s="103"/>
      <c r="C293" s="103"/>
      <c r="D293" s="103"/>
      <c r="E293" s="103"/>
      <c r="F293" s="103"/>
      <c r="G293" s="103"/>
      <c r="H293" s="103"/>
      <c r="I293" s="103"/>
      <c r="J293" s="103"/>
      <c r="K293" s="103"/>
      <c r="L293" s="103"/>
      <c r="N293"/>
      <c r="O293"/>
    </row>
    <row r="294" spans="1:15" x14ac:dyDescent="0.2">
      <c r="A294" s="122"/>
      <c r="B294" s="103"/>
      <c r="C294" s="103"/>
      <c r="D294" s="103"/>
      <c r="E294" s="103"/>
      <c r="F294" s="103"/>
      <c r="G294" s="103"/>
      <c r="H294" s="103"/>
      <c r="I294" s="103"/>
      <c r="J294" s="103"/>
      <c r="K294" s="103"/>
      <c r="L294" s="103"/>
      <c r="N294"/>
      <c r="O294"/>
    </row>
    <row r="295" spans="1:15" x14ac:dyDescent="0.2">
      <c r="A295" s="122"/>
      <c r="B295" s="103"/>
      <c r="C295" s="103"/>
      <c r="D295" s="103"/>
      <c r="E295" s="103"/>
      <c r="F295" s="103"/>
      <c r="G295" s="103"/>
      <c r="H295" s="103"/>
      <c r="I295" s="103"/>
      <c r="J295" s="103"/>
      <c r="K295" s="103"/>
      <c r="L295" s="103"/>
      <c r="N295"/>
      <c r="O295"/>
    </row>
    <row r="296" spans="1:15" x14ac:dyDescent="0.2">
      <c r="A296" s="122"/>
      <c r="B296" s="103"/>
      <c r="C296" s="103"/>
      <c r="D296" s="103"/>
      <c r="E296" s="103"/>
      <c r="F296" s="103"/>
      <c r="G296" s="103"/>
      <c r="H296" s="103"/>
      <c r="I296" s="103"/>
      <c r="J296" s="103"/>
      <c r="K296" s="103"/>
      <c r="L296" s="103"/>
      <c r="N296"/>
      <c r="O296"/>
    </row>
    <row r="297" spans="1:15" x14ac:dyDescent="0.2">
      <c r="A297" s="122"/>
      <c r="B297" s="103"/>
      <c r="C297" s="103"/>
      <c r="D297" s="103"/>
      <c r="E297" s="103"/>
      <c r="F297" s="103"/>
      <c r="G297" s="103"/>
      <c r="H297" s="103"/>
      <c r="I297" s="103"/>
      <c r="J297" s="103"/>
      <c r="K297" s="103"/>
      <c r="L297" s="103"/>
      <c r="N297"/>
      <c r="O297"/>
    </row>
    <row r="298" spans="1:15" x14ac:dyDescent="0.2">
      <c r="A298" s="122"/>
      <c r="B298" s="103"/>
      <c r="C298" s="103"/>
      <c r="D298" s="103"/>
      <c r="E298" s="103"/>
      <c r="F298" s="103"/>
      <c r="G298" s="103"/>
      <c r="H298" s="103"/>
      <c r="I298" s="103"/>
      <c r="J298" s="103"/>
      <c r="K298" s="103"/>
      <c r="L298" s="103"/>
      <c r="N298"/>
      <c r="O298"/>
    </row>
    <row r="299" spans="1:15" x14ac:dyDescent="0.2">
      <c r="A299" s="122"/>
      <c r="B299" s="103"/>
      <c r="C299" s="103"/>
      <c r="D299" s="103"/>
      <c r="E299" s="103"/>
      <c r="F299" s="103"/>
      <c r="G299" s="103"/>
      <c r="H299" s="103"/>
      <c r="I299" s="103"/>
      <c r="J299" s="103"/>
      <c r="K299" s="103"/>
      <c r="L299" s="103"/>
      <c r="N299"/>
      <c r="O299"/>
    </row>
    <row r="300" spans="1:15" x14ac:dyDescent="0.2">
      <c r="A300" s="122"/>
      <c r="B300" s="103"/>
      <c r="C300" s="103"/>
      <c r="D300" s="103"/>
      <c r="E300" s="103"/>
      <c r="F300" s="103"/>
      <c r="G300" s="103"/>
      <c r="H300" s="103"/>
      <c r="I300" s="103"/>
      <c r="J300" s="103"/>
      <c r="K300" s="103"/>
      <c r="L300" s="103"/>
      <c r="N300"/>
      <c r="O300"/>
    </row>
    <row r="301" spans="1:15" x14ac:dyDescent="0.2">
      <c r="A301" s="122"/>
      <c r="B301" s="103"/>
      <c r="C301" s="103"/>
      <c r="D301" s="103"/>
      <c r="E301" s="103"/>
      <c r="F301" s="103"/>
      <c r="G301" s="103"/>
      <c r="H301" s="103"/>
      <c r="I301" s="103"/>
      <c r="J301" s="103"/>
      <c r="K301" s="103"/>
      <c r="L301" s="103"/>
      <c r="N301"/>
      <c r="O301"/>
    </row>
    <row r="302" spans="1:15" x14ac:dyDescent="0.2">
      <c r="A302" s="122"/>
      <c r="B302" s="103"/>
      <c r="C302" s="103"/>
      <c r="D302" s="103"/>
      <c r="E302" s="103"/>
      <c r="F302" s="103"/>
      <c r="G302" s="103"/>
      <c r="H302" s="103"/>
      <c r="I302" s="103"/>
      <c r="J302" s="103"/>
      <c r="K302" s="103"/>
      <c r="L302" s="103"/>
      <c r="N302"/>
      <c r="O302"/>
    </row>
    <row r="303" spans="1:15" x14ac:dyDescent="0.2">
      <c r="B303" s="103"/>
      <c r="C303" s="103"/>
      <c r="D303" s="103"/>
      <c r="E303" s="103"/>
      <c r="F303" s="103"/>
      <c r="G303" s="103"/>
      <c r="H303" s="103"/>
      <c r="I303" s="103"/>
      <c r="J303" s="103"/>
      <c r="K303" s="103"/>
      <c r="L303" s="103"/>
      <c r="N303"/>
      <c r="O303"/>
    </row>
    <row r="304" spans="1:15" x14ac:dyDescent="0.2">
      <c r="B304" s="103"/>
      <c r="C304" s="103"/>
      <c r="D304" s="103"/>
      <c r="E304" s="103"/>
      <c r="F304" s="103"/>
      <c r="G304" s="103"/>
      <c r="H304" s="103"/>
      <c r="I304" s="103"/>
      <c r="J304" s="103"/>
      <c r="K304" s="103"/>
      <c r="L304" s="103"/>
      <c r="N304"/>
      <c r="O304"/>
    </row>
    <row r="305" spans="1:52" x14ac:dyDescent="0.2">
      <c r="B305" s="103"/>
      <c r="C305" s="103"/>
      <c r="D305" s="103"/>
      <c r="E305" s="103"/>
      <c r="F305" s="103"/>
      <c r="G305" s="103"/>
      <c r="H305" s="103"/>
      <c r="I305" s="103"/>
      <c r="J305" s="103"/>
      <c r="K305" s="103"/>
      <c r="L305" s="103"/>
      <c r="N305"/>
      <c r="O305"/>
    </row>
    <row r="306" spans="1:52" ht="14.25" customHeight="1" x14ac:dyDescent="0.2">
      <c r="A306" s="122" t="s">
        <v>171</v>
      </c>
      <c r="B306" s="103"/>
      <c r="C306" s="103"/>
      <c r="D306" s="103"/>
      <c r="E306" s="103"/>
      <c r="F306" s="103"/>
      <c r="G306" s="103"/>
      <c r="H306" s="103"/>
      <c r="I306" s="103"/>
      <c r="J306" s="103"/>
      <c r="K306" s="103"/>
      <c r="L306" s="103"/>
      <c r="N306"/>
      <c r="O306"/>
    </row>
    <row r="307" spans="1:52" x14ac:dyDescent="0.2">
      <c r="A307" s="122" t="s">
        <v>148</v>
      </c>
      <c r="B307" s="103"/>
      <c r="C307" s="103"/>
      <c r="D307" s="103"/>
      <c r="E307" s="103"/>
      <c r="F307" s="103"/>
      <c r="G307" s="103"/>
      <c r="H307" s="103"/>
      <c r="I307" s="103"/>
      <c r="J307" s="103"/>
      <c r="K307" s="103"/>
      <c r="L307" s="103"/>
      <c r="N307"/>
      <c r="O307"/>
    </row>
    <row r="308" spans="1:52" x14ac:dyDescent="0.2">
      <c r="A308" s="122" t="s">
        <v>172</v>
      </c>
      <c r="B308" s="103"/>
      <c r="C308" s="103"/>
      <c r="D308" s="103"/>
      <c r="E308" s="103"/>
      <c r="F308" s="103"/>
      <c r="G308" s="103"/>
      <c r="H308" s="103"/>
      <c r="I308" s="103"/>
      <c r="J308" s="103"/>
      <c r="K308" s="103"/>
      <c r="L308" s="103"/>
      <c r="N308"/>
      <c r="O308"/>
    </row>
    <row r="309" spans="1:52" x14ac:dyDescent="0.2">
      <c r="A309" s="145" t="s">
        <v>173</v>
      </c>
      <c r="B309" s="103"/>
      <c r="C309" s="103"/>
      <c r="D309" s="103"/>
      <c r="E309" s="103"/>
      <c r="F309" s="103"/>
      <c r="G309" s="103"/>
      <c r="H309" s="103"/>
      <c r="I309" s="103"/>
      <c r="J309" s="103"/>
      <c r="K309" s="103"/>
      <c r="L309" s="103"/>
      <c r="N309"/>
      <c r="O309"/>
    </row>
    <row r="310" spans="1:52" x14ac:dyDescent="0.2">
      <c r="A310" s="122" t="s">
        <v>174</v>
      </c>
      <c r="B310" s="103"/>
      <c r="C310" s="103"/>
      <c r="D310" s="103"/>
      <c r="E310" s="103"/>
      <c r="F310" s="103"/>
      <c r="G310" s="103"/>
      <c r="H310" s="103"/>
      <c r="I310" s="103"/>
      <c r="J310" s="103"/>
      <c r="K310" s="103"/>
      <c r="L310" s="103"/>
      <c r="N310"/>
      <c r="O310"/>
    </row>
    <row r="311" spans="1:52" x14ac:dyDescent="0.2">
      <c r="A311" s="145" t="s">
        <v>175</v>
      </c>
      <c r="B311" s="103"/>
      <c r="C311" s="103"/>
      <c r="D311" s="103"/>
      <c r="E311" s="103"/>
      <c r="F311" s="103"/>
      <c r="G311" s="103"/>
      <c r="H311" s="103"/>
      <c r="I311" s="103"/>
      <c r="J311" s="103"/>
      <c r="K311" s="103"/>
      <c r="L311" s="103"/>
      <c r="N311"/>
      <c r="O311"/>
      <c r="R311" t="s">
        <v>434</v>
      </c>
    </row>
    <row r="312" spans="1:52" x14ac:dyDescent="0.2">
      <c r="A312" s="122"/>
      <c r="B312" s="103"/>
      <c r="C312" s="103"/>
      <c r="D312" s="103"/>
      <c r="E312" s="103"/>
      <c r="F312" s="103"/>
      <c r="G312" s="103"/>
      <c r="H312" s="103"/>
      <c r="I312" s="103"/>
      <c r="J312" s="103"/>
      <c r="K312" s="103"/>
      <c r="L312" s="103"/>
      <c r="N312"/>
      <c r="O312"/>
    </row>
    <row r="313" spans="1:52" x14ac:dyDescent="0.2">
      <c r="A313" s="122"/>
      <c r="B313" s="103"/>
      <c r="C313" s="103"/>
      <c r="D313" s="103"/>
      <c r="E313" s="103"/>
      <c r="F313" s="103"/>
      <c r="G313" s="103"/>
      <c r="H313" s="103"/>
      <c r="I313" s="103"/>
      <c r="J313" s="103"/>
      <c r="K313" s="103"/>
      <c r="L313" s="103"/>
      <c r="N313"/>
      <c r="O313"/>
      <c r="Q313" s="13">
        <f>'Template IF 2'!GK3</f>
        <v>191</v>
      </c>
      <c r="R313" s="13">
        <f>'Template IF 2'!GL3</f>
        <v>192</v>
      </c>
      <c r="S313" s="13">
        <f>'Template IF 2'!GM3</f>
        <v>193</v>
      </c>
      <c r="T313" s="13">
        <f>'Template IF 2'!GN3</f>
        <v>194</v>
      </c>
      <c r="U313" s="13">
        <f>'Template IF 2'!GO3</f>
        <v>195</v>
      </c>
      <c r="V313" s="13">
        <f>'Template IF 2'!GP3</f>
        <v>196</v>
      </c>
      <c r="W313" s="13">
        <f>'Template IF 2'!GQ3</f>
        <v>197</v>
      </c>
      <c r="X313" s="13">
        <f>'Template IF 2'!GR3</f>
        <v>198</v>
      </c>
      <c r="Y313" s="13">
        <f>'Template IF 2'!GS3</f>
        <v>199</v>
      </c>
      <c r="Z313" s="13">
        <f>'Template IF 2'!GT3</f>
        <v>200</v>
      </c>
      <c r="AA313" s="13">
        <f>'Template IF 2'!GU3</f>
        <v>201</v>
      </c>
      <c r="AB313" s="13">
        <f>'Template IF 2'!GV3</f>
        <v>202</v>
      </c>
      <c r="AC313" s="13">
        <f>'Template IF 2'!GW3</f>
        <v>203</v>
      </c>
      <c r="AD313" s="13">
        <f>'Template IF 2'!GX3</f>
        <v>204</v>
      </c>
      <c r="AE313" s="13">
        <f>'Template IF 2'!GY3</f>
        <v>205</v>
      </c>
      <c r="AF313" s="13">
        <f>'Template IF 2'!GZ3</f>
        <v>206</v>
      </c>
      <c r="AG313" s="13">
        <f>'Template IF 2'!HA3</f>
        <v>207</v>
      </c>
      <c r="AH313" s="13">
        <f>'Template IF 2'!HB3</f>
        <v>208</v>
      </c>
      <c r="AI313" s="13">
        <f>'Template IF 2'!HC3</f>
        <v>209</v>
      </c>
      <c r="AJ313" s="23">
        <f>'Template IF 2'!HD3</f>
        <v>210</v>
      </c>
      <c r="AK313" s="23">
        <f>'Template IF 2'!HE3</f>
        <v>211</v>
      </c>
      <c r="AL313" s="23">
        <f>'Template IF 2'!HF3</f>
        <v>212</v>
      </c>
      <c r="AM313" s="23">
        <f>'Template IF 2'!HG3</f>
        <v>213</v>
      </c>
      <c r="AN313" s="23">
        <f>'Template IF 2'!HH3</f>
        <v>214</v>
      </c>
      <c r="AO313" s="13">
        <f>'Template IF 2'!HI3</f>
        <v>215</v>
      </c>
      <c r="AP313" s="13">
        <f>'Template IF 2'!HJ3</f>
        <v>216</v>
      </c>
      <c r="AQ313" s="13">
        <f>'Template IF 2'!HK3</f>
        <v>217</v>
      </c>
      <c r="AR313" s="22">
        <f>'Template IF 2'!HL3</f>
        <v>218</v>
      </c>
      <c r="AS313" s="22">
        <f>'Template IF 2'!HM3</f>
        <v>219</v>
      </c>
      <c r="AT313" s="22">
        <f>'Template IF 2'!HN3</f>
        <v>220</v>
      </c>
      <c r="AU313" s="22">
        <f>'Template IF 2'!HO3</f>
        <v>221</v>
      </c>
      <c r="AV313" s="22">
        <f>'Template IF 2'!HP3</f>
        <v>222</v>
      </c>
      <c r="AW313" s="12">
        <f>'Template IF 2'!HQ3</f>
        <v>223</v>
      </c>
      <c r="AX313" s="12">
        <f>'Template IF 2'!HR3</f>
        <v>224</v>
      </c>
      <c r="AY313" s="12">
        <f>'Template IF 2'!HS3</f>
        <v>225</v>
      </c>
      <c r="AZ313" s="12">
        <f>'Template IF 2'!HT3</f>
        <v>226</v>
      </c>
    </row>
    <row r="314" spans="1:52" x14ac:dyDescent="0.2">
      <c r="A314" s="122"/>
      <c r="B314" s="103"/>
      <c r="C314" s="103"/>
      <c r="D314" s="103"/>
      <c r="E314" s="103"/>
      <c r="F314" s="103"/>
      <c r="G314" s="103"/>
      <c r="H314" s="103"/>
      <c r="I314" s="103"/>
      <c r="J314" s="103"/>
      <c r="K314" s="103"/>
      <c r="L314" s="103"/>
      <c r="N314"/>
      <c r="O314"/>
      <c r="Q314" s="18" t="e">
        <f>VLOOKUP($A16,'Template IF 2'!$B$3:$HH$112,192,FALSE)</f>
        <v>#N/A</v>
      </c>
      <c r="R314" s="18" t="e">
        <f>VLOOKUP($A16,'Template IF 2'!$B$3:$HH$112,193,FALSE)</f>
        <v>#N/A</v>
      </c>
      <c r="S314" s="18" t="e">
        <f>VLOOKUP($A16,'Template IF 2'!$B$3:$HH$112,194,FALSE)</f>
        <v>#N/A</v>
      </c>
      <c r="T314" s="18" t="e">
        <f>VLOOKUP($A16,'Template IF 2'!$B$3:$HH$112,195,FALSE)</f>
        <v>#N/A</v>
      </c>
      <c r="U314" s="13" t="e">
        <f>VLOOKUP($A16,'Template IF 2'!$B$3:$HH$112,196,FALSE)</f>
        <v>#N/A</v>
      </c>
      <c r="V314" s="13" t="e">
        <f>VLOOKUP($A16,'Template IF 2'!$B$3:$HH$112,197,FALSE)</f>
        <v>#N/A</v>
      </c>
      <c r="W314" s="13" t="e">
        <f>VLOOKUP($A16,'Template IF 2'!$B$3:$HH$112,198,FALSE)</f>
        <v>#N/A</v>
      </c>
      <c r="X314" s="13" t="e">
        <f>VLOOKUP($A16,'Template IF 2'!$B$3:$HH$112,199,FALSE)</f>
        <v>#N/A</v>
      </c>
      <c r="Y314" s="13" t="e">
        <f>VLOOKUP($A16,'Template IF 2'!$B$3:$HH$112,200,FALSE)</f>
        <v>#N/A</v>
      </c>
      <c r="Z314" s="13" t="e">
        <f>VLOOKUP($A16,'Template IF 2'!$B$3:$HH$112,201,FALSE)</f>
        <v>#N/A</v>
      </c>
      <c r="AA314" s="13" t="e">
        <f>VLOOKUP($A16,'Template IF 2'!$B$3:$HH$112,202,FALSE)</f>
        <v>#N/A</v>
      </c>
      <c r="AB314" s="13" t="e">
        <f>VLOOKUP($A16,'Template IF 2'!$B$3:$HH$112,203,FALSE)</f>
        <v>#N/A</v>
      </c>
      <c r="AC314" s="13" t="e">
        <f>VLOOKUP($A16,'Template IF 2'!$B$3:$HH$112,204,FALSE)</f>
        <v>#N/A</v>
      </c>
      <c r="AD314" s="13" t="e">
        <f>VLOOKUP($A16,'Template IF 2'!$B$3:$HH$112,205,FALSE)</f>
        <v>#N/A</v>
      </c>
      <c r="AE314" s="13" t="e">
        <f>VLOOKUP($A16,'Template IF 2'!$B$3:$HH$112,206,FALSE)</f>
        <v>#N/A</v>
      </c>
      <c r="AF314" s="13" t="e">
        <f>VLOOKUP($A16,'Template IF 2'!$B$3:$HH$112,207,FALSE)</f>
        <v>#N/A</v>
      </c>
      <c r="AG314" s="13" t="e">
        <f>VLOOKUP($A16,'Template IF 2'!$B$3:$HH$112,208,FALSE)</f>
        <v>#N/A</v>
      </c>
      <c r="AH314" s="13" t="e">
        <f>VLOOKUP($A16,'Template IF 2'!$B$3:$HH$112,209,FALSE)</f>
        <v>#N/A</v>
      </c>
      <c r="AI314" s="13" t="e">
        <f>VLOOKUP($A16,'Template IF 2'!$B$3:$HH$112,210,FALSE)</f>
        <v>#N/A</v>
      </c>
      <c r="AJ314" s="22" t="e">
        <f>VLOOKUP($A16,'Template IF 2'!$B$3:$HH$112,211,FALSE)</f>
        <v>#N/A</v>
      </c>
      <c r="AK314" s="22" t="e">
        <f>VLOOKUP($A16,'Template IF 2'!$B$3:$HH$112,212,FALSE)</f>
        <v>#N/A</v>
      </c>
      <c r="AL314" s="22" t="e">
        <f>VLOOKUP($A16,'Template IF 2'!$B$3:$HH$112,213,FALSE)</f>
        <v>#N/A</v>
      </c>
      <c r="AM314" s="22" t="e">
        <f>VLOOKUP($A16,'Template IF 2'!$B$3:$HH$112,214,FALSE)</f>
        <v>#N/A</v>
      </c>
      <c r="AN314" s="22" t="e">
        <f>VLOOKUP($A16,'Template IF 2'!$B$3:$HH$112,215,FALSE)</f>
        <v>#N/A</v>
      </c>
      <c r="AO314" s="16" t="e">
        <f>VLOOKUP($A16,'Template IF 2'!$B$3:$HK$112,216,FALSE)</f>
        <v>#N/A</v>
      </c>
      <c r="AP314" s="16" t="e">
        <f>VLOOKUP($A16,'Template IF 2'!$B$3:$HK$112,217,FALSE)</f>
        <v>#N/A</v>
      </c>
      <c r="AQ314" s="16" t="e">
        <f>VLOOKUP($A16,'Template IF 2'!$B$3:$HK$112,218,FALSE)</f>
        <v>#N/A</v>
      </c>
      <c r="AR314" s="22" t="e">
        <f>VLOOKUP($A16,'Template IF 2'!$B$3:$HU$112,219,FALSE)</f>
        <v>#N/A</v>
      </c>
      <c r="AS314" s="22" t="e">
        <f>VLOOKUP($A16,'Template IF 2'!$B$3:$HU$112,220,FALSE)</f>
        <v>#N/A</v>
      </c>
      <c r="AT314" s="22" t="e">
        <f>VLOOKUP($A16,'Template IF 2'!$B$3:$HU$112,221,FALSE)</f>
        <v>#N/A</v>
      </c>
      <c r="AU314" s="22" t="e">
        <f>VLOOKUP($A16,'Template IF 2'!$B$3:$HU$112,222,FALSE)</f>
        <v>#N/A</v>
      </c>
      <c r="AV314" s="22" t="e">
        <f>VLOOKUP($A16,'Template IF 2'!$B$3:$HU$112,223,FALSE)</f>
        <v>#N/A</v>
      </c>
      <c r="AW314" s="22" t="e">
        <f>VLOOKUP($A16,'Template IF 2'!$B$3:$HU$112,224,FALSE)</f>
        <v>#N/A</v>
      </c>
      <c r="AX314" s="22" t="e">
        <f>VLOOKUP($A16,'Template IF 2'!$B$3:$HU$112,225,FALSE)</f>
        <v>#N/A</v>
      </c>
      <c r="AY314" s="22" t="e">
        <f>VLOOKUP($A16,'Template IF 2'!$B$3:$HU$112,226,FALSE)</f>
        <v>#N/A</v>
      </c>
      <c r="AZ314" s="22" t="e">
        <f>VLOOKUP($A16,'Template IF 2'!$B$3:$HU$112,227,FALSE)</f>
        <v>#N/A</v>
      </c>
    </row>
    <row r="315" spans="1:52" x14ac:dyDescent="0.2">
      <c r="A315" s="122"/>
      <c r="N315"/>
      <c r="O315"/>
      <c r="Q315" s="18" t="e">
        <f>VLOOKUP($A18,'Template IF 2'!$B$3:$HH$112,192,FALSE)</f>
        <v>#N/A</v>
      </c>
      <c r="R315" s="18" t="e">
        <f>VLOOKUP($A18,'Template IF 2'!$B$3:$HH$112,193,FALSE)</f>
        <v>#N/A</v>
      </c>
      <c r="S315" s="18" t="e">
        <f>VLOOKUP($A18,'Template IF 2'!$B$3:$HH$112,194,FALSE)</f>
        <v>#N/A</v>
      </c>
      <c r="T315" s="18" t="e">
        <f>VLOOKUP($A18,'Template IF 2'!$B$3:$HH$112,195,FALSE)</f>
        <v>#N/A</v>
      </c>
      <c r="U315" s="13" t="e">
        <f>VLOOKUP($A18,'Template IF 2'!$B$3:$HH$112,196,FALSE)</f>
        <v>#N/A</v>
      </c>
      <c r="V315" s="13" t="e">
        <f>VLOOKUP($A18,'Template IF 2'!$B$3:$HH$112,197,FALSE)</f>
        <v>#N/A</v>
      </c>
      <c r="W315" s="13" t="e">
        <f>VLOOKUP($A18,'Template IF 2'!$B$3:$HH$112,198,FALSE)</f>
        <v>#N/A</v>
      </c>
      <c r="X315" s="13" t="e">
        <f>VLOOKUP($A18,'Template IF 2'!$B$3:$HH$112,199,FALSE)</f>
        <v>#N/A</v>
      </c>
      <c r="Y315" s="13" t="e">
        <f>VLOOKUP($A18,'Template IF 2'!$B$3:$HH$112,200,FALSE)</f>
        <v>#N/A</v>
      </c>
      <c r="Z315" s="13" t="e">
        <f>VLOOKUP($A18,'Template IF 2'!$B$3:$HH$112,201,FALSE)</f>
        <v>#N/A</v>
      </c>
      <c r="AA315" s="13" t="e">
        <f>VLOOKUP($A18,'Template IF 2'!$B$3:$HH$112,202,FALSE)</f>
        <v>#N/A</v>
      </c>
      <c r="AB315" s="13" t="e">
        <f>VLOOKUP($A18,'Template IF 2'!$B$3:$HH$112,203,FALSE)</f>
        <v>#N/A</v>
      </c>
      <c r="AC315" s="13" t="e">
        <f>VLOOKUP($A18,'Template IF 2'!$B$3:$HH$112,204,FALSE)</f>
        <v>#N/A</v>
      </c>
      <c r="AD315" s="13" t="e">
        <f>VLOOKUP($A18,'Template IF 2'!$B$3:$HH$112,205,FALSE)</f>
        <v>#N/A</v>
      </c>
      <c r="AE315" s="13" t="e">
        <f>VLOOKUP($A18,'Template IF 2'!$B$3:$HH$112,206,FALSE)</f>
        <v>#N/A</v>
      </c>
      <c r="AF315" s="13" t="e">
        <f>VLOOKUP($A18,'Template IF 2'!$B$3:$HH$112,207,FALSE)</f>
        <v>#N/A</v>
      </c>
      <c r="AG315" s="13" t="e">
        <f>VLOOKUP($A18,'Template IF 2'!$B$3:$HH$112,208,FALSE)</f>
        <v>#N/A</v>
      </c>
      <c r="AH315" s="13" t="e">
        <f>VLOOKUP($A18,'Template IF 2'!$B$3:$HH$112,209,FALSE)</f>
        <v>#N/A</v>
      </c>
      <c r="AI315" s="13" t="e">
        <f>VLOOKUP($A18,'Template IF 2'!$B$3:$HH$112,210,FALSE)</f>
        <v>#N/A</v>
      </c>
      <c r="AJ315" s="22" t="e">
        <f>VLOOKUP($A18,'Template IF 2'!$B$3:$HH$112,211,FALSE)</f>
        <v>#N/A</v>
      </c>
      <c r="AK315" s="22" t="e">
        <f>VLOOKUP($A18,'Template IF 2'!$B$3:$HH$112,212,FALSE)</f>
        <v>#N/A</v>
      </c>
      <c r="AL315" s="22" t="e">
        <f>VLOOKUP($A18,'Template IF 2'!$B$3:$HH$112,213,FALSE)</f>
        <v>#N/A</v>
      </c>
      <c r="AM315" s="22" t="e">
        <f>VLOOKUP($A18,'Template IF 2'!$B$3:$HH$112,214,FALSE)</f>
        <v>#N/A</v>
      </c>
      <c r="AN315" s="22" t="e">
        <f>VLOOKUP($A18,'Template IF 2'!$B$3:$HH$112,215,FALSE)</f>
        <v>#N/A</v>
      </c>
      <c r="AO315" s="16" t="e">
        <f>VLOOKUP($A18,'Template IF 2'!$B$3:$HK$112,216,FALSE)</f>
        <v>#N/A</v>
      </c>
      <c r="AP315" s="16" t="e">
        <f>VLOOKUP($A18,'Template IF 2'!$B$3:$HK$112,217,FALSE)</f>
        <v>#N/A</v>
      </c>
      <c r="AQ315" s="16" t="e">
        <f>VLOOKUP($A18,'Template IF 2'!$B$3:$HK$112,218,FALSE)</f>
        <v>#N/A</v>
      </c>
      <c r="AR315" s="22" t="e">
        <f>VLOOKUP($A18,'Template IF 2'!$B$3:$HU$112,219,FALSE)</f>
        <v>#N/A</v>
      </c>
      <c r="AS315" s="22" t="e">
        <f>VLOOKUP($A18,'Template IF 2'!$B$3:$HU$112,220,FALSE)</f>
        <v>#N/A</v>
      </c>
      <c r="AT315" s="22" t="e">
        <f>VLOOKUP($A18,'Template IF 2'!$B$3:$HU$112,221,FALSE)</f>
        <v>#N/A</v>
      </c>
      <c r="AU315" s="22" t="e">
        <f>VLOOKUP($A18,'Template IF 2'!$B$3:$HU$112,222,FALSE)</f>
        <v>#N/A</v>
      </c>
      <c r="AV315" s="22" t="e">
        <f>VLOOKUP($A18,'Template IF 2'!$B$3:$HU$112,223,FALSE)</f>
        <v>#N/A</v>
      </c>
      <c r="AW315" s="22" t="e">
        <f>VLOOKUP($A18,'Template IF 2'!$B$3:$HU$112,224,FALSE)</f>
        <v>#N/A</v>
      </c>
      <c r="AX315" s="22" t="e">
        <f>VLOOKUP($A18,'Template IF 2'!$B$3:$HU$112,225,FALSE)</f>
        <v>#N/A</v>
      </c>
      <c r="AY315" s="22" t="e">
        <f>VLOOKUP($A18,'Template IF 2'!$B$3:$HU$112,226,FALSE)</f>
        <v>#N/A</v>
      </c>
      <c r="AZ315" s="22" t="e">
        <f>VLOOKUP($A18,'Template IF 2'!$B$3:$HU$112,227,FALSE)</f>
        <v>#N/A</v>
      </c>
    </row>
    <row r="316" spans="1:52" x14ac:dyDescent="0.2">
      <c r="A316" s="122"/>
      <c r="N316"/>
      <c r="O316"/>
      <c r="Q316" s="18" t="e">
        <f>VLOOKUP($A20,'Template IF 2'!$B$3:$HH$112,192,FALSE)</f>
        <v>#N/A</v>
      </c>
      <c r="R316" s="18" t="e">
        <f>VLOOKUP($A20,'Template IF 2'!$B$3:$HH$112,193,FALSE)</f>
        <v>#N/A</v>
      </c>
      <c r="S316" s="18" t="e">
        <f>VLOOKUP($A20,'Template IF 2'!$B$3:$HH$112,194,FALSE)</f>
        <v>#N/A</v>
      </c>
      <c r="T316" s="18" t="e">
        <f>VLOOKUP($A20,'Template IF 2'!$B$3:$HH$112,195,FALSE)</f>
        <v>#N/A</v>
      </c>
      <c r="U316" s="13" t="e">
        <f>VLOOKUP($A20,'Template IF 2'!$B$3:$HH$112,196,FALSE)</f>
        <v>#N/A</v>
      </c>
      <c r="V316" s="13" t="e">
        <f>VLOOKUP($A20,'Template IF 2'!$B$3:$HH$112,197,FALSE)</f>
        <v>#N/A</v>
      </c>
      <c r="W316" s="13" t="e">
        <f>VLOOKUP($A20,'Template IF 2'!$B$3:$HH$112,198,FALSE)</f>
        <v>#N/A</v>
      </c>
      <c r="X316" s="13" t="e">
        <f>VLOOKUP($A20,'Template IF 2'!$B$3:$HH$112,199,FALSE)</f>
        <v>#N/A</v>
      </c>
      <c r="Y316" s="13" t="e">
        <f>VLOOKUP($A20,'Template IF 2'!$B$3:$HH$112,200,FALSE)</f>
        <v>#N/A</v>
      </c>
      <c r="Z316" s="13" t="e">
        <f>VLOOKUP($A20,'Template IF 2'!$B$3:$HH$112,201,FALSE)</f>
        <v>#N/A</v>
      </c>
      <c r="AA316" s="13" t="e">
        <f>VLOOKUP($A20,'Template IF 2'!$B$3:$HH$112,202,FALSE)</f>
        <v>#N/A</v>
      </c>
      <c r="AB316" s="13" t="e">
        <f>VLOOKUP($A20,'Template IF 2'!$B$3:$HH$112,203,FALSE)</f>
        <v>#N/A</v>
      </c>
      <c r="AC316" s="13" t="e">
        <f>VLOOKUP($A20,'Template IF 2'!$B$3:$HH$112,204,FALSE)</f>
        <v>#N/A</v>
      </c>
      <c r="AD316" s="13" t="e">
        <f>VLOOKUP($A20,'Template IF 2'!$B$3:$HH$112,205,FALSE)</f>
        <v>#N/A</v>
      </c>
      <c r="AE316" s="13" t="e">
        <f>VLOOKUP($A20,'Template IF 2'!$B$3:$HH$112,206,FALSE)</f>
        <v>#N/A</v>
      </c>
      <c r="AF316" s="13" t="e">
        <f>VLOOKUP($A20,'Template IF 2'!$B$3:$HH$112,207,FALSE)</f>
        <v>#N/A</v>
      </c>
      <c r="AG316" s="13" t="e">
        <f>VLOOKUP($A20,'Template IF 2'!$B$3:$HH$112,208,FALSE)</f>
        <v>#N/A</v>
      </c>
      <c r="AH316" s="13" t="e">
        <f>VLOOKUP($A20,'Template IF 2'!$B$3:$HH$112,209,FALSE)</f>
        <v>#N/A</v>
      </c>
      <c r="AI316" s="13" t="e">
        <f>VLOOKUP($A20,'Template IF 2'!$B$3:$HH$112,210,FALSE)</f>
        <v>#N/A</v>
      </c>
      <c r="AJ316" s="22" t="e">
        <f>VLOOKUP($A20,'Template IF 2'!$B$3:$HH$112,211,FALSE)</f>
        <v>#N/A</v>
      </c>
      <c r="AK316" s="22" t="e">
        <f>VLOOKUP($A20,'Template IF 2'!$B$3:$HH$112,212,FALSE)</f>
        <v>#N/A</v>
      </c>
      <c r="AL316" s="22" t="e">
        <f>VLOOKUP($A20,'Template IF 2'!$B$3:$HH$112,213,FALSE)</f>
        <v>#N/A</v>
      </c>
      <c r="AM316" s="22" t="e">
        <f>VLOOKUP($A20,'Template IF 2'!$B$3:$HH$112,214,FALSE)</f>
        <v>#N/A</v>
      </c>
      <c r="AN316" s="22" t="e">
        <f>VLOOKUP($A20,'Template IF 2'!$B$3:$HH$112,215,FALSE)</f>
        <v>#N/A</v>
      </c>
      <c r="AO316" s="16" t="e">
        <f>VLOOKUP($A20,'Template IF 2'!$B$3:$HK$112,216,FALSE)</f>
        <v>#N/A</v>
      </c>
      <c r="AP316" s="16" t="e">
        <f>VLOOKUP($A20,'Template IF 2'!$B$3:$HK$112,217,FALSE)</f>
        <v>#N/A</v>
      </c>
      <c r="AQ316" s="16" t="e">
        <f>VLOOKUP($A20,'Template IF 2'!$B$3:$HK$112,218,FALSE)</f>
        <v>#N/A</v>
      </c>
      <c r="AR316" s="22" t="e">
        <f>VLOOKUP($A20,'Template IF 2'!$B$3:$HU$112,219,FALSE)</f>
        <v>#N/A</v>
      </c>
      <c r="AS316" s="22" t="e">
        <f>VLOOKUP($A20,'Template IF 2'!$B$3:$HU$112,220,FALSE)</f>
        <v>#N/A</v>
      </c>
      <c r="AT316" s="22" t="e">
        <f>VLOOKUP($A20,'Template IF 2'!$B$3:$HU$112,221,FALSE)</f>
        <v>#N/A</v>
      </c>
      <c r="AU316" s="22" t="e">
        <f>VLOOKUP($A20,'Template IF 2'!$B$3:$HU$112,222,FALSE)</f>
        <v>#N/A</v>
      </c>
      <c r="AV316" s="22" t="e">
        <f>VLOOKUP($A20,'Template IF 2'!$B$3:$HU$112,223,FALSE)</f>
        <v>#N/A</v>
      </c>
      <c r="AW316" s="22" t="e">
        <f>VLOOKUP($A20,'Template IF 2'!$B$3:$HU$112,224,FALSE)</f>
        <v>#N/A</v>
      </c>
      <c r="AX316" s="22" t="e">
        <f>VLOOKUP($A20,'Template IF 2'!$B$3:$HU$112,225,FALSE)</f>
        <v>#N/A</v>
      </c>
      <c r="AY316" s="22" t="e">
        <f>VLOOKUP($A20,'Template IF 2'!$B$3:$HU$112,226,FALSE)</f>
        <v>#N/A</v>
      </c>
      <c r="AZ316" s="22" t="e">
        <f>VLOOKUP($A20,'Template IF 2'!$B$3:$HU$112,227,FALSE)</f>
        <v>#N/A</v>
      </c>
    </row>
    <row r="317" spans="1:52" x14ac:dyDescent="0.2">
      <c r="N317"/>
      <c r="O317"/>
      <c r="Q317" s="18" t="e">
        <f>VLOOKUP($A22,'Template IF 2'!$B$3:$HH$112,192,FALSE)</f>
        <v>#N/A</v>
      </c>
      <c r="R317" s="18" t="e">
        <f>VLOOKUP($A22,'Template IF 2'!$B$3:$HH$112,193,FALSE)</f>
        <v>#N/A</v>
      </c>
      <c r="S317" s="18" t="e">
        <f>VLOOKUP($A22,'Template IF 2'!$B$3:$HH$112,194,FALSE)</f>
        <v>#N/A</v>
      </c>
      <c r="T317" s="18" t="e">
        <f>VLOOKUP($A22,'Template IF 2'!$B$3:$HH$112,195,FALSE)</f>
        <v>#N/A</v>
      </c>
      <c r="U317" s="13" t="e">
        <f>VLOOKUP($A22,'Template IF 2'!$B$3:$HH$112,196,FALSE)</f>
        <v>#N/A</v>
      </c>
      <c r="V317" s="13" t="e">
        <f>VLOOKUP($A22,'Template IF 2'!$B$3:$HH$112,197,FALSE)</f>
        <v>#N/A</v>
      </c>
      <c r="W317" s="13" t="e">
        <f>VLOOKUP($A22,'Template IF 2'!$B$3:$HH$112,198,FALSE)</f>
        <v>#N/A</v>
      </c>
      <c r="X317" s="13" t="e">
        <f>VLOOKUP($A22,'Template IF 2'!$B$3:$HH$112,199,FALSE)</f>
        <v>#N/A</v>
      </c>
      <c r="Y317" s="13" t="e">
        <f>VLOOKUP($A22,'Template IF 2'!$B$3:$HH$112,200,FALSE)</f>
        <v>#N/A</v>
      </c>
      <c r="Z317" s="13" t="e">
        <f>VLOOKUP($A22,'Template IF 2'!$B$3:$HH$112,201,FALSE)</f>
        <v>#N/A</v>
      </c>
      <c r="AA317" s="13" t="e">
        <f>VLOOKUP($A22,'Template IF 2'!$B$3:$HH$112,202,FALSE)</f>
        <v>#N/A</v>
      </c>
      <c r="AB317" s="13" t="e">
        <f>VLOOKUP($A22,'Template IF 2'!$B$3:$HH$112,203,FALSE)</f>
        <v>#N/A</v>
      </c>
      <c r="AC317" s="13" t="e">
        <f>VLOOKUP($A22,'Template IF 2'!$B$3:$HH$112,204,FALSE)</f>
        <v>#N/A</v>
      </c>
      <c r="AD317" s="13" t="e">
        <f>VLOOKUP($A22,'Template IF 2'!$B$3:$HH$112,205,FALSE)</f>
        <v>#N/A</v>
      </c>
      <c r="AE317" s="13" t="e">
        <f>VLOOKUP($A22,'Template IF 2'!$B$3:$HH$112,206,FALSE)</f>
        <v>#N/A</v>
      </c>
      <c r="AF317" s="13" t="e">
        <f>VLOOKUP($A22,'Template IF 2'!$B$3:$HH$112,207,FALSE)</f>
        <v>#N/A</v>
      </c>
      <c r="AG317" s="13" t="e">
        <f>VLOOKUP($A22,'Template IF 2'!$B$3:$HH$112,208,FALSE)</f>
        <v>#N/A</v>
      </c>
      <c r="AH317" s="13" t="e">
        <f>VLOOKUP($A22,'Template IF 2'!$B$3:$HH$112,209,FALSE)</f>
        <v>#N/A</v>
      </c>
      <c r="AI317" s="13" t="e">
        <f>VLOOKUP($A22,'Template IF 2'!$B$3:$HH$112,210,FALSE)</f>
        <v>#N/A</v>
      </c>
      <c r="AJ317" s="22" t="e">
        <f>VLOOKUP($A22,'Template IF 2'!$B$3:$HH$112,211,FALSE)</f>
        <v>#N/A</v>
      </c>
      <c r="AK317" s="22" t="e">
        <f>VLOOKUP($A22,'Template IF 2'!$B$3:$HH$112,212,FALSE)</f>
        <v>#N/A</v>
      </c>
      <c r="AL317" s="22" t="e">
        <f>VLOOKUP($A22,'Template IF 2'!$B$3:$HH$112,213,FALSE)</f>
        <v>#N/A</v>
      </c>
      <c r="AM317" s="22" t="e">
        <f>VLOOKUP($A22,'Template IF 2'!$B$3:$HH$112,214,FALSE)</f>
        <v>#N/A</v>
      </c>
      <c r="AN317" s="22" t="e">
        <f>VLOOKUP($A22,'Template IF 2'!$B$3:$HH$112,215,FALSE)</f>
        <v>#N/A</v>
      </c>
      <c r="AO317" s="16" t="e">
        <f>VLOOKUP($A22,'Template IF 2'!$B$3:$HK$112,216,FALSE)</f>
        <v>#N/A</v>
      </c>
      <c r="AP317" s="16" t="e">
        <f>VLOOKUP($A22,'Template IF 2'!$B$3:$HK$112,217,FALSE)</f>
        <v>#N/A</v>
      </c>
      <c r="AQ317" s="16" t="e">
        <f>VLOOKUP($A22,'Template IF 2'!$B$3:$HK$112,218,FALSE)</f>
        <v>#N/A</v>
      </c>
      <c r="AR317" s="22" t="e">
        <f>VLOOKUP($A22,'Template IF 2'!$B$3:$HU$112,219,FALSE)</f>
        <v>#N/A</v>
      </c>
      <c r="AS317" s="22" t="e">
        <f>VLOOKUP($A22,'Template IF 2'!$B$3:$HU$112,220,FALSE)</f>
        <v>#N/A</v>
      </c>
      <c r="AT317" s="22" t="e">
        <f>VLOOKUP($A22,'Template IF 2'!$B$3:$HU$112,221,FALSE)</f>
        <v>#N/A</v>
      </c>
      <c r="AU317" s="22" t="e">
        <f>VLOOKUP($A22,'Template IF 2'!$B$3:$HU$112,222,FALSE)</f>
        <v>#N/A</v>
      </c>
      <c r="AV317" s="22" t="e">
        <f>VLOOKUP($A22,'Template IF 2'!$B$3:$HU$112,223,FALSE)</f>
        <v>#N/A</v>
      </c>
      <c r="AW317" s="22" t="e">
        <f>VLOOKUP($A22,'Template IF 2'!$B$3:$HU$112,224,FALSE)</f>
        <v>#N/A</v>
      </c>
      <c r="AX317" s="22" t="e">
        <f>VLOOKUP($A22,'Template IF 2'!$B$3:$HU$112,225,FALSE)</f>
        <v>#N/A</v>
      </c>
      <c r="AY317" s="22" t="e">
        <f>VLOOKUP($A22,'Template IF 2'!$B$3:$HU$112,226,FALSE)</f>
        <v>#N/A</v>
      </c>
      <c r="AZ317" s="22" t="e">
        <f>VLOOKUP($A22,'Template IF 2'!$B$3:$HU$112,227,FALSE)</f>
        <v>#N/A</v>
      </c>
    </row>
    <row r="318" spans="1:52" x14ac:dyDescent="0.2">
      <c r="N318"/>
      <c r="O318"/>
      <c r="Q318" s="18" t="e">
        <f>VLOOKUP($A24,'Template IF 2'!$B$3:$HH$112,192,FALSE)</f>
        <v>#N/A</v>
      </c>
      <c r="R318" s="18" t="e">
        <f>VLOOKUP($A24,'Template IF 2'!$B$3:$HH$112,193,FALSE)</f>
        <v>#N/A</v>
      </c>
      <c r="S318" s="18" t="e">
        <f>VLOOKUP($A24,'Template IF 2'!$B$3:$HH$112,194,FALSE)</f>
        <v>#N/A</v>
      </c>
      <c r="T318" s="18" t="e">
        <f>VLOOKUP($A24,'Template IF 2'!$B$3:$HH$112,195,FALSE)</f>
        <v>#N/A</v>
      </c>
      <c r="U318" s="13" t="e">
        <f>VLOOKUP($A24,'Template IF 2'!$B$3:$HH$112,196,FALSE)</f>
        <v>#N/A</v>
      </c>
      <c r="V318" s="13" t="e">
        <f>VLOOKUP($A24,'Template IF 2'!$B$3:$HH$112,197,FALSE)</f>
        <v>#N/A</v>
      </c>
      <c r="W318" s="13" t="e">
        <f>VLOOKUP($A24,'Template IF 2'!$B$3:$HH$112,198,FALSE)</f>
        <v>#N/A</v>
      </c>
      <c r="X318" s="13" t="e">
        <f>VLOOKUP($A24,'Template IF 2'!$B$3:$HH$112,199,FALSE)</f>
        <v>#N/A</v>
      </c>
      <c r="Y318" s="13" t="e">
        <f>VLOOKUP($A24,'Template IF 2'!$B$3:$HH$112,200,FALSE)</f>
        <v>#N/A</v>
      </c>
      <c r="Z318" s="13" t="e">
        <f>VLOOKUP($A24,'Template IF 2'!$B$3:$HH$112,201,FALSE)</f>
        <v>#N/A</v>
      </c>
      <c r="AA318" s="13" t="e">
        <f>VLOOKUP($A24,'Template IF 2'!$B$3:$HH$112,202,FALSE)</f>
        <v>#N/A</v>
      </c>
      <c r="AB318" s="13" t="e">
        <f>VLOOKUP($A24,'Template IF 2'!$B$3:$HH$112,203,FALSE)</f>
        <v>#N/A</v>
      </c>
      <c r="AC318" s="13" t="e">
        <f>VLOOKUP($A24,'Template IF 2'!$B$3:$HH$112,204,FALSE)</f>
        <v>#N/A</v>
      </c>
      <c r="AD318" s="13" t="e">
        <f>VLOOKUP($A24,'Template IF 2'!$B$3:$HH$112,205,FALSE)</f>
        <v>#N/A</v>
      </c>
      <c r="AE318" s="13" t="e">
        <f>VLOOKUP($A24,'Template IF 2'!$B$3:$HH$112,206,FALSE)</f>
        <v>#N/A</v>
      </c>
      <c r="AF318" s="13" t="e">
        <f>VLOOKUP($A24,'Template IF 2'!$B$3:$HH$112,207,FALSE)</f>
        <v>#N/A</v>
      </c>
      <c r="AG318" s="13" t="e">
        <f>VLOOKUP($A24,'Template IF 2'!$B$3:$HH$112,208,FALSE)</f>
        <v>#N/A</v>
      </c>
      <c r="AH318" s="13" t="e">
        <f>VLOOKUP($A24,'Template IF 2'!$B$3:$HH$112,209,FALSE)</f>
        <v>#N/A</v>
      </c>
      <c r="AI318" s="13" t="e">
        <f>VLOOKUP($A24,'Template IF 2'!$B$3:$HH$112,210,FALSE)</f>
        <v>#N/A</v>
      </c>
      <c r="AJ318" s="22" t="e">
        <f>VLOOKUP($A24,'Template IF 2'!$B$3:$HH$112,211,FALSE)</f>
        <v>#N/A</v>
      </c>
      <c r="AK318" s="22" t="e">
        <f>VLOOKUP($A24,'Template IF 2'!$B$3:$HH$112,212,FALSE)</f>
        <v>#N/A</v>
      </c>
      <c r="AL318" s="22" t="e">
        <f>VLOOKUP($A24,'Template IF 2'!$B$3:$HH$112,213,FALSE)</f>
        <v>#N/A</v>
      </c>
      <c r="AM318" s="22" t="e">
        <f>VLOOKUP($A24,'Template IF 2'!$B$3:$HH$112,214,FALSE)</f>
        <v>#N/A</v>
      </c>
      <c r="AN318" s="22" t="e">
        <f>VLOOKUP($A24,'Template IF 2'!$B$3:$HH$112,215,FALSE)</f>
        <v>#N/A</v>
      </c>
      <c r="AO318" s="16" t="e">
        <f>VLOOKUP($A24,'Template IF 2'!$B$3:$HK$112,216,FALSE)</f>
        <v>#N/A</v>
      </c>
      <c r="AP318" s="16" t="e">
        <f>VLOOKUP($A24,'Template IF 2'!$B$3:$HK$112,217,FALSE)</f>
        <v>#N/A</v>
      </c>
      <c r="AQ318" s="16" t="e">
        <f>VLOOKUP($A24,'Template IF 2'!$B$3:$HK$112,218,FALSE)</f>
        <v>#N/A</v>
      </c>
      <c r="AR318" s="22" t="e">
        <f>VLOOKUP($A24,'Template IF 2'!$B$3:$HU$112,219,FALSE)</f>
        <v>#N/A</v>
      </c>
      <c r="AS318" s="22" t="e">
        <f>VLOOKUP($A24,'Template IF 2'!$B$3:$HU$112,220,FALSE)</f>
        <v>#N/A</v>
      </c>
      <c r="AT318" s="22" t="e">
        <f>VLOOKUP($A24,'Template IF 2'!$B$3:$HU$112,221,FALSE)</f>
        <v>#N/A</v>
      </c>
      <c r="AU318" s="22" t="e">
        <f>VLOOKUP($A24,'Template IF 2'!$B$3:$HU$112,222,FALSE)</f>
        <v>#N/A</v>
      </c>
      <c r="AV318" s="22" t="e">
        <f>VLOOKUP($A24,'Template IF 2'!$B$3:$HU$112,223,FALSE)</f>
        <v>#N/A</v>
      </c>
      <c r="AW318" s="22" t="e">
        <f>VLOOKUP($A24,'Template IF 2'!$B$3:$HU$112,224,FALSE)</f>
        <v>#N/A</v>
      </c>
      <c r="AX318" s="22" t="e">
        <f>VLOOKUP($A24,'Template IF 2'!$B$3:$HU$112,225,FALSE)</f>
        <v>#N/A</v>
      </c>
      <c r="AY318" s="22" t="e">
        <f>VLOOKUP($A24,'Template IF 2'!$B$3:$HU$112,226,FALSE)</f>
        <v>#N/A</v>
      </c>
      <c r="AZ318" s="22" t="e">
        <f>VLOOKUP($A24,'Template IF 2'!$B$3:$HU$112,227,FALSE)</f>
        <v>#N/A</v>
      </c>
    </row>
    <row r="319" spans="1:52" x14ac:dyDescent="0.2">
      <c r="N319"/>
      <c r="O319"/>
      <c r="Q319" s="20" t="e">
        <f>VLOOKUP($A26,'Template IF 2'!$B$3:$HH$112,192,FALSE)</f>
        <v>#N/A</v>
      </c>
      <c r="R319" s="20" t="e">
        <f>VLOOKUP($A26,'Template IF 2'!$B$3:$HH$112,193,FALSE)</f>
        <v>#N/A</v>
      </c>
      <c r="S319" s="20" t="e">
        <f>VLOOKUP($A26,'Template IF 2'!$B$3:$HH$112,194,FALSE)</f>
        <v>#N/A</v>
      </c>
      <c r="T319" s="20" t="e">
        <f>VLOOKUP($A26,'Template IF 2'!$B$3:$HH$112,195,FALSE)</f>
        <v>#N/A</v>
      </c>
      <c r="U319" s="14" t="e">
        <f>VLOOKUP($A26,'Template IF 2'!$B$3:$HH$112,196,FALSE)</f>
        <v>#N/A</v>
      </c>
      <c r="V319" s="14" t="e">
        <f>VLOOKUP($A26,'Template IF 2'!$B$3:$HH$112,197,FALSE)</f>
        <v>#N/A</v>
      </c>
      <c r="W319" s="14" t="e">
        <f>VLOOKUP($A26,'Template IF 2'!$B$3:$HH$112,198,FALSE)</f>
        <v>#N/A</v>
      </c>
      <c r="X319" s="14" t="e">
        <f>VLOOKUP($A26,'Template IF 2'!$B$3:$HH$112,199,FALSE)</f>
        <v>#N/A</v>
      </c>
      <c r="Y319" s="14" t="e">
        <f>VLOOKUP($A26,'Template IF 2'!$B$3:$HH$112,200,FALSE)</f>
        <v>#N/A</v>
      </c>
      <c r="Z319" s="14" t="e">
        <f>VLOOKUP($A26,'Template IF 2'!$B$3:$HH$112,201,FALSE)</f>
        <v>#N/A</v>
      </c>
      <c r="AA319" s="14" t="e">
        <f>VLOOKUP($A26,'Template IF 2'!$B$3:$HH$112,202,FALSE)</f>
        <v>#N/A</v>
      </c>
      <c r="AB319" s="14" t="e">
        <f>VLOOKUP($A26,'Template IF 2'!$B$3:$HH$112,203,FALSE)</f>
        <v>#N/A</v>
      </c>
      <c r="AC319" s="14" t="e">
        <f>VLOOKUP($A26,'Template IF 2'!$B$3:$HH$112,204,FALSE)</f>
        <v>#N/A</v>
      </c>
      <c r="AD319" s="14" t="e">
        <f>VLOOKUP($A26,'Template IF 2'!$B$3:$HH$112,205,FALSE)</f>
        <v>#N/A</v>
      </c>
      <c r="AE319" s="14" t="e">
        <f>VLOOKUP($A26,'Template IF 2'!$B$3:$HH$112,206,FALSE)</f>
        <v>#N/A</v>
      </c>
      <c r="AF319" s="14" t="e">
        <f>VLOOKUP($A26,'Template IF 2'!$B$3:$HH$112,207,FALSE)</f>
        <v>#N/A</v>
      </c>
      <c r="AG319" s="14" t="e">
        <f>VLOOKUP($A26,'Template IF 2'!$B$3:$HH$112,208,FALSE)</f>
        <v>#N/A</v>
      </c>
      <c r="AH319" s="14" t="e">
        <f>VLOOKUP($A26,'Template IF 2'!$B$3:$HH$112,209,FALSE)</f>
        <v>#N/A</v>
      </c>
      <c r="AI319" s="14" t="e">
        <f>VLOOKUP($A26,'Template IF 2'!$B$3:$HH$112,210,FALSE)</f>
        <v>#N/A</v>
      </c>
      <c r="AJ319" s="19" t="e">
        <f>VLOOKUP($A26,'Template IF 2'!$B$3:$HH$112,211,FALSE)</f>
        <v>#N/A</v>
      </c>
      <c r="AK319" s="19" t="e">
        <f>VLOOKUP($A26,'Template IF 2'!$B$3:$HH$112,212,FALSE)</f>
        <v>#N/A</v>
      </c>
      <c r="AL319" s="19" t="e">
        <f>VLOOKUP($A26,'Template IF 2'!$B$3:$HH$112,213,FALSE)</f>
        <v>#N/A</v>
      </c>
      <c r="AM319" s="19" t="e">
        <f>VLOOKUP($A26,'Template IF 2'!$B$3:$HH$112,214,FALSE)</f>
        <v>#N/A</v>
      </c>
      <c r="AN319" s="19" t="e">
        <f>VLOOKUP($A26,'Template IF 2'!$B$3:$HH$112,215,FALSE)</f>
        <v>#N/A</v>
      </c>
      <c r="AO319" s="20" t="e">
        <f>VLOOKUP($A26,'Template IF 2'!$B$3:$HK$112,216,FALSE)</f>
        <v>#N/A</v>
      </c>
      <c r="AP319" s="20" t="e">
        <f>VLOOKUP($A26,'Template IF 2'!$B$3:$HK$112,217,FALSE)</f>
        <v>#N/A</v>
      </c>
      <c r="AQ319" s="20" t="e">
        <f>VLOOKUP($A26,'Template IF 2'!$B$3:$HK$112,218,FALSE)</f>
        <v>#N/A</v>
      </c>
      <c r="AR319" s="19" t="e">
        <f>VLOOKUP($A26,'Template IF 2'!$B$3:$HU$112,219,FALSE)</f>
        <v>#N/A</v>
      </c>
      <c r="AS319" s="19" t="e">
        <f>VLOOKUP($A26,'Template IF 2'!$B$3:$HU$112,220,FALSE)</f>
        <v>#N/A</v>
      </c>
      <c r="AT319" s="19" t="e">
        <f>VLOOKUP($A26,'Template IF 2'!$B$3:$HU$112,221,FALSE)</f>
        <v>#N/A</v>
      </c>
      <c r="AU319" s="19" t="e">
        <f>VLOOKUP($A26,'Template IF 2'!$B$3:$HU$112,222,FALSE)</f>
        <v>#N/A</v>
      </c>
      <c r="AV319" s="19" t="e">
        <f>VLOOKUP($A26,'Template IF 2'!$B$3:$HU$112,223,FALSE)</f>
        <v>#N/A</v>
      </c>
      <c r="AW319" s="19" t="e">
        <f>VLOOKUP($A26,'Template IF 2'!$B$3:$HU$112,224,FALSE)</f>
        <v>#N/A</v>
      </c>
      <c r="AX319" s="19" t="e">
        <f>VLOOKUP($A26,'Template IF 2'!$B$3:$HU$112,225,FALSE)</f>
        <v>#N/A</v>
      </c>
      <c r="AY319" s="19" t="e">
        <f>VLOOKUP($A26,'Template IF 2'!$B$3:$HU$112,226,FALSE)</f>
        <v>#N/A</v>
      </c>
      <c r="AZ319" s="19" t="e">
        <f>VLOOKUP($A26,'Template IF 2'!$B$3:$HU$112,227,FALSE)</f>
        <v>#N/A</v>
      </c>
    </row>
    <row r="320" spans="1:52" x14ac:dyDescent="0.2">
      <c r="N320"/>
      <c r="O320"/>
    </row>
    <row r="321" spans="14:18" x14ac:dyDescent="0.2">
      <c r="N321"/>
      <c r="O321"/>
    </row>
    <row r="322" spans="14:18" x14ac:dyDescent="0.2">
      <c r="N322"/>
      <c r="O322"/>
    </row>
    <row r="323" spans="14:18" x14ac:dyDescent="0.2">
      <c r="N323"/>
      <c r="O323"/>
      <c r="R323" t="s">
        <v>168</v>
      </c>
    </row>
    <row r="324" spans="14:18" x14ac:dyDescent="0.2">
      <c r="N324"/>
      <c r="O324"/>
      <c r="R324" t="s">
        <v>58</v>
      </c>
    </row>
    <row r="325" spans="14:18" x14ac:dyDescent="0.2">
      <c r="N325"/>
      <c r="O325"/>
      <c r="R325" t="s">
        <v>59</v>
      </c>
    </row>
    <row r="326" spans="14:18" x14ac:dyDescent="0.2">
      <c r="N326"/>
      <c r="O326"/>
      <c r="R326" t="s">
        <v>60</v>
      </c>
    </row>
    <row r="327" spans="14:18" x14ac:dyDescent="0.2">
      <c r="N327"/>
      <c r="O327"/>
      <c r="R327" t="s">
        <v>61</v>
      </c>
    </row>
    <row r="328" spans="14:18" x14ac:dyDescent="0.2">
      <c r="N328"/>
      <c r="O328"/>
      <c r="R328" t="s">
        <v>62</v>
      </c>
    </row>
    <row r="329" spans="14:18" x14ac:dyDescent="0.2">
      <c r="N329"/>
      <c r="O329"/>
      <c r="R329" t="s">
        <v>63</v>
      </c>
    </row>
    <row r="330" spans="14:18" x14ac:dyDescent="0.2">
      <c r="N330"/>
      <c r="O330"/>
      <c r="R330" t="s">
        <v>64</v>
      </c>
    </row>
    <row r="331" spans="14:18" x14ac:dyDescent="0.2">
      <c r="N331"/>
      <c r="O331"/>
      <c r="R331" t="s">
        <v>65</v>
      </c>
    </row>
    <row r="332" spans="14:18" x14ac:dyDescent="0.2">
      <c r="N332"/>
      <c r="O332"/>
      <c r="R332" t="s">
        <v>66</v>
      </c>
    </row>
    <row r="333" spans="14:18" x14ac:dyDescent="0.2">
      <c r="N333"/>
      <c r="O333"/>
      <c r="R333" t="s">
        <v>144</v>
      </c>
    </row>
    <row r="334" spans="14:18" x14ac:dyDescent="0.2">
      <c r="N334"/>
      <c r="O334"/>
      <c r="R334" t="s">
        <v>67</v>
      </c>
    </row>
    <row r="335" spans="14:18" x14ac:dyDescent="0.2">
      <c r="N335"/>
      <c r="O335"/>
      <c r="R335" t="s">
        <v>68</v>
      </c>
    </row>
    <row r="336" spans="14:18" x14ac:dyDescent="0.2">
      <c r="N336"/>
      <c r="O336"/>
      <c r="R336" t="s">
        <v>69</v>
      </c>
    </row>
    <row r="337" spans="14:18" x14ac:dyDescent="0.2">
      <c r="N337"/>
      <c r="O337"/>
      <c r="R337" t="s">
        <v>70</v>
      </c>
    </row>
    <row r="338" spans="14:18" x14ac:dyDescent="0.2">
      <c r="N338"/>
      <c r="O338"/>
      <c r="R338" t="s">
        <v>71</v>
      </c>
    </row>
    <row r="339" spans="14:18" x14ac:dyDescent="0.2">
      <c r="N339"/>
      <c r="O339"/>
      <c r="R339" t="s">
        <v>72</v>
      </c>
    </row>
    <row r="340" spans="14:18" x14ac:dyDescent="0.2">
      <c r="N340"/>
      <c r="O340"/>
      <c r="R340" t="s">
        <v>73</v>
      </c>
    </row>
    <row r="341" spans="14:18" x14ac:dyDescent="0.2">
      <c r="N341"/>
      <c r="O341"/>
      <c r="R341" t="s">
        <v>74</v>
      </c>
    </row>
    <row r="342" spans="14:18" x14ac:dyDescent="0.2">
      <c r="N342"/>
      <c r="O342"/>
      <c r="R342" t="s">
        <v>75</v>
      </c>
    </row>
    <row r="343" spans="14:18" x14ac:dyDescent="0.2">
      <c r="N343"/>
      <c r="O343"/>
      <c r="R343" t="s">
        <v>76</v>
      </c>
    </row>
    <row r="344" spans="14:18" x14ac:dyDescent="0.2">
      <c r="N344"/>
      <c r="O344"/>
      <c r="R344" t="s">
        <v>77</v>
      </c>
    </row>
    <row r="345" spans="14:18" x14ac:dyDescent="0.2">
      <c r="N345"/>
      <c r="O345"/>
      <c r="R345" t="s">
        <v>78</v>
      </c>
    </row>
    <row r="346" spans="14:18" x14ac:dyDescent="0.2">
      <c r="N346"/>
      <c r="O346"/>
      <c r="R346" t="s">
        <v>79</v>
      </c>
    </row>
    <row r="347" spans="14:18" x14ac:dyDescent="0.2">
      <c r="N347"/>
      <c r="O347"/>
      <c r="R347" t="s">
        <v>80</v>
      </c>
    </row>
    <row r="348" spans="14:18" x14ac:dyDescent="0.2">
      <c r="N348"/>
      <c r="O348"/>
      <c r="R348" t="s">
        <v>81</v>
      </c>
    </row>
    <row r="349" spans="14:18" x14ac:dyDescent="0.2">
      <c r="N349"/>
      <c r="O349"/>
      <c r="R349" t="s">
        <v>82</v>
      </c>
    </row>
    <row r="350" spans="14:18" x14ac:dyDescent="0.2">
      <c r="N350"/>
      <c r="O350"/>
      <c r="R350" t="s">
        <v>83</v>
      </c>
    </row>
    <row r="351" spans="14:18" x14ac:dyDescent="0.2">
      <c r="N351"/>
      <c r="O351"/>
      <c r="R351" t="s">
        <v>84</v>
      </c>
    </row>
    <row r="352" spans="14:18" x14ac:dyDescent="0.2">
      <c r="N352"/>
      <c r="O352"/>
      <c r="R352" t="s">
        <v>85</v>
      </c>
    </row>
    <row r="353" spans="18:18" x14ac:dyDescent="0.2">
      <c r="R353" t="s">
        <v>86</v>
      </c>
    </row>
    <row r="354" spans="18:18" x14ac:dyDescent="0.2">
      <c r="R354" t="s">
        <v>87</v>
      </c>
    </row>
    <row r="355" spans="18:18" x14ac:dyDescent="0.2">
      <c r="R355" t="s">
        <v>88</v>
      </c>
    </row>
    <row r="356" spans="18:18" x14ac:dyDescent="0.2">
      <c r="R356" t="s">
        <v>89</v>
      </c>
    </row>
    <row r="357" spans="18:18" x14ac:dyDescent="0.2">
      <c r="R357" t="s">
        <v>90</v>
      </c>
    </row>
    <row r="358" spans="18:18" x14ac:dyDescent="0.2">
      <c r="R358" t="s">
        <v>91</v>
      </c>
    </row>
    <row r="359" spans="18:18" x14ac:dyDescent="0.2">
      <c r="R359" t="s">
        <v>92</v>
      </c>
    </row>
    <row r="360" spans="18:18" x14ac:dyDescent="0.2">
      <c r="R360" t="s">
        <v>93</v>
      </c>
    </row>
    <row r="361" spans="18:18" x14ac:dyDescent="0.2">
      <c r="R361" t="s">
        <v>94</v>
      </c>
    </row>
    <row r="362" spans="18:18" x14ac:dyDescent="0.2">
      <c r="R362" t="s">
        <v>95</v>
      </c>
    </row>
    <row r="363" spans="18:18" x14ac:dyDescent="0.2">
      <c r="R363" t="s">
        <v>96</v>
      </c>
    </row>
    <row r="364" spans="18:18" x14ac:dyDescent="0.2">
      <c r="R364" t="s">
        <v>97</v>
      </c>
    </row>
    <row r="365" spans="18:18" x14ac:dyDescent="0.2">
      <c r="R365" t="s">
        <v>98</v>
      </c>
    </row>
    <row r="366" spans="18:18" x14ac:dyDescent="0.2">
      <c r="R366" t="s">
        <v>99</v>
      </c>
    </row>
    <row r="367" spans="18:18" x14ac:dyDescent="0.2">
      <c r="R367" t="s">
        <v>100</v>
      </c>
    </row>
    <row r="368" spans="18:18" x14ac:dyDescent="0.2">
      <c r="R368" t="s">
        <v>101</v>
      </c>
    </row>
    <row r="369" spans="18:18" x14ac:dyDescent="0.2">
      <c r="R369" t="s">
        <v>102</v>
      </c>
    </row>
    <row r="370" spans="18:18" x14ac:dyDescent="0.2">
      <c r="R370" t="s">
        <v>103</v>
      </c>
    </row>
    <row r="371" spans="18:18" x14ac:dyDescent="0.2">
      <c r="R371" t="s">
        <v>104</v>
      </c>
    </row>
    <row r="372" spans="18:18" x14ac:dyDescent="0.2">
      <c r="R372" t="s">
        <v>105</v>
      </c>
    </row>
    <row r="373" spans="18:18" x14ac:dyDescent="0.2">
      <c r="R373" t="s">
        <v>106</v>
      </c>
    </row>
    <row r="374" spans="18:18" x14ac:dyDescent="0.2">
      <c r="R374" t="s">
        <v>107</v>
      </c>
    </row>
    <row r="375" spans="18:18" x14ac:dyDescent="0.2">
      <c r="R375" t="s">
        <v>108</v>
      </c>
    </row>
    <row r="376" spans="18:18" x14ac:dyDescent="0.2">
      <c r="R376" t="s">
        <v>109</v>
      </c>
    </row>
    <row r="377" spans="18:18" x14ac:dyDescent="0.2">
      <c r="R377" t="s">
        <v>110</v>
      </c>
    </row>
    <row r="378" spans="18:18" x14ac:dyDescent="0.2">
      <c r="R378" t="s">
        <v>111</v>
      </c>
    </row>
    <row r="379" spans="18:18" x14ac:dyDescent="0.2">
      <c r="R379" t="s">
        <v>112</v>
      </c>
    </row>
    <row r="380" spans="18:18" x14ac:dyDescent="0.2">
      <c r="R380" t="s">
        <v>113</v>
      </c>
    </row>
    <row r="381" spans="18:18" x14ac:dyDescent="0.2">
      <c r="R381" t="s">
        <v>114</v>
      </c>
    </row>
    <row r="382" spans="18:18" x14ac:dyDescent="0.2">
      <c r="R382" t="s">
        <v>115</v>
      </c>
    </row>
    <row r="383" spans="18:18" x14ac:dyDescent="0.2">
      <c r="R383" t="s">
        <v>116</v>
      </c>
    </row>
    <row r="384" spans="18:18" x14ac:dyDescent="0.2">
      <c r="R384" t="s">
        <v>117</v>
      </c>
    </row>
    <row r="385" spans="18:18" x14ac:dyDescent="0.2">
      <c r="R385" t="s">
        <v>118</v>
      </c>
    </row>
    <row r="386" spans="18:18" x14ac:dyDescent="0.2">
      <c r="R386" t="s">
        <v>119</v>
      </c>
    </row>
    <row r="387" spans="18:18" x14ac:dyDescent="0.2">
      <c r="R387" t="s">
        <v>120</v>
      </c>
    </row>
    <row r="388" spans="18:18" x14ac:dyDescent="0.2">
      <c r="R388" t="s">
        <v>121</v>
      </c>
    </row>
    <row r="389" spans="18:18" x14ac:dyDescent="0.2">
      <c r="R389" t="s">
        <v>122</v>
      </c>
    </row>
    <row r="390" spans="18:18" x14ac:dyDescent="0.2">
      <c r="R390" t="s">
        <v>123</v>
      </c>
    </row>
    <row r="391" spans="18:18" x14ac:dyDescent="0.2">
      <c r="R391" t="s">
        <v>124</v>
      </c>
    </row>
    <row r="392" spans="18:18" x14ac:dyDescent="0.2">
      <c r="R392" t="s">
        <v>125</v>
      </c>
    </row>
    <row r="393" spans="18:18" x14ac:dyDescent="0.2">
      <c r="R393" t="s">
        <v>126</v>
      </c>
    </row>
    <row r="394" spans="18:18" x14ac:dyDescent="0.2">
      <c r="R394" t="s">
        <v>127</v>
      </c>
    </row>
    <row r="395" spans="18:18" x14ac:dyDescent="0.2">
      <c r="R395" t="s">
        <v>128</v>
      </c>
    </row>
    <row r="396" spans="18:18" x14ac:dyDescent="0.2">
      <c r="R396" t="s">
        <v>129</v>
      </c>
    </row>
    <row r="397" spans="18:18" x14ac:dyDescent="0.2">
      <c r="R397" t="s">
        <v>130</v>
      </c>
    </row>
    <row r="398" spans="18:18" x14ac:dyDescent="0.2">
      <c r="R398" t="s">
        <v>131</v>
      </c>
    </row>
    <row r="399" spans="18:18" x14ac:dyDescent="0.2">
      <c r="R399" t="s">
        <v>132</v>
      </c>
    </row>
    <row r="400" spans="18:18" x14ac:dyDescent="0.2">
      <c r="R400" t="s">
        <v>133</v>
      </c>
    </row>
    <row r="401" spans="18:18" x14ac:dyDescent="0.2">
      <c r="R401" t="s">
        <v>134</v>
      </c>
    </row>
    <row r="402" spans="18:18" x14ac:dyDescent="0.2">
      <c r="R402" t="s">
        <v>135</v>
      </c>
    </row>
    <row r="403" spans="18:18" x14ac:dyDescent="0.2">
      <c r="R403" t="s">
        <v>136</v>
      </c>
    </row>
    <row r="404" spans="18:18" x14ac:dyDescent="0.2">
      <c r="R404" t="s">
        <v>137</v>
      </c>
    </row>
    <row r="405" spans="18:18" x14ac:dyDescent="0.2">
      <c r="R405" t="s">
        <v>138</v>
      </c>
    </row>
    <row r="406" spans="18:18" x14ac:dyDescent="0.2">
      <c r="R406" t="s">
        <v>139</v>
      </c>
    </row>
    <row r="407" spans="18:18" x14ac:dyDescent="0.2">
      <c r="R407" t="s">
        <v>140</v>
      </c>
    </row>
    <row r="408" spans="18:18" x14ac:dyDescent="0.2">
      <c r="R408" t="s">
        <v>141</v>
      </c>
    </row>
    <row r="409" spans="18:18" x14ac:dyDescent="0.2">
      <c r="R409" t="s">
        <v>142</v>
      </c>
    </row>
    <row r="410" spans="18:18" x14ac:dyDescent="0.2">
      <c r="R410" t="s">
        <v>143</v>
      </c>
    </row>
    <row r="411" spans="18:18" x14ac:dyDescent="0.2">
      <c r="R411" s="74" t="s">
        <v>487</v>
      </c>
    </row>
    <row r="412" spans="18:18" x14ac:dyDescent="0.2">
      <c r="R412" s="74" t="s">
        <v>503</v>
      </c>
    </row>
    <row r="413" spans="18:18" x14ac:dyDescent="0.2">
      <c r="R413" s="74" t="s">
        <v>504</v>
      </c>
    </row>
    <row r="414" spans="18:18" x14ac:dyDescent="0.2">
      <c r="R414" s="74" t="s">
        <v>488</v>
      </c>
    </row>
    <row r="415" spans="18:18" x14ac:dyDescent="0.2">
      <c r="R415" s="74" t="s">
        <v>489</v>
      </c>
    </row>
    <row r="416" spans="18:18" x14ac:dyDescent="0.2">
      <c r="R416" s="74" t="s">
        <v>490</v>
      </c>
    </row>
    <row r="417" spans="18:18" x14ac:dyDescent="0.2">
      <c r="R417" s="74" t="s">
        <v>491</v>
      </c>
    </row>
    <row r="418" spans="18:18" x14ac:dyDescent="0.2">
      <c r="R418" s="74" t="s">
        <v>492</v>
      </c>
    </row>
    <row r="419" spans="18:18" x14ac:dyDescent="0.2">
      <c r="R419" s="74" t="s">
        <v>493</v>
      </c>
    </row>
    <row r="420" spans="18:18" x14ac:dyDescent="0.2">
      <c r="R420" s="74" t="s">
        <v>494</v>
      </c>
    </row>
    <row r="421" spans="18:18" x14ac:dyDescent="0.2">
      <c r="R421" s="74" t="s">
        <v>495</v>
      </c>
    </row>
    <row r="422" spans="18:18" x14ac:dyDescent="0.2">
      <c r="R422" s="74" t="s">
        <v>496</v>
      </c>
    </row>
    <row r="423" spans="18:18" x14ac:dyDescent="0.2">
      <c r="R423" s="74" t="s">
        <v>505</v>
      </c>
    </row>
    <row r="424" spans="18:18" x14ac:dyDescent="0.2">
      <c r="R424" s="74" t="s">
        <v>497</v>
      </c>
    </row>
    <row r="425" spans="18:18" x14ac:dyDescent="0.2">
      <c r="R425" s="74" t="s">
        <v>498</v>
      </c>
    </row>
    <row r="426" spans="18:18" x14ac:dyDescent="0.2">
      <c r="R426" s="74" t="s">
        <v>506</v>
      </c>
    </row>
    <row r="427" spans="18:18" x14ac:dyDescent="0.2">
      <c r="R427" s="74" t="s">
        <v>499</v>
      </c>
    </row>
    <row r="428" spans="18:18" x14ac:dyDescent="0.2">
      <c r="R428" s="74" t="s">
        <v>500</v>
      </c>
    </row>
    <row r="429" spans="18:18" x14ac:dyDescent="0.2">
      <c r="R429" s="74" t="s">
        <v>501</v>
      </c>
    </row>
    <row r="430" spans="18:18" x14ac:dyDescent="0.2">
      <c r="R430" s="74" t="s">
        <v>502</v>
      </c>
    </row>
  </sheetData>
  <mergeCells count="58">
    <mergeCell ref="A2:L11"/>
    <mergeCell ref="B113:E114"/>
    <mergeCell ref="H113:K114"/>
    <mergeCell ref="B46:F46"/>
    <mergeCell ref="B80:F80"/>
    <mergeCell ref="H80:L80"/>
    <mergeCell ref="A26:E26"/>
    <mergeCell ref="A16:E16"/>
    <mergeCell ref="A18:E18"/>
    <mergeCell ref="A20:E20"/>
    <mergeCell ref="A22:E22"/>
    <mergeCell ref="A24:E24"/>
    <mergeCell ref="A134:L134"/>
    <mergeCell ref="A34:L34"/>
    <mergeCell ref="B56:F57"/>
    <mergeCell ref="H56:L57"/>
    <mergeCell ref="A67:L67"/>
    <mergeCell ref="H69:L70"/>
    <mergeCell ref="B70:F70"/>
    <mergeCell ref="B123:E124"/>
    <mergeCell ref="B90:F90"/>
    <mergeCell ref="H90:L90"/>
    <mergeCell ref="A100:L100"/>
    <mergeCell ref="H102:K103"/>
    <mergeCell ref="B103:E103"/>
    <mergeCell ref="B35:F35"/>
    <mergeCell ref="H35:L35"/>
    <mergeCell ref="H45:L46"/>
    <mergeCell ref="H194:K194"/>
    <mergeCell ref="B206:E206"/>
    <mergeCell ref="A170:L170"/>
    <mergeCell ref="A237:L237"/>
    <mergeCell ref="B194:F194"/>
    <mergeCell ref="A204:L204"/>
    <mergeCell ref="H206:L206"/>
    <mergeCell ref="H182:K183"/>
    <mergeCell ref="H265:K265"/>
    <mergeCell ref="B265:E265"/>
    <mergeCell ref="B256:E256"/>
    <mergeCell ref="H256:K256"/>
    <mergeCell ref="B238:E238"/>
    <mergeCell ref="H238:K238"/>
    <mergeCell ref="H123:K124"/>
    <mergeCell ref="B227:E227"/>
    <mergeCell ref="H227:K227"/>
    <mergeCell ref="B247:E247"/>
    <mergeCell ref="H247:K247"/>
    <mergeCell ref="B217:E217"/>
    <mergeCell ref="H217:K217"/>
    <mergeCell ref="B138:E138"/>
    <mergeCell ref="H138:K138"/>
    <mergeCell ref="H148:K149"/>
    <mergeCell ref="B148:E149"/>
    <mergeCell ref="B159:E160"/>
    <mergeCell ref="H159:K160"/>
    <mergeCell ref="B171:E172"/>
    <mergeCell ref="H171:K172"/>
    <mergeCell ref="B183:E183"/>
  </mergeCells>
  <phoneticPr fontId="3" type="noConversion"/>
  <dataValidations count="1">
    <dataValidation type="list" allowBlank="1" showInputMessage="1" showErrorMessage="1" sqref="A16:E16 A18:E18 A20:E20 A22:E22 A24:E24 A26:E26">
      <formula1>$R$323:$R$430</formula1>
    </dataValidation>
  </dataValidations>
  <hyperlinks>
    <hyperlink ref="A309" r:id="rId1"/>
    <hyperlink ref="A311" r:id="rId2"/>
  </hyperlinks>
  <pageMargins left="0.5" right="0.25" top="0.5" bottom="0.75" header="0.3" footer="0.3"/>
  <pageSetup scale="99" fitToWidth="9" fitToHeight="9" orientation="landscape" r:id="rId3"/>
  <headerFooter differentFirst="1" alignWithMargins="0">
    <oddFooter>&amp;L&amp;"Tw Cen MT,Italic"
&amp;"Tw Cen MT,Regular"&amp;9Vital Statistics Trend Report&amp;"Tw Cen MT,Italic"
&amp;"Tw Cen MT,Regular"MDH, Center for Health Statistics&amp;C
&amp;R
&amp;"Tw Cen MT,Regular"&amp;9July 2013&amp;"Times New Roman,Regular"&amp;10
&amp;"Tw Cen MT,Regular"&amp;P</oddFooter>
  </headerFooter>
  <rowBreaks count="6" manualBreakCount="6">
    <brk id="33" max="11" man="1"/>
    <brk id="99" max="11" man="1"/>
    <brk id="133" max="11" man="1"/>
    <brk id="169" max="11" man="1"/>
    <brk id="203" max="11" man="1"/>
    <brk id="236" max="11"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Template IF 2</vt:lpstr>
      <vt:lpstr>Title Page</vt:lpstr>
      <vt:lpstr>Instructions</vt:lpstr>
      <vt:lpstr>Trends</vt:lpstr>
      <vt:lpstr>Trends!Print_Area</vt:lpstr>
    </vt:vector>
  </TitlesOfParts>
  <Company>MDH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1993 2012 VS Trends</dc:title>
  <dc:creator>Minnesota Department of Health</dc:creator>
  <cp:lastModifiedBy>Kim Edelman</cp:lastModifiedBy>
  <cp:lastPrinted>2013-07-25T14:53:31Z</cp:lastPrinted>
  <dcterms:created xsi:type="dcterms:W3CDTF">2007-03-30T18:14:35Z</dcterms:created>
  <dcterms:modified xsi:type="dcterms:W3CDTF">2014-12-30T19:46:23Z</dcterms:modified>
</cp:coreProperties>
</file>